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eenovatecom-my.sharepoint.com/personal/remy_fouchereau_seenovate_com/Documents/Documents/GitHub/app-pcoe/data/"/>
    </mc:Choice>
  </mc:AlternateContent>
  <xr:revisionPtr revIDLastSave="5" documentId="13_ncr:1_{EF4DDD07-B3E1-4F3B-AC1D-70A3D42EEEE7}" xr6:coauthVersionLast="47" xr6:coauthVersionMax="47" xr10:uidLastSave="{992B4253-9978-48B8-B3D6-077667C549F0}"/>
  <bookViews>
    <workbookView xWindow="-108" yWindow="-108" windowWidth="23256" windowHeight="12456" tabRatio="627" firstSheet="3" activeTab="3" xr2:uid="{00000000-000D-0000-FFFF-FFFF00000000}"/>
  </bookViews>
  <sheets>
    <sheet name="Client ex OEM" sheetId="10" r:id="rId1"/>
    <sheet name="Abonnement Cloud" sheetId="9" r:id="rId2"/>
    <sheet name="Résiliations PCOE" sheetId="6" r:id="rId3"/>
    <sheet name="Maintenance SAP BusinessObjects" sheetId="2" r:id="rId4"/>
    <sheet name="Feuil1" sheetId="7" r:id="rId5"/>
  </sheets>
  <definedNames>
    <definedName name="_xlnm._FilterDatabase" localSheetId="1" hidden="1">'Abonnement Cloud'!$B$4:$AC$56</definedName>
    <definedName name="_xlnm._FilterDatabase" localSheetId="3" hidden="1">'Maintenance SAP BusinessObjects'!$A$1:$AZ$29</definedName>
    <definedName name="_xlnm._FilterDatabase" localSheetId="2" hidden="1">'Résiliations PCOE'!$A$3:$M$3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E44" i="9"/>
  <c r="D24" i="9"/>
  <c r="BA23" i="9"/>
  <c r="AZ23" i="9"/>
  <c r="AY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E23" i="9"/>
  <c r="AX23" i="9" s="1"/>
  <c r="F23" i="9"/>
  <c r="G23" i="9" s="1"/>
  <c r="E24" i="9"/>
  <c r="H18" i="9"/>
  <c r="H19" i="9"/>
  <c r="H10" i="9"/>
  <c r="H20" i="9"/>
  <c r="H48" i="9"/>
  <c r="E27" i="9"/>
  <c r="H41" i="9" l="1"/>
  <c r="H22" i="9"/>
  <c r="E36" i="9"/>
  <c r="F48" i="9"/>
  <c r="G48" i="9" s="1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F47" i="9"/>
  <c r="G47" i="9" s="1"/>
  <c r="BA52" i="9" l="1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F7" i="2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F46" i="9"/>
  <c r="G46" i="9" s="1"/>
  <c r="F49" i="9"/>
  <c r="G49" i="9" s="1"/>
  <c r="G25" i="2" l="1"/>
  <c r="H9" i="9"/>
  <c r="H8" i="9"/>
  <c r="H17" i="9"/>
  <c r="H16" i="9"/>
  <c r="F32" i="9"/>
  <c r="G32" i="9" s="1"/>
  <c r="S55" i="9"/>
  <c r="R55" i="9"/>
  <c r="Q55" i="9"/>
  <c r="AT54" i="9"/>
  <c r="AU53" i="9"/>
  <c r="F53" i="9"/>
  <c r="G53" i="9" s="1"/>
  <c r="F52" i="9"/>
  <c r="G52" i="9" s="1"/>
  <c r="F51" i="9"/>
  <c r="G51" i="9" s="1"/>
  <c r="F50" i="9"/>
  <c r="G50" i="9" s="1"/>
  <c r="BA17" i="9"/>
  <c r="AZ17" i="9"/>
  <c r="AY17" i="9"/>
  <c r="AX17" i="9"/>
  <c r="AW17" i="9"/>
  <c r="AV17" i="9"/>
  <c r="AU17" i="9"/>
  <c r="AT17" i="9"/>
  <c r="AS17" i="9"/>
  <c r="AR17" i="9"/>
  <c r="AQ17" i="9"/>
  <c r="AP17" i="9"/>
  <c r="AN17" i="9"/>
  <c r="AM17" i="9"/>
  <c r="AL17" i="9"/>
  <c r="AK17" i="9"/>
  <c r="AJ17" i="9"/>
  <c r="AI17" i="9"/>
  <c r="AH17" i="9"/>
  <c r="AG17" i="9"/>
  <c r="AF17" i="9"/>
  <c r="AE17" i="9"/>
  <c r="AD17" i="9"/>
  <c r="F17" i="9"/>
  <c r="G17" i="9" s="1"/>
  <c r="BA16" i="9"/>
  <c r="AZ16" i="9"/>
  <c r="AY16" i="9"/>
  <c r="AX16" i="9"/>
  <c r="AW16" i="9"/>
  <c r="AV16" i="9"/>
  <c r="AU16" i="9"/>
  <c r="AT16" i="9"/>
  <c r="AS16" i="9"/>
  <c r="AR16" i="9"/>
  <c r="AQ16" i="9"/>
  <c r="AP16" i="9"/>
  <c r="AN16" i="9"/>
  <c r="AM16" i="9"/>
  <c r="AL16" i="9"/>
  <c r="AK16" i="9"/>
  <c r="AJ16" i="9"/>
  <c r="AI16" i="9"/>
  <c r="AH16" i="9"/>
  <c r="AG16" i="9"/>
  <c r="AF16" i="9"/>
  <c r="AE16" i="9"/>
  <c r="AD16" i="9"/>
  <c r="F16" i="9"/>
  <c r="G16" i="9" s="1"/>
  <c r="BA31" i="9"/>
  <c r="AZ31" i="9"/>
  <c r="AY31" i="9"/>
  <c r="AX31" i="9"/>
  <c r="AW31" i="9"/>
  <c r="AV31" i="9"/>
  <c r="AU31" i="9"/>
  <c r="AT31" i="9"/>
  <c r="AS31" i="9"/>
  <c r="AR31" i="9"/>
  <c r="AQ31" i="9"/>
  <c r="AP31" i="9"/>
  <c r="AN31" i="9"/>
  <c r="AM31" i="9"/>
  <c r="AL31" i="9"/>
  <c r="AK31" i="9"/>
  <c r="AJ31" i="9"/>
  <c r="AI31" i="9"/>
  <c r="AH31" i="9"/>
  <c r="AG31" i="9"/>
  <c r="AF31" i="9"/>
  <c r="AE31" i="9"/>
  <c r="AD31" i="9"/>
  <c r="D31" i="9"/>
  <c r="AO31" i="9" s="1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F13" i="9"/>
  <c r="G13" i="9" s="1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F11" i="9"/>
  <c r="G11" i="9" s="1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F42" i="9"/>
  <c r="G42" i="9" s="1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F24" i="9"/>
  <c r="G24" i="9" s="1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E9" i="9"/>
  <c r="AD9" i="9"/>
  <c r="F9" i="9"/>
  <c r="G9" i="9" s="1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E8" i="9"/>
  <c r="AD8" i="9"/>
  <c r="AF8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BA43" i="9"/>
  <c r="AZ43" i="9"/>
  <c r="AY43" i="9"/>
  <c r="AX43" i="9"/>
  <c r="AW43" i="9"/>
  <c r="AV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K40" i="9"/>
  <c r="AJ40" i="9"/>
  <c r="AH40" i="9"/>
  <c r="AG40" i="9"/>
  <c r="AF40" i="9"/>
  <c r="AE40" i="9"/>
  <c r="AD40" i="9"/>
  <c r="D40" i="9"/>
  <c r="F40" i="9" s="1"/>
  <c r="G40" i="9" s="1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F6" i="9"/>
  <c r="G6" i="9" s="1"/>
  <c r="K39" i="9"/>
  <c r="BA39" i="9" s="1"/>
  <c r="H39" i="9"/>
  <c r="F39" i="9"/>
  <c r="G39" i="9" s="1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F19" i="9"/>
  <c r="G19" i="9" s="1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F18" i="9"/>
  <c r="G18" i="9" s="1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E35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F36" i="9"/>
  <c r="G36" i="9" s="1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F44" i="9"/>
  <c r="G44" i="9" s="1"/>
  <c r="AT20" i="9"/>
  <c r="F20" i="9"/>
  <c r="G20" i="9" s="1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F41" i="9"/>
  <c r="G41" i="9" s="1"/>
  <c r="BA15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G15" i="9"/>
  <c r="AF15" i="9"/>
  <c r="AE15" i="9"/>
  <c r="AD15" i="9"/>
  <c r="D15" i="9"/>
  <c r="AO15" i="9" s="1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G14" i="9"/>
  <c r="AF14" i="9"/>
  <c r="AE14" i="9"/>
  <c r="AD14" i="9"/>
  <c r="D14" i="9"/>
  <c r="AI14" i="9" s="1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BA29" i="9"/>
  <c r="AZ29" i="9"/>
  <c r="AY29" i="9"/>
  <c r="AX29" i="9"/>
  <c r="AW29" i="9"/>
  <c r="AV29" i="9"/>
  <c r="AU29" i="9"/>
  <c r="AT29" i="9"/>
  <c r="AS29" i="9"/>
  <c r="AR29" i="9"/>
  <c r="AQ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H28" i="9"/>
  <c r="F28" i="9"/>
  <c r="G28" i="9" s="1"/>
  <c r="BA25" i="9"/>
  <c r="AY25" i="9"/>
  <c r="AX25" i="9"/>
  <c r="AW25" i="9"/>
  <c r="AU25" i="9"/>
  <c r="AS25" i="9"/>
  <c r="AR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BA22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F22" i="9"/>
  <c r="G22" i="9" s="1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H34" i="9"/>
  <c r="I34" i="9" s="1"/>
  <c r="F34" i="9"/>
  <c r="G34" i="9" s="1"/>
  <c r="K33" i="9"/>
  <c r="BA33" i="9" s="1"/>
  <c r="H33" i="9"/>
  <c r="F33" i="9"/>
  <c r="G33" i="9" s="1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F10" i="9"/>
  <c r="G10" i="9" s="1"/>
  <c r="K21" i="9"/>
  <c r="AU21" i="9" s="1"/>
  <c r="AZ27" i="9"/>
  <c r="AY27" i="9"/>
  <c r="AU27" i="9"/>
  <c r="AR27" i="9"/>
  <c r="AQ27" i="9"/>
  <c r="AM27" i="9"/>
  <c r="AJ27" i="9"/>
  <c r="AI27" i="9"/>
  <c r="AE27" i="9"/>
  <c r="AX27" i="9"/>
  <c r="AY38" i="9"/>
  <c r="AX38" i="9"/>
  <c r="AV38" i="9"/>
  <c r="AU38" i="9"/>
  <c r="AT38" i="9"/>
  <c r="AQ38" i="9"/>
  <c r="AP38" i="9"/>
  <c r="AN38" i="9"/>
  <c r="AM38" i="9"/>
  <c r="AL38" i="9"/>
  <c r="AI38" i="9"/>
  <c r="AH38" i="9"/>
  <c r="AF38" i="9"/>
  <c r="AE38" i="9"/>
  <c r="AD38" i="9"/>
  <c r="BA38" i="9"/>
  <c r="AX45" i="9"/>
  <c r="AW45" i="9"/>
  <c r="AP45" i="9"/>
  <c r="AO45" i="9"/>
  <c r="AH45" i="9"/>
  <c r="AG45" i="9"/>
  <c r="AV45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G12" i="9"/>
  <c r="AJ12" i="9" s="1"/>
  <c r="K12" i="9"/>
  <c r="BA12" i="9" s="1"/>
  <c r="E12" i="9"/>
  <c r="F12" i="9" s="1"/>
  <c r="G12" i="9" s="1"/>
  <c r="BA5" i="9"/>
  <c r="AZ5" i="9"/>
  <c r="AY5" i="9"/>
  <c r="AX5" i="9"/>
  <c r="AW5" i="9"/>
  <c r="AV5" i="9"/>
  <c r="AU5" i="9"/>
  <c r="AT5" i="9"/>
  <c r="AS5" i="9"/>
  <c r="AR5" i="9"/>
  <c r="AQ5" i="9"/>
  <c r="AP5" i="9"/>
  <c r="S5" i="9"/>
  <c r="D5" i="9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F44" i="6"/>
  <c r="AE44" i="6"/>
  <c r="AD44" i="6"/>
  <c r="AC44" i="6"/>
  <c r="AB44" i="6"/>
  <c r="D44" i="6"/>
  <c r="F44" i="6" s="1"/>
  <c r="G44" i="6" s="1"/>
  <c r="K43" i="6"/>
  <c r="AT43" i="6" s="1"/>
  <c r="D43" i="6"/>
  <c r="F43" i="6" s="1"/>
  <c r="G43" i="6" s="1"/>
  <c r="K42" i="6"/>
  <c r="AX42" i="6" s="1"/>
  <c r="G42" i="6"/>
  <c r="F42" i="6"/>
  <c r="D42" i="6"/>
  <c r="G28" i="2"/>
  <c r="G29" i="2"/>
  <c r="AI20" i="9" l="1"/>
  <c r="AN20" i="9"/>
  <c r="AV21" i="9"/>
  <c r="AE33" i="9"/>
  <c r="AW20" i="9"/>
  <c r="AV33" i="9"/>
  <c r="AV39" i="9"/>
  <c r="AV53" i="9"/>
  <c r="AF20" i="9"/>
  <c r="AH33" i="9"/>
  <c r="AJ20" i="9"/>
  <c r="AF33" i="9"/>
  <c r="AY33" i="9"/>
  <c r="AG20" i="9"/>
  <c r="AZ20" i="9"/>
  <c r="AW39" i="9"/>
  <c r="AW53" i="9"/>
  <c r="AI33" i="9"/>
  <c r="AN54" i="9"/>
  <c r="AG21" i="9"/>
  <c r="AM33" i="9"/>
  <c r="AD39" i="9"/>
  <c r="AO17" i="9"/>
  <c r="AQ54" i="9"/>
  <c r="AJ21" i="9"/>
  <c r="AQ33" i="9"/>
  <c r="AR20" i="9"/>
  <c r="AE39" i="9"/>
  <c r="AF53" i="9"/>
  <c r="E5" i="9"/>
  <c r="F5" i="9" s="1"/>
  <c r="G5" i="9" s="1"/>
  <c r="AN21" i="9"/>
  <c r="AT33" i="9"/>
  <c r="AU20" i="9"/>
  <c r="E55" i="9"/>
  <c r="AM39" i="9"/>
  <c r="AG53" i="9"/>
  <c r="AO21" i="9"/>
  <c r="AU33" i="9"/>
  <c r="AV20" i="9"/>
  <c r="AN39" i="9"/>
  <c r="AL53" i="9"/>
  <c r="AR21" i="9"/>
  <c r="AL33" i="9"/>
  <c r="AX33" i="9"/>
  <c r="AM20" i="9"/>
  <c r="AY20" i="9"/>
  <c r="AF39" i="9"/>
  <c r="AO39" i="9"/>
  <c r="AX39" i="9"/>
  <c r="AJ53" i="9"/>
  <c r="AZ53" i="9"/>
  <c r="AU54" i="9"/>
  <c r="F15" i="9"/>
  <c r="G15" i="9" s="1"/>
  <c r="AG39" i="9"/>
  <c r="AP39" i="9"/>
  <c r="AY39" i="9"/>
  <c r="AV54" i="9"/>
  <c r="AF12" i="9"/>
  <c r="AK12" i="9"/>
  <c r="AN33" i="9"/>
  <c r="AO20" i="9"/>
  <c r="AH39" i="9"/>
  <c r="AQ39" i="9"/>
  <c r="AZ39" i="9"/>
  <c r="AN53" i="9"/>
  <c r="AE54" i="9"/>
  <c r="AY54" i="9"/>
  <c r="AX12" i="9"/>
  <c r="AW21" i="9"/>
  <c r="AP12" i="9"/>
  <c r="AF21" i="9"/>
  <c r="AZ21" i="9"/>
  <c r="AD33" i="9"/>
  <c r="AP33" i="9"/>
  <c r="AE20" i="9"/>
  <c r="AQ20" i="9"/>
  <c r="AI39" i="9"/>
  <c r="AR39" i="9"/>
  <c r="AU43" i="9"/>
  <c r="AO53" i="9"/>
  <c r="AF54" i="9"/>
  <c r="AT12" i="9"/>
  <c r="AJ39" i="9"/>
  <c r="AT39" i="9"/>
  <c r="AR53" i="9"/>
  <c r="AI54" i="9"/>
  <c r="AU12" i="9"/>
  <c r="D55" i="9"/>
  <c r="D56" i="9" s="1"/>
  <c r="AL39" i="9"/>
  <c r="AU39" i="9"/>
  <c r="AD53" i="9"/>
  <c r="AT53" i="9"/>
  <c r="AM54" i="9"/>
  <c r="F35" i="9"/>
  <c r="G35" i="9" s="1"/>
  <c r="AP21" i="9"/>
  <c r="BA35" i="9"/>
  <c r="AF9" i="9"/>
  <c r="F31" i="9"/>
  <c r="G31" i="9" s="1"/>
  <c r="AO16" i="9"/>
  <c r="AH53" i="9"/>
  <c r="AP53" i="9"/>
  <c r="AX53" i="9"/>
  <c r="AG54" i="9"/>
  <c r="AO54" i="9"/>
  <c r="AW54" i="9"/>
  <c r="AL12" i="9"/>
  <c r="AV12" i="9"/>
  <c r="AI45" i="9"/>
  <c r="AQ45" i="9"/>
  <c r="AY45" i="9"/>
  <c r="AK27" i="9"/>
  <c r="AS27" i="9"/>
  <c r="BA27" i="9"/>
  <c r="AH21" i="9"/>
  <c r="AX21" i="9"/>
  <c r="AE12" i="9"/>
  <c r="AM12" i="9"/>
  <c r="AW12" i="9"/>
  <c r="AJ45" i="9"/>
  <c r="AR45" i="9"/>
  <c r="AZ45" i="9"/>
  <c r="AG38" i="9"/>
  <c r="AO38" i="9"/>
  <c r="AW38" i="9"/>
  <c r="AD27" i="9"/>
  <c r="AL27" i="9"/>
  <c r="AT27" i="9"/>
  <c r="AI21" i="9"/>
  <c r="AQ21" i="9"/>
  <c r="AY21" i="9"/>
  <c r="AG33" i="9"/>
  <c r="AO33" i="9"/>
  <c r="AW33" i="9"/>
  <c r="AH20" i="9"/>
  <c r="AP20" i="9"/>
  <c r="AX20" i="9"/>
  <c r="AK39" i="9"/>
  <c r="AS39" i="9"/>
  <c r="F8" i="9"/>
  <c r="G8" i="9" s="1"/>
  <c r="AI53" i="9"/>
  <c r="AQ53" i="9"/>
  <c r="AY53" i="9"/>
  <c r="AH54" i="9"/>
  <c r="AP54" i="9"/>
  <c r="AX54" i="9"/>
  <c r="AK21" i="9"/>
  <c r="AS21" i="9"/>
  <c r="F14" i="9"/>
  <c r="G14" i="9" s="1"/>
  <c r="AK53" i="9"/>
  <c r="AS53" i="9"/>
  <c r="BA53" i="9"/>
  <c r="AJ54" i="9"/>
  <c r="AR54" i="9"/>
  <c r="AZ54" i="9"/>
  <c r="BA45" i="9"/>
  <c r="AD45" i="9"/>
  <c r="AT45" i="9"/>
  <c r="AF27" i="9"/>
  <c r="AN27" i="9"/>
  <c r="AV27" i="9"/>
  <c r="BA21" i="9"/>
  <c r="AH12" i="9"/>
  <c r="AR12" i="9"/>
  <c r="AZ12" i="9"/>
  <c r="AE45" i="9"/>
  <c r="AM45" i="9"/>
  <c r="AU45" i="9"/>
  <c r="AJ38" i="9"/>
  <c r="AR38" i="9"/>
  <c r="AZ38" i="9"/>
  <c r="AG27" i="9"/>
  <c r="AO27" i="9"/>
  <c r="AW27" i="9"/>
  <c r="AD21" i="9"/>
  <c r="AL21" i="9"/>
  <c r="AT21" i="9"/>
  <c r="AJ33" i="9"/>
  <c r="AR33" i="9"/>
  <c r="AZ33" i="9"/>
  <c r="AP29" i="9"/>
  <c r="AK20" i="9"/>
  <c r="AS20" i="9"/>
  <c r="BA20" i="9"/>
  <c r="AK54" i="9"/>
  <c r="AS54" i="9"/>
  <c r="BA54" i="9"/>
  <c r="AK45" i="9"/>
  <c r="AS45" i="9"/>
  <c r="AQ12" i="9"/>
  <c r="AY12" i="9"/>
  <c r="AL45" i="9"/>
  <c r="AI12" i="9"/>
  <c r="AS12" i="9"/>
  <c r="AF45" i="9"/>
  <c r="AN45" i="9"/>
  <c r="AK38" i="9"/>
  <c r="AS38" i="9"/>
  <c r="AH27" i="9"/>
  <c r="AP27" i="9"/>
  <c r="AE21" i="9"/>
  <c r="AM21" i="9"/>
  <c r="AK33" i="9"/>
  <c r="AS33" i="9"/>
  <c r="AD20" i="9"/>
  <c r="AL20" i="9"/>
  <c r="AE53" i="9"/>
  <c r="AM53" i="9"/>
  <c r="AD54" i="9"/>
  <c r="AL54" i="9"/>
  <c r="AI42" i="6"/>
  <c r="AY42" i="6"/>
  <c r="AU43" i="6"/>
  <c r="AJ42" i="6"/>
  <c r="AC42" i="6"/>
  <c r="AS42" i="6"/>
  <c r="AG43" i="6"/>
  <c r="AO43" i="6"/>
  <c r="AD42" i="6"/>
  <c r="AL42" i="6"/>
  <c r="AT42" i="6"/>
  <c r="AH43" i="6"/>
  <c r="AP43" i="6"/>
  <c r="AX43" i="6"/>
  <c r="AI43" i="6"/>
  <c r="AQ43" i="6"/>
  <c r="AY43" i="6"/>
  <c r="AQ42" i="6"/>
  <c r="AM43" i="6"/>
  <c r="AR42" i="6"/>
  <c r="AN43" i="6"/>
  <c r="AU42" i="6"/>
  <c r="AF42" i="6"/>
  <c r="AN42" i="6"/>
  <c r="AV42" i="6"/>
  <c r="AB43" i="6"/>
  <c r="AJ43" i="6"/>
  <c r="AR43" i="6"/>
  <c r="AG44" i="6"/>
  <c r="AE43" i="6"/>
  <c r="AB42" i="6"/>
  <c r="AF43" i="6"/>
  <c r="AV43" i="6"/>
  <c r="AK42" i="6"/>
  <c r="AW43" i="6"/>
  <c r="AE42" i="6"/>
  <c r="AM42" i="6"/>
  <c r="AG42" i="6"/>
  <c r="AO42" i="6"/>
  <c r="AW42" i="6"/>
  <c r="AC43" i="6"/>
  <c r="AK43" i="6"/>
  <c r="AS43" i="6"/>
  <c r="AH42" i="6"/>
  <c r="AP42" i="6"/>
  <c r="AD43" i="6"/>
  <c r="AL43" i="6"/>
  <c r="F55" i="9" l="1"/>
  <c r="G55" i="9" s="1"/>
  <c r="AN55" i="9"/>
  <c r="E56" i="9"/>
  <c r="F56" i="9" s="1"/>
  <c r="G56" i="9" s="1"/>
  <c r="AY55" i="9"/>
  <c r="BA55" i="9"/>
  <c r="AT55" i="9"/>
  <c r="AO55" i="9"/>
  <c r="AX55" i="9"/>
  <c r="AP55" i="9"/>
  <c r="AR55" i="9"/>
  <c r="AG55" i="9"/>
  <c r="AK55" i="9"/>
  <c r="AD55" i="9"/>
  <c r="AJ55" i="9"/>
  <c r="AQ55" i="9"/>
  <c r="AW55" i="9"/>
  <c r="AM55" i="9"/>
  <c r="AF55" i="9"/>
  <c r="AE55" i="9"/>
  <c r="AS55" i="9"/>
  <c r="AV55" i="9"/>
  <c r="AH55" i="9"/>
  <c r="AZ55" i="9"/>
  <c r="AL55" i="9"/>
  <c r="G17" i="2"/>
  <c r="F17" i="2"/>
  <c r="F18" i="2"/>
  <c r="F22" i="2" l="1"/>
  <c r="F11" i="2"/>
  <c r="G13" i="2" l="1"/>
  <c r="F13" i="6"/>
  <c r="G13" i="6" s="1"/>
  <c r="F3" i="2" l="1"/>
  <c r="F8" i="6" l="1"/>
  <c r="G8" i="6" s="1"/>
  <c r="F16" i="6"/>
  <c r="G16" i="6" s="1"/>
  <c r="F29" i="2"/>
  <c r="F28" i="2"/>
  <c r="F27" i="2"/>
  <c r="F26" i="2"/>
  <c r="F21" i="2"/>
  <c r="F16" i="2"/>
  <c r="F41" i="6"/>
  <c r="F40" i="6"/>
  <c r="F38" i="6"/>
  <c r="G38" i="6" s="1"/>
  <c r="F36" i="6"/>
  <c r="G36" i="6" s="1"/>
  <c r="F35" i="6"/>
  <c r="G35" i="6" s="1"/>
  <c r="F33" i="6"/>
  <c r="F29" i="6"/>
  <c r="G29" i="6" s="1"/>
  <c r="F24" i="6"/>
  <c r="F23" i="6"/>
  <c r="F22" i="6"/>
  <c r="F21" i="6"/>
  <c r="F20" i="6"/>
  <c r="F19" i="6"/>
  <c r="G19" i="6" s="1"/>
  <c r="F18" i="6"/>
  <c r="F17" i="6"/>
  <c r="G17" i="6" s="1"/>
  <c r="F14" i="6"/>
  <c r="F12" i="6"/>
  <c r="F11" i="6"/>
  <c r="F10" i="6"/>
  <c r="F9" i="6"/>
  <c r="F7" i="6"/>
  <c r="G7" i="6" s="1"/>
  <c r="F5" i="6"/>
  <c r="G5" i="6" s="1"/>
  <c r="F4" i="6"/>
  <c r="F19" i="2"/>
  <c r="F15" i="2"/>
  <c r="F14" i="2"/>
  <c r="F13" i="2"/>
  <c r="F12" i="2"/>
  <c r="F10" i="2"/>
  <c r="F9" i="2"/>
  <c r="F6" i="2"/>
  <c r="F5" i="2"/>
  <c r="F4" i="2"/>
  <c r="F2" i="2"/>
  <c r="K25" i="2"/>
  <c r="H25" i="2"/>
  <c r="I25" i="2" s="1"/>
  <c r="H20" i="2"/>
  <c r="I20" i="2" s="1"/>
  <c r="J17" i="2" l="1"/>
  <c r="L23" i="2"/>
  <c r="H17" i="2" l="1"/>
  <c r="I17" i="2" s="1"/>
  <c r="H18" i="2" l="1"/>
  <c r="H16" i="2"/>
  <c r="I16" i="2" s="1"/>
  <c r="L16" i="2"/>
  <c r="I18" i="2" l="1"/>
  <c r="L7" i="2" l="1"/>
  <c r="H21" i="2"/>
  <c r="I21" i="2" s="1"/>
  <c r="L21" i="2"/>
  <c r="H7" i="2" l="1"/>
  <c r="I7" i="2" s="1"/>
  <c r="L9" i="2" l="1"/>
  <c r="L12" i="2" l="1"/>
  <c r="H12" i="2"/>
  <c r="I12" i="2" s="1"/>
  <c r="H14" i="2"/>
  <c r="I14" i="2" s="1"/>
  <c r="H13" i="2" l="1"/>
  <c r="I13" i="2" s="1"/>
  <c r="H3" i="2" l="1"/>
  <c r="I3" i="2" s="1"/>
  <c r="H5" i="2"/>
  <c r="I5" i="2" s="1"/>
  <c r="H15" i="2"/>
  <c r="I15" i="2" s="1"/>
  <c r="H19" i="2"/>
  <c r="H28" i="2"/>
  <c r="I28" i="2" s="1"/>
  <c r="H29" i="2"/>
  <c r="I29" i="2" s="1"/>
  <c r="H26" i="2"/>
  <c r="I26" i="2" s="1"/>
  <c r="H10" i="2"/>
  <c r="I10" i="2" s="1"/>
  <c r="H11" i="2"/>
  <c r="I11" i="2" s="1"/>
  <c r="H9" i="2"/>
  <c r="I9" i="2" s="1"/>
  <c r="H8" i="2"/>
  <c r="I8" i="2" s="1"/>
  <c r="H6" i="2"/>
  <c r="I6" i="2" s="1"/>
  <c r="H27" i="2"/>
  <c r="I27" i="2" s="1"/>
  <c r="H22" i="2"/>
  <c r="I22" i="2" s="1"/>
  <c r="H4" i="2"/>
  <c r="I4" i="2" s="1"/>
  <c r="I19" i="2" l="1"/>
  <c r="H2" i="2"/>
  <c r="L26" i="2"/>
  <c r="L10" i="2"/>
  <c r="L11" i="2"/>
  <c r="L8" i="2"/>
  <c r="L6" i="2"/>
  <c r="L27" i="2"/>
  <c r="L22" i="2"/>
  <c r="L4" i="2"/>
  <c r="I2" i="2" l="1"/>
  <c r="L29" i="2"/>
  <c r="L28" i="2"/>
  <c r="L15" i="2"/>
  <c r="L5" i="2"/>
  <c r="L3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Alain REPIQUET</author>
    <author>Alain Repiquet</author>
    <author>tc={8641083D-B7C5-4F76-A571-B5FC7DE0BDAE}</author>
  </authors>
  <commentList>
    <comment ref="D24" authorId="0" shapeId="0" xr:uid="{733539CB-CCF9-B64D-831B-1FCE99E032B9}">
      <text>
        <r>
          <rPr>
            <b/>
            <sz val="10"/>
            <color rgb="FF000000"/>
            <rFont val="Tahoma"/>
            <family val="2"/>
          </rPr>
          <t>Alain REPIQUET: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Attention : facturation double car oubli 2022
</t>
        </r>
      </text>
    </comment>
    <comment ref="D40" authorId="1" shapeId="0" xr:uid="{1C9D4F38-7E55-4090-8DFA-F3EAB7E22C7F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16800 facturé
</t>
        </r>
        <r>
          <rPr>
            <sz val="9"/>
            <color rgb="FF000000"/>
            <rFont val="Tahoma"/>
            <family val="2"/>
          </rPr>
          <t xml:space="preserve">4300 estimé sur fin d'année
</t>
        </r>
      </text>
    </comment>
    <comment ref="E44" authorId="2" shapeId="0" xr:uid="{8641083D-B7C5-4F76-A571-B5FC7DE0BDAE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5206.32 € total factures SAP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tc={5EE1CFCA-3B8F-40CC-86CC-CD25FD4705E2}</author>
    <author>tc={349EA861-622B-4834-BACB-A6FD3C12C6CD}</author>
    <author>tc={85145B46-4C04-4815-8FC9-9B860BECE938}</author>
    <author>tc={EEF44DC3-7189-4A10-B227-F51E10CBFA76}</author>
  </authors>
  <commentList>
    <comment ref="W5" authorId="0" shapeId="0" xr:uid="{5EE1CFCA-3B8F-40CC-86CC-CD25FD4705E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 client a payé directement sans facture !!!</t>
      </text>
    </comment>
    <comment ref="G13" authorId="1" shapeId="0" xr:uid="{349EA861-622B-4834-BACB-A6FD3C12C6C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1 427,39 €
Parc 2 : 6 532,13 €</t>
      </text>
    </comment>
    <comment ref="G16" authorId="2" shapeId="0" xr:uid="{85145B46-4C04-4815-8FC9-9B860BECE9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BO &gt; 5.150,66€
Parc 2 : DI Server &gt; 3.266,67</t>
      </text>
    </comment>
    <comment ref="G28" authorId="3" shapeId="0" xr:uid="{EEF44DC3-7189-4A10-B227-F51E10CBFA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2 457,75
Parc 2 : 9 216,57</t>
      </text>
    </comment>
  </commentList>
</comments>
</file>

<file path=xl/sharedStrings.xml><?xml version="1.0" encoding="utf-8"?>
<sst xmlns="http://schemas.openxmlformats.org/spreadsheetml/2006/main" count="715" uniqueCount="290">
  <si>
    <t>SUIVI DES COMPTES OEM</t>
  </si>
  <si>
    <t>Editeur</t>
  </si>
  <si>
    <t>Client final</t>
  </si>
  <si>
    <t>Type maintenance</t>
  </si>
  <si>
    <t>Contact direct</t>
  </si>
  <si>
    <t>Parc</t>
  </si>
  <si>
    <t>AAERON</t>
  </si>
  <si>
    <t>OPH Gennevilliers</t>
  </si>
  <si>
    <t>PCOE</t>
  </si>
  <si>
    <t>Edge 5 NU</t>
  </si>
  <si>
    <t>INTERSYSTEMS</t>
  </si>
  <si>
    <t>AHBFC</t>
  </si>
  <si>
    <t>BO Pro 10 NU</t>
  </si>
  <si>
    <t>IDEA</t>
  </si>
  <si>
    <t>ARCHE MC2</t>
  </si>
  <si>
    <t>GIP CPAGE</t>
  </si>
  <si>
    <t>CIRIL</t>
  </si>
  <si>
    <t>CLOUD 2023</t>
  </si>
  <si>
    <t xml:space="preserve"> </t>
  </si>
  <si>
    <t>Indicateurs</t>
  </si>
  <si>
    <t>Données de base</t>
  </si>
  <si>
    <t>Facturation</t>
  </si>
  <si>
    <t>Workflow de gestion</t>
  </si>
  <si>
    <t>Imputation comptable Ventes</t>
  </si>
  <si>
    <t>Imputation comptable Achats</t>
  </si>
  <si>
    <t>Agence</t>
  </si>
  <si>
    <t>Client</t>
  </si>
  <si>
    <t>Statut</t>
  </si>
  <si>
    <t>CA cloud annuel</t>
  </si>
  <si>
    <t>Achat SAP</t>
  </si>
  <si>
    <t xml:space="preserve">Marge cloud </t>
  </si>
  <si>
    <t>Marge %</t>
  </si>
  <si>
    <t>Montant vente annuel si prorata</t>
  </si>
  <si>
    <t>Montant annuel Achat si prorata</t>
  </si>
  <si>
    <t>Date anniversaire</t>
  </si>
  <si>
    <t>Mois d'imputation</t>
  </si>
  <si>
    <t>Fin de contrat SAP</t>
  </si>
  <si>
    <t>Type de contenu SAP</t>
  </si>
  <si>
    <t>Numéro de facture</t>
  </si>
  <si>
    <t>Date de facture</t>
  </si>
  <si>
    <t>CA maintenance réel</t>
  </si>
  <si>
    <t>Achat SAP  réel</t>
  </si>
  <si>
    <t>Marge maintenance réelle</t>
  </si>
  <si>
    <t>Proposition SAP reçue</t>
  </si>
  <si>
    <t>Proposition  SAP envoyée</t>
  </si>
  <si>
    <t>Proposition Seenovate créée</t>
  </si>
  <si>
    <t>Proposition Seenovate envoyée</t>
  </si>
  <si>
    <t>Proposition signée par le client</t>
  </si>
  <si>
    <t>Attente  N° Cde client avant facturation</t>
  </si>
  <si>
    <t>Facture  créée</t>
  </si>
  <si>
    <t>Commande faite SAP</t>
  </si>
  <si>
    <t>Facture SAP reçue</t>
  </si>
  <si>
    <t>Remarques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</si>
  <si>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</si>
  <si>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</si>
  <si>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</si>
  <si>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</si>
  <si>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</si>
  <si>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</si>
  <si>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</si>
  <si>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</si>
  <si>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</si>
  <si>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</si>
  <si>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</si>
  <si>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</si>
  <si>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PREVISIONS</t>
  </si>
  <si>
    <t>Lyon</t>
  </si>
  <si>
    <t>AGENCE NATIONALE DE COHESION DES TERRITOIRES</t>
  </si>
  <si>
    <t>Juin</t>
  </si>
  <si>
    <t>SCP/SAC</t>
  </si>
  <si>
    <t>ALPTIS</t>
  </si>
  <si>
    <t>Résiliation au 28/02/2023</t>
  </si>
  <si>
    <t>Paris</t>
  </si>
  <si>
    <t>BIOGARAN</t>
  </si>
  <si>
    <t>CCFLEX</t>
  </si>
  <si>
    <t>Mars</t>
  </si>
  <si>
    <t>25 NUL SAC</t>
  </si>
  <si>
    <t>10% du TCV</t>
  </si>
  <si>
    <t>10% de l'ACV</t>
  </si>
  <si>
    <t>CONSEIL SUPERIEUR DU NOTARIAT</t>
  </si>
  <si>
    <t>SAC/SCP</t>
  </si>
  <si>
    <t>COUR DES COMPTES</t>
  </si>
  <si>
    <t>360bind</t>
  </si>
  <si>
    <t>x</t>
  </si>
  <si>
    <t>ESSENTIEL ET DOMICILE</t>
  </si>
  <si>
    <t>SAC</t>
  </si>
  <si>
    <t>15 users</t>
  </si>
  <si>
    <t>FEDERATION FRANCAISE DE NATATION</t>
  </si>
  <si>
    <t>25 SAC</t>
  </si>
  <si>
    <t>FLEX N GATE</t>
  </si>
  <si>
    <t>CCP</t>
  </si>
  <si>
    <t>SAC Planning</t>
  </si>
  <si>
    <t>Datawarehousecloud</t>
  </si>
  <si>
    <t>GENERALE DE TELEPHONE</t>
  </si>
  <si>
    <t>Février</t>
  </si>
  <si>
    <t>HMY</t>
  </si>
  <si>
    <t>10 users SAC</t>
  </si>
  <si>
    <t>FAC-20190809-01591</t>
  </si>
  <si>
    <t>HYDRO (SAPA)</t>
  </si>
  <si>
    <t>3 users</t>
  </si>
  <si>
    <t>jamais acheté à SAP (reprise MICROPOLE)</t>
  </si>
  <si>
    <t>INTERINVEST</t>
  </si>
  <si>
    <t>10 users SAC + 1 Plan Pred Professional Edition</t>
  </si>
  <si>
    <t>FAC-20191003-01621</t>
  </si>
  <si>
    <t>Via Seenovate</t>
  </si>
  <si>
    <t>10 NUL SAC</t>
  </si>
  <si>
    <t>INTERSELECTION AA</t>
  </si>
  <si>
    <t>résiliation au 20/07/2022</t>
  </si>
  <si>
    <t>KLEE GROUP</t>
  </si>
  <si>
    <t>L'AUXILIAIRE</t>
  </si>
  <si>
    <t>LOXAM</t>
  </si>
  <si>
    <t>Rennes</t>
  </si>
  <si>
    <t>MACIF</t>
  </si>
  <si>
    <t>Appport d'affaires Need4viz</t>
  </si>
  <si>
    <t>Need4viz</t>
  </si>
  <si>
    <t>Bordeaux</t>
  </si>
  <si>
    <t>MEDECINS SANS FRONTIERE</t>
  </si>
  <si>
    <t>Jasper</t>
  </si>
  <si>
    <t>Premium</t>
  </si>
  <si>
    <t>METROPOLE DE DIJON</t>
  </si>
  <si>
    <t>3 ans facturé</t>
  </si>
  <si>
    <t>10 users</t>
  </si>
  <si>
    <t>Facturation OK 3 ans</t>
  </si>
  <si>
    <t>Tout est facturé en 2018</t>
  </si>
  <si>
    <t>3 ans facturé+ regul 0,41 an</t>
  </si>
  <si>
    <t>30 users</t>
  </si>
  <si>
    <t>Montpellier</t>
  </si>
  <si>
    <t>NUTRITION ET SANTE</t>
  </si>
  <si>
    <t>OAK CONSULTING</t>
  </si>
  <si>
    <t>août</t>
  </si>
  <si>
    <t>OCVIA MAINTENANCE</t>
  </si>
  <si>
    <t>résiliation au 31/12/2022</t>
  </si>
  <si>
    <t>PRISMA MEDIA</t>
  </si>
  <si>
    <t>résiliation au 31/12/2021</t>
  </si>
  <si>
    <t>ROUTIN</t>
  </si>
  <si>
    <t>31/02/2024</t>
  </si>
  <si>
    <t>SAC 25 NUL</t>
  </si>
  <si>
    <t>ROYAL CANIN</t>
  </si>
  <si>
    <t>GCP</t>
  </si>
  <si>
    <t>TDF</t>
  </si>
  <si>
    <t>200 users BOC</t>
  </si>
  <si>
    <t>FAC202001-01728</t>
  </si>
  <si>
    <t>360view</t>
  </si>
  <si>
    <t>TOTALENERGIES REPORTINGCEE</t>
  </si>
  <si>
    <t>TRANSGOURMET</t>
  </si>
  <si>
    <t>VALANTUR</t>
  </si>
  <si>
    <t>Résiliation au 30/09/2021</t>
  </si>
  <si>
    <t>CEVA SANTE</t>
  </si>
  <si>
    <t>Tagetik apport d'affaires</t>
  </si>
  <si>
    <t>CEVA SANTE rattrapage 2022</t>
  </si>
  <si>
    <t>Tagetik apport d'affaire</t>
  </si>
  <si>
    <t>INNOVAL</t>
  </si>
  <si>
    <t>SAC 3 ans 40 NU</t>
  </si>
  <si>
    <t>FOND DE GARANTIE VICTIMES</t>
  </si>
  <si>
    <t>360 eyes</t>
  </si>
  <si>
    <t>FIN DE DOCUMENT</t>
  </si>
  <si>
    <t>TOTAL HORS PREVISIONS</t>
  </si>
  <si>
    <t>TOTAL AVEC PREVISIONS</t>
  </si>
  <si>
    <t>RESILIATIONS</t>
  </si>
  <si>
    <t>ERP Number 
Réf SAP</t>
  </si>
  <si>
    <t>CA maintenance facturé</t>
  </si>
  <si>
    <t>Achat SAP Maintenance ou GBS ou NEED4VIZ</t>
  </si>
  <si>
    <t xml:space="preserve">Marge maintenance </t>
  </si>
  <si>
    <t>Type de support SAP</t>
  </si>
  <si>
    <t>Type de contrat</t>
  </si>
  <si>
    <t>Année de résiliation</t>
  </si>
  <si>
    <t>Resp
Commercial</t>
  </si>
  <si>
    <t>AMAX BLANCHARD</t>
  </si>
  <si>
    <t>Enterprise</t>
  </si>
  <si>
    <t>APREVA  (groupe AESIO)</t>
  </si>
  <si>
    <t>Entreprise</t>
  </si>
  <si>
    <t>BOBJ</t>
  </si>
  <si>
    <t>ASCOMETAL</t>
  </si>
  <si>
    <t>BISCUITERIE FILET BLEU</t>
  </si>
  <si>
    <t>CAMAIEU</t>
  </si>
  <si>
    <t>Standard</t>
  </si>
  <si>
    <t>SAP PAPER</t>
  </si>
  <si>
    <t>Liquidation judiciaire en 2022.</t>
  </si>
  <si>
    <t>CCI OCCITANIE</t>
  </si>
  <si>
    <t>CCPA</t>
  </si>
  <si>
    <t>CH FOCH</t>
  </si>
  <si>
    <t>DELSEY</t>
  </si>
  <si>
    <t>ENEDIS VIA CODILOG</t>
  </si>
  <si>
    <t>360</t>
  </si>
  <si>
    <t>EUROPE QUALITÉ</t>
  </si>
  <si>
    <t>Ex BPI</t>
  </si>
  <si>
    <t>HYDRO (SAPA France)</t>
  </si>
  <si>
    <t>ID BEAUTY</t>
  </si>
  <si>
    <t>Action judiciaire.</t>
  </si>
  <si>
    <t>INEO SYSTRANS</t>
  </si>
  <si>
    <t>sap PAPER</t>
  </si>
  <si>
    <t>LES ECHOS</t>
  </si>
  <si>
    <t>Fusion avec Le Parisien puis LVMH (SAP direct).</t>
  </si>
  <si>
    <t>LORANS SA</t>
  </si>
  <si>
    <t>MAIRIE DE VICHY</t>
  </si>
  <si>
    <t>SAP PATHRU</t>
  </si>
  <si>
    <t>MARIONNAUD</t>
  </si>
  <si>
    <t>MIJE</t>
  </si>
  <si>
    <t>Disparition de BO. Changement de contact. Crise COVID.</t>
  </si>
  <si>
    <t>OPAC 38 (ALPES ISERE HABITAT)</t>
  </si>
  <si>
    <t xml:space="preserve">BOBJ </t>
  </si>
  <si>
    <t>OUEST France</t>
  </si>
  <si>
    <t>ROSSMANN</t>
  </si>
  <si>
    <t>ROUTIN (360)</t>
  </si>
  <si>
    <t>SELOGER</t>
  </si>
  <si>
    <t>SERAP INDUSTRIES</t>
  </si>
  <si>
    <t>SILA</t>
  </si>
  <si>
    <t>SYNERGIE EST @rsoe</t>
  </si>
  <si>
    <t>TERRES INOVIA</t>
  </si>
  <si>
    <t xml:space="preserve">SAP PAPER </t>
  </si>
  <si>
    <t>TOP OFFICE</t>
  </si>
  <si>
    <t>TRAPIL (SOCIETE DES TRANSPORTS PETROLIERS)</t>
  </si>
  <si>
    <t>UGC</t>
  </si>
  <si>
    <t>N4Z</t>
  </si>
  <si>
    <t>UNIVERSITE PARIS DIDEROT</t>
  </si>
  <si>
    <t>VITIVISTA</t>
  </si>
  <si>
    <t>WEBHELP NL</t>
  </si>
  <si>
    <t>XEFI</t>
  </si>
  <si>
    <t>SDIS 49</t>
  </si>
  <si>
    <t>SAP BOBJ</t>
  </si>
  <si>
    <t>GLE</t>
  </si>
  <si>
    <t>OK</t>
  </si>
  <si>
    <t>SDIS 76</t>
  </si>
  <si>
    <t>BDE</t>
  </si>
  <si>
    <t>SDIS 76 (extension)</t>
  </si>
  <si>
    <t>ERP_Number_Ref_SAP</t>
  </si>
  <si>
    <t>Code projet Boond</t>
  </si>
  <si>
    <t>Montant vente annuel N+1</t>
  </si>
  <si>
    <t>Montant annuel Achat N+1</t>
  </si>
  <si>
    <t>Parc/Techno</t>
  </si>
  <si>
    <t>Relance client**</t>
  </si>
  <si>
    <t>Devis</t>
  </si>
  <si>
    <t>Accord de principe</t>
  </si>
  <si>
    <t>Signature client</t>
  </si>
  <si>
    <t>Achat éditeur</t>
  </si>
  <si>
    <t>Renouvelé</t>
  </si>
  <si>
    <t>Traitement comptable</t>
  </si>
  <si>
    <t>Paiement SAP</t>
  </si>
  <si>
    <t>Demande de résiliation</t>
  </si>
  <si>
    <t>Communication éditeur</t>
  </si>
  <si>
    <t>Résilié</t>
  </si>
  <si>
    <t>Converti ou Extension</t>
  </si>
  <si>
    <t>ADEF HABITAT (ALGONIS)</t>
  </si>
  <si>
    <t>A</t>
  </si>
  <si>
    <t>B</t>
  </si>
  <si>
    <t>C</t>
  </si>
  <si>
    <t>11-111111</t>
  </si>
  <si>
    <t>I</t>
  </si>
  <si>
    <t>J</t>
  </si>
  <si>
    <t>K</t>
  </si>
  <si>
    <t>AEGLE</t>
  </si>
  <si>
    <t>AFP</t>
  </si>
  <si>
    <t>AGC 22 (CER FRANCE 22)</t>
  </si>
  <si>
    <t>AGEAS</t>
  </si>
  <si>
    <t>AGEFIPH</t>
  </si>
  <si>
    <t>-</t>
  </si>
  <si>
    <t>360View</t>
  </si>
  <si>
    <t>AGENCE ESPACES VERTS ILE DE France</t>
  </si>
  <si>
    <t>AGRICA</t>
  </si>
  <si>
    <t>AKFED</t>
  </si>
  <si>
    <t>ACA</t>
  </si>
  <si>
    <t>ALKOR (MAJUSCULES)</t>
  </si>
  <si>
    <t>ALLIANCE OPTIQUE</t>
  </si>
  <si>
    <t>ALLIANZ AFRICA</t>
  </si>
  <si>
    <t>23/12/2022 - 16/01/2023</t>
  </si>
  <si>
    <t>ALPTIS (BO + DI Server)</t>
  </si>
  <si>
    <t>TCH - ACA</t>
  </si>
  <si>
    <t>23-000079</t>
  </si>
  <si>
    <t>ALPTIS (extension = pbs dates/prorata)</t>
  </si>
  <si>
    <t>fact ALPTIS sur année calendaire 2023. A recaler côté SAP pour 2024</t>
  </si>
  <si>
    <t>ALPTIS (Power Designer)</t>
  </si>
  <si>
    <t>23-000043</t>
  </si>
  <si>
    <t>ANGERS LOIRE HABITAT</t>
  </si>
  <si>
    <t>APRIL TECHNOLOGIES</t>
  </si>
  <si>
    <t>Janvier</t>
  </si>
  <si>
    <t>% aug PAPER non disponible</t>
  </si>
  <si>
    <t>CA205A2210-00537</t>
  </si>
  <si>
    <t>AREAS DOMMAGES</t>
  </si>
  <si>
    <t>Vu avec audrey</t>
  </si>
  <si>
    <t>ASCOVAL (résiliation anticipée)</t>
  </si>
  <si>
    <t>ATOL LES OPTICIENS</t>
  </si>
  <si>
    <t>2 contrats</t>
  </si>
  <si>
    <t>1 contrat</t>
  </si>
  <si>
    <t>AUTORITE DE LA CONCURRENCE</t>
  </si>
  <si>
    <t>AXA Liabilities Management</t>
  </si>
  <si>
    <t>BAI SA (BRITTANY FERRIES) - BO</t>
  </si>
  <si>
    <t>BAI SA (BRITTANY FERRIES) - Replication Server</t>
  </si>
  <si>
    <t>Condition de paiement</t>
  </si>
  <si>
    <t>Condition de facturation</t>
  </si>
  <si>
    <t>gratuit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</si>
</sst>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_€"/>
    <numFmt numFmtId="166" formatCode="#,##0.00\ &quot;€&quot;"/>
    <numFmt numFmtId="167" formatCode="[$-40C]mmm\-yy;@"/>
    <numFmt numFmtId="168" formatCode="dd/mm/yy;@"/>
  </numFmts>
  <fonts count="4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72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36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Calibri"/>
      <family val="2"/>
      <scheme val="minor"/>
    </font>
    <font>
      <b/>
      <sz val="4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9D08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2" borderId="0" applyNumberFormat="0" applyBorder="0" applyAlignment="0" applyProtection="0"/>
    <xf numFmtId="44" fontId="3" fillId="0" borderId="0" applyFont="0" applyFill="0" applyBorder="0" applyAlignment="0" applyProtection="0"/>
  </cellStyleXfs>
  <cellXfs count="317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6" borderId="1" xfId="0" applyFont="1" applyFill="1" applyBorder="1"/>
    <xf numFmtId="0" fontId="10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5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/>
    </xf>
    <xf numFmtId="2" fontId="8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0" fontId="5" fillId="9" borderId="6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2" borderId="1" xfId="3" applyFont="1" applyBorder="1"/>
    <xf numFmtId="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8" fillId="7" borderId="11" xfId="0" applyFont="1" applyFill="1" applyBorder="1" applyAlignment="1">
      <alignment vertical="center"/>
    </xf>
    <xf numFmtId="0" fontId="5" fillId="12" borderId="1" xfId="3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5" fillId="15" borderId="1" xfId="3" applyFont="1" applyFill="1" applyBorder="1" applyAlignment="1">
      <alignment horizontal="center" vertical="center"/>
    </xf>
    <xf numFmtId="0" fontId="0" fillId="15" borderId="1" xfId="3" applyFont="1" applyFill="1" applyBorder="1"/>
    <xf numFmtId="0" fontId="8" fillId="14" borderId="1" xfId="0" applyFont="1" applyFill="1" applyBorder="1" applyAlignment="1">
      <alignment horizontal="center" vertical="center"/>
    </xf>
    <xf numFmtId="4" fontId="20" fillId="7" borderId="1" xfId="0" applyNumberFormat="1" applyFont="1" applyFill="1" applyBorder="1" applyAlignment="1">
      <alignment horizontal="center" vertical="center"/>
    </xf>
    <xf numFmtId="4" fontId="21" fillId="9" borderId="9" xfId="0" applyNumberFormat="1" applyFont="1" applyFill="1" applyBorder="1"/>
    <xf numFmtId="9" fontId="21" fillId="9" borderId="9" xfId="1" applyFont="1" applyFill="1" applyBorder="1"/>
    <xf numFmtId="0" fontId="0" fillId="9" borderId="0" xfId="0" applyFill="1" applyAlignment="1">
      <alignment wrapText="1"/>
    </xf>
    <xf numFmtId="14" fontId="17" fillId="9" borderId="6" xfId="0" applyNumberFormat="1" applyFont="1" applyFill="1" applyBorder="1" applyAlignment="1">
      <alignment horizontal="center"/>
    </xf>
    <xf numFmtId="165" fontId="16" fillId="9" borderId="6" xfId="0" applyNumberFormat="1" applyFont="1" applyFill="1" applyBorder="1"/>
    <xf numFmtId="2" fontId="8" fillId="9" borderId="6" xfId="0" applyNumberFormat="1" applyFont="1" applyFill="1" applyBorder="1" applyAlignment="1">
      <alignment horizontal="center"/>
    </xf>
    <xf numFmtId="2" fontId="8" fillId="9" borderId="10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10" xfId="0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2" fontId="11" fillId="9" borderId="6" xfId="0" applyNumberFormat="1" applyFont="1" applyFill="1" applyBorder="1" applyAlignment="1">
      <alignment horizontal="center"/>
    </xf>
    <xf numFmtId="2" fontId="11" fillId="9" borderId="6" xfId="0" applyNumberFormat="1" applyFont="1" applyFill="1" applyBorder="1"/>
    <xf numFmtId="0" fontId="17" fillId="9" borderId="6" xfId="0" applyFont="1" applyFill="1" applyBorder="1" applyAlignment="1">
      <alignment horizontal="center"/>
    </xf>
    <xf numFmtId="14" fontId="21" fillId="9" borderId="6" xfId="0" applyNumberFormat="1" applyFont="1" applyFill="1" applyBorder="1" applyAlignment="1">
      <alignment horizontal="left"/>
    </xf>
    <xf numFmtId="164" fontId="0" fillId="9" borderId="9" xfId="2" applyFont="1" applyFill="1" applyBorder="1"/>
    <xf numFmtId="164" fontId="0" fillId="0" borderId="0" xfId="2" applyFont="1"/>
    <xf numFmtId="164" fontId="18" fillId="9" borderId="9" xfId="2" applyFont="1" applyFill="1" applyBorder="1"/>
    <xf numFmtId="0" fontId="0" fillId="9" borderId="1" xfId="0" applyFill="1" applyBorder="1"/>
    <xf numFmtId="4" fontId="21" fillId="9" borderId="1" xfId="0" applyNumberFormat="1" applyFont="1" applyFill="1" applyBorder="1"/>
    <xf numFmtId="9" fontId="21" fillId="9" borderId="1" xfId="1" applyFont="1" applyFill="1" applyBorder="1"/>
    <xf numFmtId="164" fontId="0" fillId="9" borderId="1" xfId="2" applyFont="1" applyFill="1" applyBorder="1"/>
    <xf numFmtId="14" fontId="0" fillId="9" borderId="1" xfId="0" applyNumberFormat="1" applyFill="1" applyBorder="1"/>
    <xf numFmtId="14" fontId="21" fillId="9" borderId="1" xfId="0" applyNumberFormat="1" applyFont="1" applyFill="1" applyBorder="1" applyAlignment="1">
      <alignment horizontal="left"/>
    </xf>
    <xf numFmtId="14" fontId="0" fillId="9" borderId="1" xfId="0" applyNumberFormat="1" applyFill="1" applyBorder="1" applyAlignment="1">
      <alignment horizontal="center"/>
    </xf>
    <xf numFmtId="14" fontId="17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wrapText="1"/>
    </xf>
    <xf numFmtId="14" fontId="9" fillId="9" borderId="1" xfId="0" applyNumberFormat="1" applyFont="1" applyFill="1" applyBorder="1"/>
    <xf numFmtId="165" fontId="16" fillId="9" borderId="1" xfId="0" applyNumberFormat="1" applyFont="1" applyFill="1" applyBorder="1"/>
    <xf numFmtId="2" fontId="8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0" fillId="0" borderId="1" xfId="0" applyBorder="1"/>
    <xf numFmtId="4" fontId="21" fillId="0" borderId="1" xfId="0" applyNumberFormat="1" applyFont="1" applyBorder="1"/>
    <xf numFmtId="9" fontId="21" fillId="0" borderId="1" xfId="1" applyFont="1" applyFill="1" applyBorder="1"/>
    <xf numFmtId="164" fontId="0" fillId="0" borderId="1" xfId="2" applyFont="1" applyFill="1" applyBorder="1"/>
    <xf numFmtId="14" fontId="9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165" fontId="16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14" fontId="21" fillId="0" borderId="1" xfId="0" applyNumberFormat="1" applyFont="1" applyBorder="1"/>
    <xf numFmtId="14" fontId="1" fillId="0" borderId="1" xfId="0" applyNumberFormat="1" applyFont="1" applyBorder="1"/>
    <xf numFmtId="0" fontId="12" fillId="0" borderId="1" xfId="0" applyFont="1" applyBorder="1"/>
    <xf numFmtId="0" fontId="1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0" fontId="8" fillId="9" borderId="1" xfId="0" applyFont="1" applyFill="1" applyBorder="1"/>
    <xf numFmtId="0" fontId="1" fillId="15" borderId="1" xfId="3" applyFont="1" applyFill="1" applyBorder="1"/>
    <xf numFmtId="9" fontId="21" fillId="7" borderId="9" xfId="1" applyFont="1" applyFill="1" applyBorder="1"/>
    <xf numFmtId="4" fontId="23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left" vertical="center"/>
    </xf>
    <xf numFmtId="9" fontId="21" fillId="0" borderId="1" xfId="1" applyFont="1" applyBorder="1"/>
    <xf numFmtId="164" fontId="0" fillId="0" borderId="1" xfId="2" applyFont="1" applyBorder="1"/>
    <xf numFmtId="0" fontId="24" fillId="9" borderId="1" xfId="3" applyFont="1" applyFill="1" applyBorder="1" applyAlignment="1">
      <alignment vertical="center"/>
    </xf>
    <xf numFmtId="0" fontId="0" fillId="2" borderId="1" xfId="3" applyFont="1" applyFill="1" applyBorder="1" applyAlignment="1">
      <alignment vertical="center"/>
    </xf>
    <xf numFmtId="0" fontId="8" fillId="10" borderId="0" xfId="0" applyFont="1" applyFill="1"/>
    <xf numFmtId="4" fontId="8" fillId="10" borderId="0" xfId="0" applyNumberFormat="1" applyFont="1" applyFill="1"/>
    <xf numFmtId="9" fontId="8" fillId="10" borderId="0" xfId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2" fontId="17" fillId="9" borderId="6" xfId="0" applyNumberFormat="1" applyFont="1" applyFill="1" applyBorder="1" applyAlignment="1">
      <alignment horizontal="center"/>
    </xf>
    <xf numFmtId="2" fontId="17" fillId="9" borderId="6" xfId="0" applyNumberFormat="1" applyFont="1" applyFill="1" applyBorder="1" applyAlignment="1">
      <alignment horizontal="left" wrapText="1"/>
    </xf>
    <xf numFmtId="14" fontId="0" fillId="0" borderId="0" xfId="2" applyNumberFormat="1" applyFont="1" applyFill="1"/>
    <xf numFmtId="164" fontId="17" fillId="9" borderId="6" xfId="2" applyFont="1" applyFill="1" applyBorder="1" applyAlignment="1">
      <alignment horizontal="center"/>
    </xf>
    <xf numFmtId="0" fontId="9" fillId="0" borderId="2" xfId="0" applyFont="1" applyBorder="1"/>
    <xf numFmtId="0" fontId="5" fillId="15" borderId="1" xfId="3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165" fontId="0" fillId="9" borderId="1" xfId="0" applyNumberFormat="1" applyFill="1" applyBorder="1"/>
    <xf numFmtId="0" fontId="5" fillId="6" borderId="1" xfId="0" applyFont="1" applyFill="1" applyBorder="1"/>
    <xf numFmtId="14" fontId="17" fillId="9" borderId="1" xfId="0" applyNumberFormat="1" applyFont="1" applyFill="1" applyBorder="1"/>
    <xf numFmtId="14" fontId="1" fillId="9" borderId="1" xfId="0" applyNumberFormat="1" applyFont="1" applyFill="1" applyBorder="1"/>
    <xf numFmtId="0" fontId="17" fillId="9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left" wrapText="1"/>
    </xf>
    <xf numFmtId="14" fontId="17" fillId="9" borderId="1" xfId="0" applyNumberFormat="1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7" fontId="9" fillId="9" borderId="1" xfId="0" applyNumberFormat="1" applyFont="1" applyFill="1" applyBorder="1" applyAlignment="1">
      <alignment horizontal="center"/>
    </xf>
    <xf numFmtId="17" fontId="8" fillId="9" borderId="1" xfId="0" applyNumberFormat="1" applyFont="1" applyFill="1" applyBorder="1" applyAlignment="1">
      <alignment horizontal="center"/>
    </xf>
    <xf numFmtId="0" fontId="17" fillId="9" borderId="1" xfId="0" quotePrefix="1" applyFont="1" applyFill="1" applyBorder="1" applyAlignment="1">
      <alignment horizontal="center"/>
    </xf>
    <xf numFmtId="0" fontId="15" fillId="11" borderId="0" xfId="0" applyFont="1" applyFill="1" applyAlignment="1">
      <alignment horizontal="center" vertical="center" wrapText="1"/>
    </xf>
    <xf numFmtId="166" fontId="0" fillId="9" borderId="1" xfId="0" applyNumberFormat="1" applyFill="1" applyBorder="1"/>
    <xf numFmtId="14" fontId="21" fillId="9" borderId="1" xfId="0" applyNumberFormat="1" applyFont="1" applyFill="1" applyBorder="1"/>
    <xf numFmtId="165" fontId="0" fillId="9" borderId="1" xfId="0" applyNumberFormat="1" applyFill="1" applyBorder="1" applyAlignment="1">
      <alignment horizontal="right"/>
    </xf>
    <xf numFmtId="166" fontId="9" fillId="9" borderId="1" xfId="0" applyNumberFormat="1" applyFont="1" applyFill="1" applyBorder="1"/>
    <xf numFmtId="165" fontId="1" fillId="9" borderId="1" xfId="0" applyNumberFormat="1" applyFont="1" applyFill="1" applyBorder="1"/>
    <xf numFmtId="4" fontId="1" fillId="9" borderId="1" xfId="0" applyNumberFormat="1" applyFont="1" applyFill="1" applyBorder="1"/>
    <xf numFmtId="9" fontId="1" fillId="9" borderId="1" xfId="1" applyFont="1" applyFill="1" applyBorder="1"/>
    <xf numFmtId="14" fontId="1" fillId="9" borderId="0" xfId="2" applyNumberFormat="1" applyFont="1" applyFill="1"/>
    <xf numFmtId="165" fontId="5" fillId="9" borderId="1" xfId="0" applyNumberFormat="1" applyFont="1" applyFill="1" applyBorder="1"/>
    <xf numFmtId="14" fontId="0" fillId="9" borderId="0" xfId="2" applyNumberFormat="1" applyFont="1" applyFill="1"/>
    <xf numFmtId="14" fontId="9" fillId="9" borderId="4" xfId="0" applyNumberFormat="1" applyFont="1" applyFill="1" applyBorder="1"/>
    <xf numFmtId="2" fontId="5" fillId="9" borderId="1" xfId="0" applyNumberFormat="1" applyFont="1" applyFill="1" applyBorder="1" applyAlignment="1">
      <alignment horizontal="right"/>
    </xf>
    <xf numFmtId="2" fontId="5" fillId="9" borderId="1" xfId="0" applyNumberFormat="1" applyFont="1" applyFill="1" applyBorder="1"/>
    <xf numFmtId="0" fontId="17" fillId="0" borderId="1" xfId="0" applyFont="1" applyBorder="1" applyAlignment="1">
      <alignment horizontal="center"/>
    </xf>
    <xf numFmtId="166" fontId="9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/>
    </xf>
    <xf numFmtId="165" fontId="5" fillId="9" borderId="6" xfId="0" applyNumberFormat="1" applyFont="1" applyFill="1" applyBorder="1"/>
    <xf numFmtId="0" fontId="26" fillId="0" borderId="1" xfId="0" applyFont="1" applyBorder="1" applyAlignment="1">
      <alignment horizontal="center"/>
    </xf>
    <xf numFmtId="165" fontId="27" fillId="9" borderId="1" xfId="0" applyNumberFormat="1" applyFont="1" applyFill="1" applyBorder="1"/>
    <xf numFmtId="165" fontId="28" fillId="16" borderId="1" xfId="0" applyNumberFormat="1" applyFont="1" applyFill="1" applyBorder="1" applyAlignment="1">
      <alignment horizontal="center"/>
    </xf>
    <xf numFmtId="0" fontId="0" fillId="0" borderId="7" xfId="0" applyBorder="1"/>
    <xf numFmtId="166" fontId="29" fillId="0" borderId="1" xfId="0" applyNumberFormat="1" applyFont="1" applyBorder="1"/>
    <xf numFmtId="0" fontId="31" fillId="14" borderId="1" xfId="0" applyFont="1" applyFill="1" applyBorder="1" applyAlignment="1">
      <alignment horizontal="center" vertical="center"/>
    </xf>
    <xf numFmtId="0" fontId="31" fillId="12" borderId="1" xfId="3" applyFont="1" applyBorder="1" applyAlignment="1">
      <alignment horizontal="center" vertical="center"/>
    </xf>
    <xf numFmtId="0" fontId="31" fillId="15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9" fillId="9" borderId="1" xfId="0" applyNumberFormat="1" applyFont="1" applyFill="1" applyBorder="1" applyAlignment="1">
      <alignment horizontal="right"/>
    </xf>
    <xf numFmtId="166" fontId="1" fillId="9" borderId="1" xfId="0" applyNumberFormat="1" applyFont="1" applyFill="1" applyBorder="1"/>
    <xf numFmtId="166" fontId="1" fillId="0" borderId="1" xfId="0" applyNumberFormat="1" applyFont="1" applyBorder="1"/>
    <xf numFmtId="0" fontId="3" fillId="1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1" fillId="7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3" fillId="0" borderId="1" xfId="0" applyFont="1" applyBorder="1"/>
    <xf numFmtId="9" fontId="21" fillId="7" borderId="1" xfId="1" applyFont="1" applyFill="1" applyBorder="1"/>
    <xf numFmtId="0" fontId="0" fillId="3" borderId="1" xfId="0" applyFill="1" applyBorder="1"/>
    <xf numFmtId="0" fontId="0" fillId="8" borderId="1" xfId="0" applyFill="1" applyBorder="1"/>
    <xf numFmtId="14" fontId="17" fillId="9" borderId="1" xfId="0" quotePrefix="1" applyNumberFormat="1" applyFont="1" applyFill="1" applyBorder="1" applyAlignment="1">
      <alignment horizontal="center"/>
    </xf>
    <xf numFmtId="0" fontId="0" fillId="7" borderId="1" xfId="0" applyFill="1" applyBorder="1"/>
    <xf numFmtId="0" fontId="25" fillId="7" borderId="1" xfId="0" applyFont="1" applyFill="1" applyBorder="1" applyAlignment="1">
      <alignment horizontal="center"/>
    </xf>
    <xf numFmtId="4" fontId="21" fillId="7" borderId="1" xfId="0" applyNumberFormat="1" applyFont="1" applyFill="1" applyBorder="1"/>
    <xf numFmtId="164" fontId="0" fillId="7" borderId="1" xfId="2" applyFont="1" applyFill="1" applyBorder="1"/>
    <xf numFmtId="0" fontId="8" fillId="17" borderId="1" xfId="0" applyFont="1" applyFill="1" applyBorder="1" applyAlignment="1">
      <alignment vertical="center"/>
    </xf>
    <xf numFmtId="49" fontId="3" fillId="0" borderId="0" xfId="0" applyNumberFormat="1" applyFont="1"/>
    <xf numFmtId="49" fontId="31" fillId="13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165" fontId="9" fillId="9" borderId="1" xfId="0" applyNumberFormat="1" applyFont="1" applyFill="1" applyBorder="1"/>
    <xf numFmtId="0" fontId="21" fillId="9" borderId="1" xfId="1" applyNumberFormat="1" applyFont="1" applyFill="1" applyBorder="1"/>
    <xf numFmtId="4" fontId="1" fillId="0" borderId="1" xfId="0" applyNumberFormat="1" applyFont="1" applyBorder="1"/>
    <xf numFmtId="9" fontId="1" fillId="0" borderId="1" xfId="1" applyFont="1" applyFill="1" applyBorder="1"/>
    <xf numFmtId="2" fontId="1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12" borderId="1" xfId="3" applyFont="1" applyBorder="1"/>
    <xf numFmtId="49" fontId="30" fillId="0" borderId="0" xfId="0" applyNumberFormat="1" applyFont="1" applyAlignment="1">
      <alignment horizontal="center" vertical="center"/>
    </xf>
    <xf numFmtId="0" fontId="8" fillId="8" borderId="1" xfId="0" applyFont="1" applyFill="1" applyBorder="1"/>
    <xf numFmtId="167" fontId="9" fillId="9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/>
    </xf>
    <xf numFmtId="1" fontId="17" fillId="9" borderId="1" xfId="0" quotePrefix="1" applyNumberFormat="1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31" fillId="4" borderId="1" xfId="0" applyFont="1" applyFill="1" applyBorder="1" applyAlignment="1">
      <alignment horizontal="center" vertical="center" wrapText="1"/>
    </xf>
    <xf numFmtId="14" fontId="17" fillId="9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3" fillId="0" borderId="15" xfId="0" applyFont="1" applyBorder="1"/>
    <xf numFmtId="0" fontId="0" fillId="0" borderId="15" xfId="0" applyBorder="1"/>
    <xf numFmtId="0" fontId="33" fillId="0" borderId="0" xfId="0" applyFont="1"/>
    <xf numFmtId="165" fontId="22" fillId="0" borderId="1" xfId="0" applyNumberFormat="1" applyFont="1" applyBorder="1"/>
    <xf numFmtId="166" fontId="35" fillId="0" borderId="1" xfId="0" applyNumberFormat="1" applyFont="1" applyBorder="1"/>
    <xf numFmtId="4" fontId="9" fillId="0" borderId="1" xfId="0" applyNumberFormat="1" applyFont="1" applyBorder="1"/>
    <xf numFmtId="9" fontId="9" fillId="0" borderId="1" xfId="1" applyFont="1" applyFill="1" applyBorder="1"/>
    <xf numFmtId="168" fontId="5" fillId="9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166" fontId="9" fillId="6" borderId="1" xfId="0" applyNumberFormat="1" applyFont="1" applyFill="1" applyBorder="1"/>
    <xf numFmtId="166" fontId="9" fillId="6" borderId="1" xfId="2" applyNumberFormat="1" applyFont="1" applyFill="1" applyBorder="1"/>
    <xf numFmtId="166" fontId="9" fillId="6" borderId="1" xfId="0" applyNumberFormat="1" applyFont="1" applyFill="1" applyBorder="1" applyAlignment="1">
      <alignment horizontal="right"/>
    </xf>
    <xf numFmtId="166" fontId="0" fillId="6" borderId="1" xfId="0" applyNumberFormat="1" applyFill="1" applyBorder="1"/>
    <xf numFmtId="0" fontId="0" fillId="0" borderId="3" xfId="0" applyBorder="1"/>
    <xf numFmtId="14" fontId="0" fillId="9" borderId="4" xfId="0" applyNumberFormat="1" applyFill="1" applyBorder="1"/>
    <xf numFmtId="0" fontId="0" fillId="0" borderId="1" xfId="0" applyBorder="1" applyAlignment="1">
      <alignment vertical="center"/>
    </xf>
    <xf numFmtId="2" fontId="5" fillId="9" borderId="6" xfId="0" applyNumberFormat="1" applyFont="1" applyFill="1" applyBorder="1"/>
    <xf numFmtId="165" fontId="5" fillId="9" borderId="0" xfId="0" applyNumberFormat="1" applyFont="1" applyFill="1"/>
    <xf numFmtId="2" fontId="5" fillId="9" borderId="9" xfId="0" applyNumberFormat="1" applyFont="1" applyFill="1" applyBorder="1"/>
    <xf numFmtId="165" fontId="5" fillId="9" borderId="9" xfId="0" applyNumberFormat="1" applyFont="1" applyFill="1" applyBorder="1"/>
    <xf numFmtId="164" fontId="0" fillId="9" borderId="6" xfId="2" applyFont="1" applyFill="1" applyBorder="1"/>
    <xf numFmtId="14" fontId="0" fillId="9" borderId="0" xfId="0" applyNumberFormat="1" applyFill="1"/>
    <xf numFmtId="14" fontId="1" fillId="9" borderId="4" xfId="2" applyNumberFormat="1" applyFont="1" applyFill="1" applyBorder="1"/>
    <xf numFmtId="14" fontId="1" fillId="9" borderId="1" xfId="2" applyNumberFormat="1" applyFont="1" applyFill="1" applyBorder="1"/>
    <xf numFmtId="14" fontId="3" fillId="9" borderId="3" xfId="2" applyNumberFormat="1" applyFont="1" applyFill="1" applyBorder="1"/>
    <xf numFmtId="14" fontId="0" fillId="9" borderId="1" xfId="2" applyNumberFormat="1" applyFont="1" applyFill="1" applyBorder="1"/>
    <xf numFmtId="14" fontId="9" fillId="9" borderId="0" xfId="0" applyNumberFormat="1" applyFont="1" applyFill="1"/>
    <xf numFmtId="14" fontId="1" fillId="9" borderId="4" xfId="0" applyNumberFormat="1" applyFont="1" applyFill="1" applyBorder="1"/>
    <xf numFmtId="14" fontId="1" fillId="9" borderId="0" xfId="0" applyNumberFormat="1" applyFont="1" applyFill="1"/>
    <xf numFmtId="14" fontId="0" fillId="9" borderId="2" xfId="2" applyNumberFormat="1" applyFont="1" applyFill="1" applyBorder="1"/>
    <xf numFmtId="14" fontId="21" fillId="9" borderId="6" xfId="0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1" xfId="2" applyNumberFormat="1" applyFont="1" applyFill="1" applyBorder="1"/>
    <xf numFmtId="14" fontId="0" fillId="0" borderId="0" xfId="0" applyNumberFormat="1"/>
    <xf numFmtId="14" fontId="0" fillId="0" borderId="3" xfId="2" applyNumberFormat="1" applyFont="1" applyFill="1" applyBorder="1"/>
    <xf numFmtId="14" fontId="0" fillId="9" borderId="0" xfId="0" applyNumberFormat="1" applyFill="1" applyAlignment="1">
      <alignment horizontal="center"/>
    </xf>
    <xf numFmtId="14" fontId="3" fillId="9" borderId="1" xfId="2" applyNumberFormat="1" applyFont="1" applyFill="1" applyBorder="1"/>
    <xf numFmtId="14" fontId="17" fillId="0" borderId="6" xfId="0" applyNumberFormat="1" applyFont="1" applyBorder="1" applyAlignment="1">
      <alignment horizontal="center"/>
    </xf>
    <xf numFmtId="2" fontId="17" fillId="9" borderId="1" xfId="0" applyNumberFormat="1" applyFont="1" applyFill="1" applyBorder="1" applyAlignment="1">
      <alignment horizontal="center"/>
    </xf>
    <xf numFmtId="0" fontId="0" fillId="0" borderId="6" xfId="0" applyBorder="1"/>
    <xf numFmtId="2" fontId="17" fillId="9" borderId="1" xfId="0" applyNumberFormat="1" applyFont="1" applyFill="1" applyBorder="1" applyAlignment="1">
      <alignment horizontal="left" wrapText="1"/>
    </xf>
    <xf numFmtId="0" fontId="9" fillId="0" borderId="6" xfId="0" applyFont="1" applyBorder="1"/>
    <xf numFmtId="2" fontId="0" fillId="9" borderId="1" xfId="0" applyNumberFormat="1" applyFill="1" applyBorder="1" applyAlignment="1">
      <alignment horizontal="left" wrapText="1"/>
    </xf>
    <xf numFmtId="2" fontId="17" fillId="9" borderId="2" xfId="0" applyNumberFormat="1" applyFont="1" applyFill="1" applyBorder="1" applyAlignment="1">
      <alignment horizontal="left" wrapText="1"/>
    </xf>
    <xf numFmtId="0" fontId="0" fillId="0" borderId="13" xfId="0" applyBorder="1"/>
    <xf numFmtId="14" fontId="17" fillId="8" borderId="1" xfId="0" applyNumberFormat="1" applyFont="1" applyFill="1" applyBorder="1" applyAlignment="1">
      <alignment horizontal="center"/>
    </xf>
    <xf numFmtId="0" fontId="17" fillId="9" borderId="13" xfId="0" applyFont="1" applyFill="1" applyBorder="1" applyAlignment="1">
      <alignment horizontal="center"/>
    </xf>
    <xf numFmtId="14" fontId="0" fillId="0" borderId="6" xfId="0" applyNumberFormat="1" applyBorder="1"/>
    <xf numFmtId="14" fontId="9" fillId="9" borderId="6" xfId="0" applyNumberFormat="1" applyFont="1" applyFill="1" applyBorder="1"/>
    <xf numFmtId="14" fontId="0" fillId="9" borderId="6" xfId="0" applyNumberFormat="1" applyFill="1" applyBorder="1"/>
    <xf numFmtId="14" fontId="9" fillId="0" borderId="6" xfId="0" applyNumberFormat="1" applyFont="1" applyBorder="1"/>
    <xf numFmtId="165" fontId="16" fillId="0" borderId="6" xfId="0" applyNumberFormat="1" applyFont="1" applyBorder="1"/>
    <xf numFmtId="2" fontId="8" fillId="0" borderId="6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166" fontId="0" fillId="6" borderId="1" xfId="0" applyNumberFormat="1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166" fontId="22" fillId="2" borderId="1" xfId="0" applyNumberFormat="1" applyFont="1" applyFill="1" applyBorder="1"/>
    <xf numFmtId="166" fontId="36" fillId="2" borderId="1" xfId="0" applyNumberFormat="1" applyFont="1" applyFill="1" applyBorder="1"/>
    <xf numFmtId="166" fontId="36" fillId="2" borderId="1" xfId="2" applyNumberFormat="1" applyFont="1" applyFill="1" applyBorder="1"/>
    <xf numFmtId="2" fontId="27" fillId="9" borderId="1" xfId="0" applyNumberFormat="1" applyFont="1" applyFill="1" applyBorder="1"/>
    <xf numFmtId="0" fontId="12" fillId="6" borderId="1" xfId="0" applyFont="1" applyFill="1" applyBorder="1"/>
    <xf numFmtId="166" fontId="1" fillId="2" borderId="1" xfId="0" applyNumberFormat="1" applyFont="1" applyFill="1" applyBorder="1"/>
    <xf numFmtId="166" fontId="18" fillId="2" borderId="1" xfId="0" applyNumberFormat="1" applyFont="1" applyFill="1" applyBorder="1"/>
    <xf numFmtId="0" fontId="0" fillId="15" borderId="0" xfId="3" applyFont="1" applyFill="1"/>
    <xf numFmtId="0" fontId="0" fillId="12" borderId="0" xfId="3" applyFont="1"/>
    <xf numFmtId="168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28" fillId="16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14" fontId="21" fillId="0" borderId="0" xfId="0" applyNumberFormat="1" applyFont="1"/>
    <xf numFmtId="166" fontId="0" fillId="0" borderId="0" xfId="0" applyNumberFormat="1"/>
    <xf numFmtId="9" fontId="21" fillId="0" borderId="0" xfId="1" applyFont="1"/>
    <xf numFmtId="4" fontId="21" fillId="0" borderId="0" xfId="0" applyNumberFormat="1" applyFont="1"/>
    <xf numFmtId="166" fontId="22" fillId="0" borderId="0" xfId="0" applyNumberFormat="1" applyFont="1"/>
    <xf numFmtId="0" fontId="8" fillId="0" borderId="0" xfId="0" applyFont="1"/>
    <xf numFmtId="49" fontId="9" fillId="0" borderId="1" xfId="0" applyNumberFormat="1" applyFont="1" applyBorder="1" applyAlignment="1">
      <alignment horizontal="center"/>
    </xf>
    <xf numFmtId="165" fontId="41" fillId="16" borderId="1" xfId="0" applyNumberFormat="1" applyFont="1" applyFill="1" applyBorder="1" applyAlignment="1">
      <alignment horizontal="center"/>
    </xf>
    <xf numFmtId="0" fontId="9" fillId="12" borderId="1" xfId="3" applyFont="1" applyBorder="1"/>
    <xf numFmtId="0" fontId="9" fillId="15" borderId="1" xfId="3" applyFont="1" applyFill="1" applyBorder="1"/>
    <xf numFmtId="164" fontId="22" fillId="9" borderId="1" xfId="2" applyFont="1" applyFill="1" applyBorder="1"/>
    <xf numFmtId="165" fontId="12" fillId="9" borderId="1" xfId="0" applyNumberFormat="1" applyFont="1" applyFill="1" applyBorder="1"/>
    <xf numFmtId="0" fontId="0" fillId="2" borderId="0" xfId="0" applyFill="1"/>
    <xf numFmtId="0" fontId="0" fillId="5" borderId="0" xfId="0" applyFill="1"/>
    <xf numFmtId="0" fontId="42" fillId="0" borderId="0" xfId="0" applyFont="1" applyAlignment="1">
      <alignment vertical="center"/>
    </xf>
    <xf numFmtId="0" fontId="5" fillId="18" borderId="1" xfId="0" applyFont="1" applyFill="1" applyBorder="1"/>
    <xf numFmtId="166" fontId="9" fillId="18" borderId="1" xfId="0" applyNumberFormat="1" applyFont="1" applyFill="1" applyBorder="1"/>
    <xf numFmtId="0" fontId="3" fillId="9" borderId="1" xfId="0" applyFont="1" applyFill="1" applyBorder="1"/>
    <xf numFmtId="0" fontId="25" fillId="9" borderId="1" xfId="0" applyFont="1" applyFill="1" applyBorder="1" applyAlignment="1">
      <alignment horizontal="center"/>
    </xf>
    <xf numFmtId="166" fontId="18" fillId="9" borderId="1" xfId="0" applyNumberFormat="1" applyFont="1" applyFill="1" applyBorder="1"/>
    <xf numFmtId="0" fontId="27" fillId="0" borderId="1" xfId="0" applyFont="1" applyBorder="1"/>
    <xf numFmtId="166" fontId="25" fillId="0" borderId="1" xfId="0" applyNumberFormat="1" applyFont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14" fontId="8" fillId="9" borderId="1" xfId="0" applyNumberFormat="1" applyFont="1" applyFill="1" applyBorder="1" applyAlignment="1">
      <alignment horizontal="center"/>
    </xf>
    <xf numFmtId="0" fontId="5" fillId="15" borderId="1" xfId="3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15" fillId="11" borderId="0" xfId="0" applyFont="1" applyFill="1" applyAlignment="1">
      <alignment horizontal="center" vertical="center" wrapText="1"/>
    </xf>
    <xf numFmtId="0" fontId="5" fillId="14" borderId="1" xfId="0" applyFont="1" applyFill="1" applyBorder="1" applyAlignment="1">
      <alignment horizontal="center"/>
    </xf>
    <xf numFmtId="0" fontId="5" fillId="12" borderId="1" xfId="3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</cellXfs>
  <cellStyles count="5">
    <cellStyle name="20 % - Accent2" xfId="3" builtinId="34"/>
    <cellStyle name="Milliers" xfId="2" builtinId="3"/>
    <cellStyle name="Monétaire 2" xfId="4" xr:uid="{BE259E11-BCD2-4495-ADC8-A57BF1278384}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8000"/>
      <color rgb="FF0066FF"/>
      <color rgb="FFFFCCFF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eenovate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296333</xdr:colOff>
      <xdr:row>1</xdr:row>
      <xdr:rowOff>146756</xdr:rowOff>
    </xdr:from>
    <xdr:to>
      <xdr:col>1</xdr:col>
      <xdr:colOff>1897380</xdr:colOff>
      <xdr:row>3</xdr:row>
      <xdr:rowOff>0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822008CD-0B07-AB49-99CD-E69DF42D38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13" y="329636"/>
          <a:ext cx="1601047" cy="8971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469900</xdr:colOff>
      <xdr:row>1</xdr:row>
      <xdr:rowOff>0</xdr:rowOff>
    </xdr:from>
    <xdr:to>
      <xdr:col>1</xdr:col>
      <xdr:colOff>2287905</xdr:colOff>
      <xdr:row>1</xdr:row>
      <xdr:rowOff>1002665</xdr:rowOff>
    </xdr:to>
    <xdr:pic>
      <xdr:nvPicPr>
        <xdr:cNvPr id="2" name="Image 1" descr="logo_seenovate">
          <a:hlinkClick xmlns:r="http://schemas.openxmlformats.org/officeDocument/2006/relationships" r:id="rId1" tooltip="Site web"/>
          <a:extLst>
            <a:ext uri="{FF2B5EF4-FFF2-40B4-BE49-F238E27FC236}">
              <a16:creationId xmlns:a16="http://schemas.microsoft.com/office/drawing/2014/main" id="{C0E4EEDD-1FD2-4930-9257-18A92C1F8A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80975"/>
          <a:ext cx="1818005" cy="1002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516254</xdr:colOff>
      <xdr:row>0</xdr:row>
      <xdr:rowOff>127634</xdr:rowOff>
    </xdr:from>
    <xdr:to>
      <xdr:col>1</xdr:col>
      <xdr:colOff>533400</xdr:colOff>
      <xdr:row>0</xdr:row>
      <xdr:rowOff>573404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11C6C8D0-F3A4-4FE1-A0BB-860F8F3686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4" y="127634"/>
          <a:ext cx="798196" cy="445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131657</xdr:colOff>
      <xdr:row>0</xdr:row>
      <xdr:rowOff>0</xdr:rowOff>
    </xdr:from>
    <xdr:to>
      <xdr:col>0</xdr:col>
      <xdr:colOff>934932</xdr:colOff>
      <xdr:row>0</xdr:row>
      <xdr:rowOff>460375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E8274E1A-28F8-4F86-A3C9-9AB3E54E21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7" y="272204"/>
          <a:ext cx="805815" cy="448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égory LEROUX" id="{C5D2CC8A-44EF-403A-9BFA-0EDEDBDF960E}" userId="S::gregory.leroux@seenovate.com::ae48d90f-43f8-4f35-bfae-3c47e6986e7a" providerId="AD"/>
  <person displayName="Audrey Carneiro" id="{E7A34A8E-C034-469E-849C-6BCB5949BFF3}" userId="S::audrey.carneiro@seenovate.com::4467a5a8-b806-471b-8dad-eef9076dc0df" providerId="AD"/>
  <person displayName="Dominique LOPEZ" id="{699172A9-EB31-494D-B1B6-0DC56F9024F1}" userId="S::dominique.lopez@seenovate.com::250a01b8-3447-4efb-8cab-1e9805aeded0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4" dT="2022-11-28T13:46:29.32" personId="{699172A9-EB31-494D-B1B6-0DC56F9024F1}" id="{8641083D-B7C5-4F76-A571-B5FC7DE0BDAE}">
    <text xml:space="preserve">5206.32 € total factures SAP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5" dT="2022-12-20T10:29:29.67" personId="{C5D2CC8A-44EF-403A-9BFA-0EDEDBDF960E}" id="{5EE1CFCA-3B8F-40CC-86CC-CD25FD4705E2}">
    <text>Le client a payé directement sans facture !!!</text>
  </threadedComment>
  <threadedComment ref="G13" dT="2022-11-04T16:10:32.58" personId="{E7A34A8E-C034-469E-849C-6BCB5949BFF3}" id="{349EA861-622B-4834-BACB-A6FD3C12C6CD}">
    <text>Parc 1 : 1 427,39 €
Parc 2 : 6 532,13 €</text>
  </threadedComment>
  <threadedComment ref="G16" dT="2022-11-03T16:48:59.28" personId="{E7A34A8E-C034-469E-849C-6BCB5949BFF3}" id="{85145B46-4C04-4815-8FC9-9B860BECE938}">
    <text>Parc 1 : BO &gt; 5.150,66€
Parc 2 : DI Server &gt; 3.266,67</text>
  </threadedComment>
  <threadedComment ref="G28" dT="2022-12-22T13:34:58.26" personId="{E7A34A8E-C034-469E-849C-6BCB5949BFF3}" id="{EEF44DC3-7189-4A10-B227-F51E10CBFA76}">
    <text>Parc 1 : 2 457,75
Parc 2 : 9 216,57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A2E0-1E59-344E-A869-ED986E1394C0}">
  <sheetPr codeName="Feuil1">
    <tabColor theme="4" tint="0.59999389629810485"/>
  </sheetPr>
  <dimension ref="A3:AE32"/>
  <sheetViews>
    <sheetView topLeftCell="A21" workbookViewId="0">
      <selection activeCell="B41" sqref="B41"/>
    </sheetView>
  </sheetViews>
  <sheetFormatPr baseColWidth="10" defaultColWidth="11.44140625" defaultRowHeight="14.4" x14ac:dyDescent="0.3"/>
  <cols>
    <col min="2" max="2" width="33.109375" customWidth="1"/>
    <col min="3" max="4" width="25" customWidth="1"/>
    <col min="5" max="5" width="33" customWidth="1"/>
    <col min="6" max="6" width="19.44140625" customWidth="1"/>
  </cols>
  <sheetData>
    <row r="3" spans="1:31" s="6" customFormat="1" ht="68.099999999999994" customHeight="1" x14ac:dyDescent="0.5">
      <c r="A3"/>
      <c r="B3" s="102"/>
      <c r="C3" s="294" t="s">
        <v>0</v>
      </c>
      <c r="D3" s="21"/>
      <c r="E3" s="102"/>
      <c r="F3" s="103"/>
      <c r="G3" s="103"/>
      <c r="H3" s="103"/>
      <c r="I3" s="102"/>
      <c r="J3" s="102"/>
      <c r="K3" s="1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</row>
    <row r="10" spans="1:31" x14ac:dyDescent="0.3">
      <c r="B10" s="292" t="s">
        <v>1</v>
      </c>
      <c r="C10" s="292" t="s">
        <v>2</v>
      </c>
      <c r="D10" s="292" t="s">
        <v>3</v>
      </c>
      <c r="E10" s="292" t="s">
        <v>4</v>
      </c>
      <c r="F10" s="292" t="s">
        <v>5</v>
      </c>
    </row>
    <row r="13" spans="1:31" x14ac:dyDescent="0.3">
      <c r="B13" s="13" t="s">
        <v>6</v>
      </c>
      <c r="C13" s="13" t="s">
        <v>7</v>
      </c>
      <c r="D13" s="13" t="s">
        <v>8</v>
      </c>
      <c r="E13" s="13" t="s">
        <v>1</v>
      </c>
      <c r="F13" s="13" t="s">
        <v>9</v>
      </c>
    </row>
    <row r="14" spans="1:31" x14ac:dyDescent="0.3">
      <c r="B14" s="13"/>
      <c r="C14" s="13"/>
      <c r="D14" s="13"/>
      <c r="E14" s="13"/>
      <c r="F14" s="13"/>
    </row>
    <row r="15" spans="1:31" x14ac:dyDescent="0.3">
      <c r="B15" s="13"/>
      <c r="C15" s="13"/>
      <c r="D15" s="13"/>
      <c r="E15" s="13"/>
      <c r="F15" s="13"/>
    </row>
    <row r="16" spans="1:31" x14ac:dyDescent="0.3">
      <c r="B16" s="13"/>
      <c r="C16" s="13"/>
      <c r="D16" s="13"/>
      <c r="E16" s="13"/>
      <c r="F16" s="13"/>
    </row>
    <row r="17" spans="2:6" x14ac:dyDescent="0.3">
      <c r="B17" s="293" t="s">
        <v>10</v>
      </c>
      <c r="C17" s="293" t="s">
        <v>11</v>
      </c>
      <c r="D17" s="293" t="s">
        <v>8</v>
      </c>
      <c r="E17" s="293" t="s">
        <v>2</v>
      </c>
      <c r="F17" s="293" t="s">
        <v>12</v>
      </c>
    </row>
    <row r="18" spans="2:6" x14ac:dyDescent="0.3">
      <c r="B18" s="293"/>
      <c r="C18" s="293"/>
      <c r="D18" s="293"/>
      <c r="E18" s="293"/>
      <c r="F18" s="293"/>
    </row>
    <row r="19" spans="2:6" x14ac:dyDescent="0.3">
      <c r="B19" s="293"/>
      <c r="C19" s="293"/>
      <c r="D19" s="293"/>
      <c r="E19" s="293"/>
      <c r="F19" s="293"/>
    </row>
    <row r="20" spans="2:6" x14ac:dyDescent="0.3">
      <c r="B20" s="13" t="s">
        <v>13</v>
      </c>
      <c r="C20" s="13"/>
      <c r="D20" s="13"/>
      <c r="E20" s="13"/>
      <c r="F20" s="13"/>
    </row>
    <row r="21" spans="2:6" x14ac:dyDescent="0.3">
      <c r="B21" s="13"/>
      <c r="C21" s="13"/>
      <c r="D21" s="13"/>
      <c r="E21" s="13"/>
      <c r="F21" s="13"/>
    </row>
    <row r="22" spans="2:6" x14ac:dyDescent="0.3">
      <c r="B22" s="13"/>
      <c r="C22" s="13"/>
      <c r="D22" s="13"/>
      <c r="E22" s="13"/>
      <c r="F22" s="13"/>
    </row>
    <row r="23" spans="2:6" x14ac:dyDescent="0.3">
      <c r="B23" s="293" t="s">
        <v>14</v>
      </c>
      <c r="C23" s="293"/>
      <c r="D23" s="293"/>
      <c r="E23" s="293"/>
      <c r="F23" s="293"/>
    </row>
    <row r="24" spans="2:6" x14ac:dyDescent="0.3">
      <c r="B24" s="293"/>
      <c r="C24" s="293"/>
      <c r="D24" s="293"/>
      <c r="E24" s="293"/>
      <c r="F24" s="293"/>
    </row>
    <row r="25" spans="2:6" x14ac:dyDescent="0.3">
      <c r="B25" s="293"/>
      <c r="C25" s="293"/>
      <c r="D25" s="293"/>
      <c r="E25" s="293"/>
      <c r="F25" s="293"/>
    </row>
    <row r="26" spans="2:6" x14ac:dyDescent="0.3">
      <c r="B26" s="13" t="s">
        <v>15</v>
      </c>
      <c r="C26" s="13"/>
      <c r="D26" s="13"/>
      <c r="E26" s="13"/>
      <c r="F26" s="13"/>
    </row>
    <row r="27" spans="2:6" x14ac:dyDescent="0.3">
      <c r="B27" s="13"/>
      <c r="C27" s="13"/>
      <c r="D27" s="13"/>
      <c r="E27" s="13"/>
      <c r="F27" s="13"/>
    </row>
    <row r="28" spans="2:6" x14ac:dyDescent="0.3">
      <c r="B28" s="13"/>
      <c r="C28" s="13"/>
      <c r="D28" s="13"/>
      <c r="E28" s="13"/>
      <c r="F28" s="13"/>
    </row>
    <row r="29" spans="2:6" x14ac:dyDescent="0.3">
      <c r="B29" s="293" t="s">
        <v>16</v>
      </c>
      <c r="C29" s="293"/>
      <c r="D29" s="293"/>
      <c r="E29" s="293"/>
      <c r="F29" s="293"/>
    </row>
    <row r="30" spans="2:6" x14ac:dyDescent="0.3">
      <c r="B30" s="293"/>
      <c r="C30" s="293"/>
      <c r="D30" s="293"/>
      <c r="E30" s="293"/>
      <c r="F30" s="293"/>
    </row>
    <row r="31" spans="2:6" x14ac:dyDescent="0.3">
      <c r="B31" s="293"/>
      <c r="C31" s="293"/>
      <c r="D31" s="293"/>
      <c r="E31" s="293"/>
      <c r="F31" s="293"/>
    </row>
    <row r="32" spans="2:6" x14ac:dyDescent="0.3">
      <c r="B32" s="293"/>
      <c r="C32" s="293"/>
      <c r="D32" s="293"/>
      <c r="E32" s="293"/>
      <c r="F32" s="29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EE18-D47C-4E41-B1A5-0C4713B1D3A1}">
  <sheetPr codeName="Feuil2">
    <tabColor rgb="FF00B050"/>
  </sheetPr>
  <dimension ref="A2:BA91"/>
  <sheetViews>
    <sheetView zoomScaleNormal="100" workbookViewId="0">
      <pane xSplit="2" ySplit="4" topLeftCell="I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baseColWidth="10" defaultColWidth="10.44140625" defaultRowHeight="14.4" x14ac:dyDescent="0.3"/>
  <cols>
    <col min="1" max="1" width="10.44140625" style="102"/>
    <col min="2" max="2" width="42.44140625" style="10" customWidth="1"/>
    <col min="3" max="3" width="25.44140625" style="10" customWidth="1"/>
    <col min="4" max="6" width="14.44140625" style="102" customWidth="1"/>
    <col min="7" max="9" width="13.44140625" style="102" customWidth="1"/>
    <col min="10" max="12" width="12.44140625" style="102" customWidth="1"/>
    <col min="13" max="13" width="15.44140625" style="102" customWidth="1"/>
    <col min="14" max="14" width="51.44140625" style="12" customWidth="1"/>
    <col min="15" max="15" width="32.44140625" style="12" customWidth="1"/>
    <col min="16" max="16" width="17.44140625" style="12" customWidth="1"/>
    <col min="17" max="19" width="2.44140625" style="102" customWidth="1"/>
    <col min="20" max="20" width="14.44140625" style="102" customWidth="1"/>
    <col min="21" max="21" width="13" style="102" customWidth="1"/>
    <col min="22" max="22" width="13.44140625" style="103" customWidth="1"/>
    <col min="23" max="23" width="14.44140625" style="102" customWidth="1"/>
    <col min="24" max="24" width="15" style="102" customWidth="1"/>
    <col min="25" max="25" width="15.44140625" style="7" customWidth="1"/>
    <col min="26" max="26" width="12.44140625" style="18" customWidth="1"/>
    <col min="27" max="27" width="13" style="102" customWidth="1"/>
    <col min="28" max="28" width="13" style="103" customWidth="1"/>
    <col min="29" max="29" width="47.44140625" style="102" customWidth="1"/>
    <col min="30" max="30" width="10.44140625" style="104"/>
    <col min="31" max="31" width="12.44140625" style="104" customWidth="1"/>
    <col min="32" max="41" width="10.44140625" style="102"/>
    <col min="42" max="43" width="11.44140625" style="102" bestFit="1" customWidth="1"/>
    <col min="44" max="16384" width="10.44140625" style="102"/>
  </cols>
  <sheetData>
    <row r="2" spans="1:53" ht="90" x14ac:dyDescent="0.5">
      <c r="E2" s="21" t="s">
        <v>17</v>
      </c>
      <c r="F2" s="21"/>
      <c r="G2" s="1"/>
      <c r="H2" s="1"/>
      <c r="I2" s="1"/>
      <c r="J2" s="1"/>
      <c r="K2" s="1"/>
      <c r="L2" s="1"/>
      <c r="M2" s="1"/>
      <c r="N2" s="11"/>
      <c r="O2" s="11"/>
      <c r="P2" s="11"/>
      <c r="R2" t="s">
        <v>18</v>
      </c>
    </row>
    <row r="3" spans="1:53" x14ac:dyDescent="0.3">
      <c r="D3" s="305" t="s">
        <v>19</v>
      </c>
      <c r="E3" s="305"/>
      <c r="F3" s="305"/>
      <c r="G3" s="305"/>
      <c r="H3" s="305"/>
      <c r="I3" s="305"/>
      <c r="J3" s="306" t="s">
        <v>20</v>
      </c>
      <c r="K3" s="306"/>
      <c r="L3" s="306"/>
      <c r="M3" s="306"/>
      <c r="N3" s="306"/>
      <c r="O3" s="307" t="s">
        <v>21</v>
      </c>
      <c r="P3" s="307"/>
      <c r="T3" s="308" t="s">
        <v>22</v>
      </c>
      <c r="U3" s="308"/>
      <c r="V3" s="308"/>
      <c r="W3" s="308"/>
      <c r="X3" s="308"/>
      <c r="Y3" s="308"/>
      <c r="Z3" s="308"/>
      <c r="AA3" s="308"/>
      <c r="AB3" s="308"/>
      <c r="AC3" s="308"/>
      <c r="AD3" s="309" t="s">
        <v>23</v>
      </c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4" t="s">
        <v>24</v>
      </c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</row>
    <row r="4" spans="1:53" customFormat="1" ht="96" customHeight="1" x14ac:dyDescent="0.3">
      <c r="A4" s="14" t="s">
        <v>25</v>
      </c>
      <c r="B4" s="14" t="s">
        <v>26</v>
      </c>
      <c r="C4" s="14" t="s">
        <v>27</v>
      </c>
      <c r="D4" s="34" t="s">
        <v>28</v>
      </c>
      <c r="E4" s="35" t="s">
        <v>29</v>
      </c>
      <c r="F4" s="34" t="s">
        <v>30</v>
      </c>
      <c r="G4" s="34" t="s">
        <v>31</v>
      </c>
      <c r="H4" s="34" t="s">
        <v>32</v>
      </c>
      <c r="I4" s="34" t="s">
        <v>33</v>
      </c>
      <c r="J4" s="22" t="s">
        <v>34</v>
      </c>
      <c r="K4" s="22" t="s">
        <v>35</v>
      </c>
      <c r="L4" s="22" t="s">
        <v>36</v>
      </c>
      <c r="M4" s="22" t="s">
        <v>37</v>
      </c>
      <c r="N4" s="22" t="s">
        <v>5</v>
      </c>
      <c r="O4" s="127" t="s">
        <v>38</v>
      </c>
      <c r="P4" s="127" t="s">
        <v>39</v>
      </c>
      <c r="Q4" s="127" t="s">
        <v>40</v>
      </c>
      <c r="R4" s="127" t="s">
        <v>41</v>
      </c>
      <c r="S4" s="127" t="s">
        <v>42</v>
      </c>
      <c r="T4" s="23" t="s">
        <v>43</v>
      </c>
      <c r="U4" s="23" t="s">
        <v>44</v>
      </c>
      <c r="V4" s="24" t="s">
        <v>45</v>
      </c>
      <c r="W4" s="24" t="s">
        <v>46</v>
      </c>
      <c r="X4" s="24" t="s">
        <v>47</v>
      </c>
      <c r="Y4" s="25" t="s">
        <v>48</v>
      </c>
      <c r="Z4" s="25" t="s">
        <v>49</v>
      </c>
      <c r="AA4" s="24" t="s">
        <v>50</v>
      </c>
      <c r="AB4" s="24" t="s">
        <v>51</v>
      </c>
      <c r="AC4" s="38" t="s">
        <v>52</v>
      </c>
      <c r="AD4" s="33" t="s">
        <v>53</v>
      </c>
      <c r="AE4" s="33" t="s">
        <v>54</v>
      </c>
      <c r="AF4" s="33" t="s">
        <v>55</v>
      </c>
      <c r="AG4" s="33" t="s">
        <v>56</v>
      </c>
      <c r="AH4" s="33" t="s">
        <v>57</v>
      </c>
      <c r="AI4" s="33" t="s">
        <v>58</v>
      </c>
      <c r="AJ4" s="33" t="s">
        <v>59</v>
      </c>
      <c r="AK4" s="33" t="s">
        <v>60</v>
      </c>
      <c r="AL4" s="33" t="s">
        <v>61</v>
      </c>
      <c r="AM4" s="33" t="s">
        <v>62</v>
      </c>
      <c r="AN4" s="33" t="s">
        <v>63</v>
      </c>
      <c r="AO4" s="33" t="s">
        <v>64</v>
      </c>
      <c r="AP4" s="36" t="s">
        <v>53</v>
      </c>
      <c r="AQ4" s="36" t="s">
        <v>54</v>
      </c>
      <c r="AR4" s="36" t="s">
        <v>55</v>
      </c>
      <c r="AS4" s="36" t="s">
        <v>56</v>
      </c>
      <c r="AT4" s="36" t="s">
        <v>57</v>
      </c>
      <c r="AU4" s="36" t="s">
        <v>58</v>
      </c>
      <c r="AV4" s="36" t="s">
        <v>59</v>
      </c>
      <c r="AW4" s="36" t="s">
        <v>60</v>
      </c>
      <c r="AX4" s="36" t="s">
        <v>61</v>
      </c>
      <c r="AY4" s="36" t="s">
        <v>62</v>
      </c>
      <c r="AZ4" s="36" t="s">
        <v>63</v>
      </c>
      <c r="BA4" s="36" t="s">
        <v>64</v>
      </c>
    </row>
    <row r="5" spans="1:53" s="15" customFormat="1" ht="19.350000000000001" customHeight="1" x14ac:dyDescent="0.3">
      <c r="A5" s="94"/>
      <c r="B5" s="15" t="s">
        <v>65</v>
      </c>
      <c r="D5" s="93">
        <f>SUM(AD5:AO5)</f>
        <v>200000</v>
      </c>
      <c r="E5" s="93">
        <f>SUM(AP5:BA5)</f>
        <v>160000</v>
      </c>
      <c r="F5" s="39">
        <f t="shared" ref="F5:F52" si="0">D5-E5</f>
        <v>40000</v>
      </c>
      <c r="G5" s="92">
        <f t="shared" ref="G5:G52" si="1">F5/D5</f>
        <v>0.2</v>
      </c>
      <c r="H5" s="39"/>
      <c r="I5" s="39"/>
      <c r="J5" s="17"/>
      <c r="K5" s="17"/>
      <c r="L5" s="17"/>
      <c r="M5" s="17"/>
      <c r="N5" s="17"/>
      <c r="O5" s="17"/>
      <c r="P5" s="17"/>
      <c r="Q5" s="16"/>
      <c r="R5" s="16"/>
      <c r="S5" s="16">
        <f>Q5-R5</f>
        <v>0</v>
      </c>
      <c r="T5" s="16"/>
      <c r="U5" s="16"/>
      <c r="V5" s="16"/>
      <c r="W5" s="16"/>
      <c r="X5" s="16"/>
      <c r="Y5" s="16"/>
      <c r="Z5" s="16"/>
      <c r="AA5" s="16"/>
      <c r="AB5" s="16"/>
      <c r="AC5" s="32"/>
      <c r="AD5" s="97"/>
      <c r="AE5" s="97"/>
      <c r="AF5" s="97"/>
      <c r="AG5" s="97"/>
      <c r="AH5" s="97">
        <v>30000</v>
      </c>
      <c r="AI5" s="97">
        <v>50000</v>
      </c>
      <c r="AJ5" s="97"/>
      <c r="AK5" s="97"/>
      <c r="AL5" s="97">
        <v>20000</v>
      </c>
      <c r="AM5" s="97">
        <v>20000</v>
      </c>
      <c r="AN5" s="97"/>
      <c r="AO5" s="97">
        <v>80000</v>
      </c>
      <c r="AP5" s="98">
        <f t="shared" ref="AP5:BA5" si="2">AD5*0.8</f>
        <v>0</v>
      </c>
      <c r="AQ5" s="98">
        <f t="shared" si="2"/>
        <v>0</v>
      </c>
      <c r="AR5" s="98">
        <f t="shared" si="2"/>
        <v>0</v>
      </c>
      <c r="AS5" s="98">
        <f t="shared" si="2"/>
        <v>0</v>
      </c>
      <c r="AT5" s="98">
        <f t="shared" si="2"/>
        <v>24000</v>
      </c>
      <c r="AU5" s="98">
        <f t="shared" si="2"/>
        <v>40000</v>
      </c>
      <c r="AV5" s="98">
        <f t="shared" si="2"/>
        <v>0</v>
      </c>
      <c r="AW5" s="98">
        <f t="shared" si="2"/>
        <v>0</v>
      </c>
      <c r="AX5" s="98">
        <f t="shared" si="2"/>
        <v>16000</v>
      </c>
      <c r="AY5" s="98">
        <f t="shared" si="2"/>
        <v>16000</v>
      </c>
      <c r="AZ5" s="98">
        <f t="shared" si="2"/>
        <v>0</v>
      </c>
      <c r="BA5" s="98">
        <f t="shared" si="2"/>
        <v>64000</v>
      </c>
    </row>
    <row r="6" spans="1:53" customFormat="1" x14ac:dyDescent="0.3">
      <c r="A6" s="151" t="s">
        <v>66</v>
      </c>
      <c r="B6" s="300" t="s">
        <v>67</v>
      </c>
      <c r="C6" s="90"/>
      <c r="D6" s="270">
        <v>25896</v>
      </c>
      <c r="E6" s="226">
        <v>21700</v>
      </c>
      <c r="F6" s="40">
        <f>D6-E6</f>
        <v>4196</v>
      </c>
      <c r="G6" s="41">
        <f>F6/D6</f>
        <v>0.16203274637009576</v>
      </c>
      <c r="H6" s="140">
        <v>75745.2</v>
      </c>
      <c r="I6" s="226">
        <v>52080</v>
      </c>
      <c r="J6" s="231">
        <v>45107</v>
      </c>
      <c r="K6" s="240" t="s">
        <v>68</v>
      </c>
      <c r="L6" s="241">
        <v>44741</v>
      </c>
      <c r="M6" s="247" t="s">
        <v>69</v>
      </c>
      <c r="N6" s="249"/>
      <c r="O6" s="249"/>
      <c r="P6" s="257"/>
      <c r="Q6" s="261"/>
      <c r="R6" s="261"/>
      <c r="S6" s="261"/>
      <c r="T6" s="262"/>
      <c r="U6" s="262"/>
      <c r="V6" s="262"/>
      <c r="W6" s="262"/>
      <c r="X6" s="262"/>
      <c r="Y6" s="262"/>
      <c r="Z6" s="262"/>
      <c r="AA6" s="262"/>
      <c r="AB6" s="263"/>
      <c r="AC6" s="78"/>
      <c r="AD6" s="27">
        <f t="shared" ref="AD6:AD11" si="3">IF($K6="janvier",$D6,0)</f>
        <v>0</v>
      </c>
      <c r="AE6" s="27">
        <f t="shared" ref="AE6:AE52" si="4">IF($K6="février",$D6,0)</f>
        <v>0</v>
      </c>
      <c r="AF6" s="27">
        <f t="shared" ref="AF6:AF52" si="5">IF($K6="mars",$D6,0)</f>
        <v>0</v>
      </c>
      <c r="AG6" s="27">
        <f t="shared" ref="AG6:AG11" si="6">IF($K6="avril",$D6,0)</f>
        <v>0</v>
      </c>
      <c r="AH6" s="27">
        <f t="shared" ref="AH6:AH52" si="7">IF($K6="mai",$D6,0)</f>
        <v>0</v>
      </c>
      <c r="AI6" s="27">
        <f t="shared" ref="AI6:AI13" si="8">IF($K6="juin",$D6,0)</f>
        <v>25896</v>
      </c>
      <c r="AJ6" s="27">
        <f t="shared" ref="AJ6:AJ11" si="9">IF($K6="juillet",$D6,0)</f>
        <v>0</v>
      </c>
      <c r="AK6" s="27">
        <f>IF($K6="août",$D6,0)</f>
        <v>0</v>
      </c>
      <c r="AL6" s="27">
        <f t="shared" ref="AL6:AL39" si="10">IF($K6="septembre",$D6,0)</f>
        <v>0</v>
      </c>
      <c r="AM6" s="27">
        <f t="shared" ref="AM6:AM11" si="11">IF($K6="octobre",$D6,0)</f>
        <v>0</v>
      </c>
      <c r="AN6" s="27">
        <f t="shared" ref="AN6:AN11" si="12">IF($K6="novembre",$D6,0)</f>
        <v>0</v>
      </c>
      <c r="AO6" s="27">
        <f>IF($K6="décembre",$D6,0)</f>
        <v>0</v>
      </c>
      <c r="AP6" s="37">
        <f t="shared" ref="AP6:AP52" si="13">IF($K6="janvier",$E6,0)</f>
        <v>0</v>
      </c>
      <c r="AQ6" s="37">
        <f t="shared" ref="AQ6:AQ24" si="14">IF($K6="février",$E6,0)</f>
        <v>0</v>
      </c>
      <c r="AR6" s="37">
        <f t="shared" ref="AR6:AR52" si="15">IF($K6="mars",$E6,0)</f>
        <v>0</v>
      </c>
      <c r="AS6" s="37">
        <f t="shared" ref="AS6:AS52" si="16">IF($K6="avril",$E6,0)</f>
        <v>0</v>
      </c>
      <c r="AT6" s="37">
        <f t="shared" ref="AT6:AT24" si="17">IF($K6="mai",$E6,0)</f>
        <v>0</v>
      </c>
      <c r="AU6" s="37">
        <f t="shared" ref="AU6:AU13" si="18">IF($K6="juin",$E6,0)</f>
        <v>21700</v>
      </c>
      <c r="AV6" s="37">
        <f t="shared" ref="AV6:AV21" si="19">IF($K6="juillet",$E6,0)</f>
        <v>0</v>
      </c>
      <c r="AW6" s="37">
        <f>IF($K6="août",$E6,0)</f>
        <v>0</v>
      </c>
      <c r="AX6" s="37">
        <f t="shared" ref="AX6:AX52" si="20">IF($K6="septembre",$E6,0)</f>
        <v>0</v>
      </c>
      <c r="AY6" s="37">
        <f t="shared" ref="AY6:AY52" si="21">IF($K6="octobre",$E6,0)</f>
        <v>0</v>
      </c>
      <c r="AZ6" s="37">
        <f t="shared" ref="AZ6:AZ24" si="22">IF($K6="novembre",$E6,0)</f>
        <v>0</v>
      </c>
      <c r="BA6" s="37">
        <f t="shared" ref="BA6:BA52" si="23">IF($K6="décembre",$E6,0)</f>
        <v>0</v>
      </c>
    </row>
    <row r="7" spans="1:53" s="13" customFormat="1" x14ac:dyDescent="0.3">
      <c r="A7" s="151" t="s">
        <v>66</v>
      </c>
      <c r="B7" s="86" t="s">
        <v>70</v>
      </c>
      <c r="C7" s="90" t="s">
        <v>71</v>
      </c>
      <c r="D7" s="136"/>
      <c r="E7" s="147"/>
      <c r="F7" s="40"/>
      <c r="G7" s="41"/>
      <c r="H7" s="55"/>
      <c r="I7" s="55"/>
      <c r="J7" s="135"/>
      <c r="K7" s="54"/>
      <c r="L7" s="107"/>
      <c r="M7" s="105"/>
      <c r="N7" s="106"/>
      <c r="O7" s="43"/>
      <c r="P7" s="43"/>
      <c r="Q7" s="44"/>
      <c r="R7" s="44"/>
      <c r="S7" s="44"/>
      <c r="T7" s="51"/>
      <c r="U7" s="51"/>
      <c r="V7" s="45"/>
      <c r="W7" s="45"/>
      <c r="X7" s="45"/>
      <c r="Y7" s="45"/>
      <c r="Z7" s="45"/>
      <c r="AA7" s="52"/>
      <c r="AB7" s="46"/>
      <c r="AC7" s="70"/>
      <c r="AD7" s="27">
        <f t="shared" si="3"/>
        <v>0</v>
      </c>
      <c r="AE7" s="27">
        <f t="shared" si="4"/>
        <v>0</v>
      </c>
      <c r="AF7" s="27">
        <f t="shared" si="5"/>
        <v>0</v>
      </c>
      <c r="AG7" s="27">
        <f t="shared" si="6"/>
        <v>0</v>
      </c>
      <c r="AH7" s="27">
        <f t="shared" si="7"/>
        <v>0</v>
      </c>
      <c r="AI7" s="27">
        <f t="shared" si="8"/>
        <v>0</v>
      </c>
      <c r="AJ7" s="27">
        <f t="shared" si="9"/>
        <v>0</v>
      </c>
      <c r="AK7" s="27">
        <f>IF($K7="août",$D7,0)</f>
        <v>0</v>
      </c>
      <c r="AL7" s="27">
        <f t="shared" si="10"/>
        <v>0</v>
      </c>
      <c r="AM7" s="27">
        <f t="shared" si="11"/>
        <v>0</v>
      </c>
      <c r="AN7" s="27">
        <f t="shared" si="12"/>
        <v>0</v>
      </c>
      <c r="AO7" s="27">
        <f>IF($K7="décembre",$D7,0)</f>
        <v>0</v>
      </c>
      <c r="AP7" s="37">
        <f t="shared" si="13"/>
        <v>0</v>
      </c>
      <c r="AQ7" s="37">
        <f t="shared" si="14"/>
        <v>0</v>
      </c>
      <c r="AR7" s="37">
        <f t="shared" si="15"/>
        <v>0</v>
      </c>
      <c r="AS7" s="37">
        <f t="shared" si="16"/>
        <v>0</v>
      </c>
      <c r="AT7" s="37">
        <f t="shared" si="17"/>
        <v>0</v>
      </c>
      <c r="AU7" s="37">
        <f t="shared" si="18"/>
        <v>0</v>
      </c>
      <c r="AV7" s="37">
        <f t="shared" si="19"/>
        <v>0</v>
      </c>
      <c r="AW7" s="37">
        <f>IF($K7="août",$CJ7,0)</f>
        <v>0</v>
      </c>
      <c r="AX7" s="37">
        <f t="shared" si="20"/>
        <v>0</v>
      </c>
      <c r="AY7" s="37">
        <f t="shared" si="21"/>
        <v>0</v>
      </c>
      <c r="AZ7" s="37">
        <f t="shared" si="22"/>
        <v>0</v>
      </c>
      <c r="BA7" s="37">
        <f t="shared" si="23"/>
        <v>0</v>
      </c>
    </row>
    <row r="8" spans="1:53" customFormat="1" x14ac:dyDescent="0.3">
      <c r="A8" s="151" t="s">
        <v>72</v>
      </c>
      <c r="B8" s="88" t="s">
        <v>73</v>
      </c>
      <c r="C8" s="90" t="s">
        <v>74</v>
      </c>
      <c r="D8" s="140"/>
      <c r="E8" s="226">
        <v>0</v>
      </c>
      <c r="F8" s="40">
        <f t="shared" ref="F8:F24" si="24">D8-E8</f>
        <v>0</v>
      </c>
      <c r="G8" s="41" t="e">
        <f t="shared" ref="G8:G24" si="25">F8/D8</f>
        <v>#DIV/0!</v>
      </c>
      <c r="H8" s="228">
        <f>18000*10%</f>
        <v>1800</v>
      </c>
      <c r="I8" s="55"/>
      <c r="J8" s="231">
        <v>45016</v>
      </c>
      <c r="K8" s="240" t="s">
        <v>75</v>
      </c>
      <c r="L8" s="241">
        <v>45382</v>
      </c>
      <c r="M8" s="249" t="s">
        <v>76</v>
      </c>
      <c r="N8" s="251" t="s">
        <v>77</v>
      </c>
      <c r="O8" s="249"/>
      <c r="P8" s="257"/>
      <c r="Q8" s="261"/>
      <c r="R8" s="261"/>
      <c r="S8" s="261"/>
      <c r="T8" s="262"/>
      <c r="U8" s="262"/>
      <c r="V8" s="262"/>
      <c r="W8" s="262"/>
      <c r="X8" s="262"/>
      <c r="Y8" s="262"/>
      <c r="Z8" s="262"/>
      <c r="AA8" s="262"/>
      <c r="AB8" s="263"/>
      <c r="AC8" s="78"/>
      <c r="AD8" s="27">
        <f t="shared" si="3"/>
        <v>0</v>
      </c>
      <c r="AE8" s="27">
        <f t="shared" si="4"/>
        <v>0</v>
      </c>
      <c r="AF8" s="27">
        <f t="shared" si="5"/>
        <v>0</v>
      </c>
      <c r="AG8" s="27">
        <f t="shared" si="6"/>
        <v>0</v>
      </c>
      <c r="AH8" s="27">
        <f t="shared" si="7"/>
        <v>0</v>
      </c>
      <c r="AI8" s="27">
        <f t="shared" si="8"/>
        <v>0</v>
      </c>
      <c r="AJ8" s="27">
        <f t="shared" si="9"/>
        <v>0</v>
      </c>
      <c r="AK8" s="27">
        <f>IF($K8="août",$D8,0)/4</f>
        <v>0</v>
      </c>
      <c r="AL8" s="27">
        <f t="shared" si="10"/>
        <v>0</v>
      </c>
      <c r="AM8" s="27">
        <f t="shared" si="11"/>
        <v>0</v>
      </c>
      <c r="AN8" s="27">
        <f t="shared" si="12"/>
        <v>0</v>
      </c>
      <c r="AO8" s="27">
        <f>IF($K8="août",$D8,0)/4</f>
        <v>0</v>
      </c>
      <c r="AP8" s="37">
        <f t="shared" si="13"/>
        <v>0</v>
      </c>
      <c r="AQ8" s="37">
        <f t="shared" si="14"/>
        <v>0</v>
      </c>
      <c r="AR8" s="37">
        <f t="shared" si="15"/>
        <v>0</v>
      </c>
      <c r="AS8" s="37">
        <f t="shared" si="16"/>
        <v>0</v>
      </c>
      <c r="AT8" s="37">
        <f t="shared" si="17"/>
        <v>0</v>
      </c>
      <c r="AU8" s="37">
        <f t="shared" si="18"/>
        <v>0</v>
      </c>
      <c r="AV8" s="37">
        <f t="shared" si="19"/>
        <v>0</v>
      </c>
      <c r="AW8" s="37">
        <f>IF($K8="août",$E8,0)</f>
        <v>0</v>
      </c>
      <c r="AX8" s="37">
        <f t="shared" si="20"/>
        <v>0</v>
      </c>
      <c r="AY8" s="37">
        <f t="shared" si="21"/>
        <v>0</v>
      </c>
      <c r="AZ8" s="37">
        <f t="shared" si="22"/>
        <v>0</v>
      </c>
      <c r="BA8" s="37">
        <f t="shared" si="23"/>
        <v>0</v>
      </c>
    </row>
    <row r="9" spans="1:53" s="13" customFormat="1" x14ac:dyDescent="0.3">
      <c r="A9" s="151" t="s">
        <v>72</v>
      </c>
      <c r="B9" s="88" t="s">
        <v>73</v>
      </c>
      <c r="C9" s="90" t="s">
        <v>74</v>
      </c>
      <c r="D9" s="140"/>
      <c r="E9" s="226">
        <v>0</v>
      </c>
      <c r="F9" s="40">
        <f t="shared" si="24"/>
        <v>0</v>
      </c>
      <c r="G9" s="41" t="e">
        <f t="shared" si="25"/>
        <v>#DIV/0!</v>
      </c>
      <c r="H9" s="228">
        <f>6000*10%</f>
        <v>600</v>
      </c>
      <c r="I9" s="55"/>
      <c r="J9" s="231">
        <v>45016</v>
      </c>
      <c r="K9" s="240" t="s">
        <v>75</v>
      </c>
      <c r="L9" s="241">
        <v>45382</v>
      </c>
      <c r="M9" s="249" t="s">
        <v>76</v>
      </c>
      <c r="N9" s="251" t="s">
        <v>78</v>
      </c>
      <c r="O9" s="249"/>
      <c r="P9" s="257"/>
      <c r="Q9" s="261"/>
      <c r="R9" s="261"/>
      <c r="S9" s="261"/>
      <c r="T9" s="262"/>
      <c r="U9" s="262"/>
      <c r="V9" s="262"/>
      <c r="W9" s="262"/>
      <c r="X9" s="262"/>
      <c r="Y9" s="262"/>
      <c r="Z9" s="262"/>
      <c r="AA9" s="262"/>
      <c r="AB9" s="263"/>
      <c r="AC9" s="78"/>
      <c r="AD9" s="27">
        <f t="shared" si="3"/>
        <v>0</v>
      </c>
      <c r="AE9" s="27">
        <f t="shared" si="4"/>
        <v>0</v>
      </c>
      <c r="AF9" s="27">
        <f t="shared" si="5"/>
        <v>0</v>
      </c>
      <c r="AG9" s="27">
        <f t="shared" si="6"/>
        <v>0</v>
      </c>
      <c r="AH9" s="27">
        <f t="shared" si="7"/>
        <v>0</v>
      </c>
      <c r="AI9" s="27">
        <f t="shared" si="8"/>
        <v>0</v>
      </c>
      <c r="AJ9" s="27">
        <f t="shared" si="9"/>
        <v>0</v>
      </c>
      <c r="AK9" s="27">
        <f>IF($K9="août",$D9,0)/4</f>
        <v>0</v>
      </c>
      <c r="AL9" s="27">
        <f t="shared" si="10"/>
        <v>0</v>
      </c>
      <c r="AM9" s="27">
        <f t="shared" si="11"/>
        <v>0</v>
      </c>
      <c r="AN9" s="27">
        <f t="shared" si="12"/>
        <v>0</v>
      </c>
      <c r="AO9" s="27">
        <f>IF($K9="août",$D9,0)/4</f>
        <v>0</v>
      </c>
      <c r="AP9" s="37">
        <f t="shared" si="13"/>
        <v>0</v>
      </c>
      <c r="AQ9" s="37">
        <f t="shared" si="14"/>
        <v>0</v>
      </c>
      <c r="AR9" s="37">
        <f t="shared" si="15"/>
        <v>0</v>
      </c>
      <c r="AS9" s="37">
        <f t="shared" si="16"/>
        <v>0</v>
      </c>
      <c r="AT9" s="37">
        <f t="shared" si="17"/>
        <v>0</v>
      </c>
      <c r="AU9" s="37">
        <f t="shared" si="18"/>
        <v>0</v>
      </c>
      <c r="AV9" s="37">
        <f t="shared" si="19"/>
        <v>0</v>
      </c>
      <c r="AW9" s="37">
        <f>IF($K9="août",$E9,0)</f>
        <v>0</v>
      </c>
      <c r="AX9" s="37">
        <f t="shared" si="20"/>
        <v>0</v>
      </c>
      <c r="AY9" s="37">
        <f t="shared" si="21"/>
        <v>0</v>
      </c>
      <c r="AZ9" s="37">
        <f t="shared" si="22"/>
        <v>0</v>
      </c>
      <c r="BA9" s="37">
        <f t="shared" si="23"/>
        <v>0</v>
      </c>
    </row>
    <row r="10" spans="1:53" customFormat="1" x14ac:dyDescent="0.3">
      <c r="A10" s="151" t="s">
        <v>66</v>
      </c>
      <c r="B10" s="88" t="s">
        <v>79</v>
      </c>
      <c r="C10" s="90"/>
      <c r="D10" s="149">
        <v>54567</v>
      </c>
      <c r="E10" s="147">
        <v>38810.79</v>
      </c>
      <c r="F10" s="40">
        <f t="shared" si="24"/>
        <v>15756.21</v>
      </c>
      <c r="G10" s="41">
        <f t="shared" si="25"/>
        <v>0.28874979383143656</v>
      </c>
      <c r="H10" s="55">
        <f>E10/4</f>
        <v>9702.6975000000002</v>
      </c>
      <c r="I10" s="55"/>
      <c r="J10" s="231">
        <v>45107</v>
      </c>
      <c r="K10" s="54" t="s">
        <v>68</v>
      </c>
      <c r="L10" s="243">
        <v>44742</v>
      </c>
      <c r="M10" s="105" t="s">
        <v>80</v>
      </c>
      <c r="N10" s="106"/>
      <c r="O10" s="43"/>
      <c r="P10" s="43"/>
      <c r="Q10" s="44"/>
      <c r="R10" s="44"/>
      <c r="S10" s="44"/>
      <c r="T10" s="45"/>
      <c r="U10" s="45"/>
      <c r="V10" s="47"/>
      <c r="W10" s="45"/>
      <c r="X10" s="45"/>
      <c r="Y10" s="45"/>
      <c r="Z10" s="45"/>
      <c r="AA10" s="45"/>
      <c r="AB10" s="46"/>
      <c r="AC10" s="70"/>
      <c r="AD10" s="27">
        <f t="shared" si="3"/>
        <v>0</v>
      </c>
      <c r="AE10" s="27">
        <f t="shared" si="4"/>
        <v>0</v>
      </c>
      <c r="AF10" s="27">
        <f t="shared" si="5"/>
        <v>0</v>
      </c>
      <c r="AG10" s="27">
        <f t="shared" si="6"/>
        <v>0</v>
      </c>
      <c r="AH10" s="27">
        <f t="shared" si="7"/>
        <v>0</v>
      </c>
      <c r="AI10" s="27">
        <f t="shared" si="8"/>
        <v>54567</v>
      </c>
      <c r="AJ10" s="27">
        <f t="shared" si="9"/>
        <v>0</v>
      </c>
      <c r="AK10" s="27">
        <f t="shared" ref="AK10:AK22" si="26">IF($K10="août",$D10,0)</f>
        <v>0</v>
      </c>
      <c r="AL10" s="27">
        <f t="shared" si="10"/>
        <v>0</v>
      </c>
      <c r="AM10" s="27">
        <f t="shared" si="11"/>
        <v>0</v>
      </c>
      <c r="AN10" s="27">
        <f t="shared" si="12"/>
        <v>0</v>
      </c>
      <c r="AO10" s="27">
        <f>IF($K10="décembre",$D10,0)</f>
        <v>0</v>
      </c>
      <c r="AP10" s="37">
        <f t="shared" si="13"/>
        <v>0</v>
      </c>
      <c r="AQ10" s="37">
        <f t="shared" si="14"/>
        <v>0</v>
      </c>
      <c r="AR10" s="37">
        <f t="shared" si="15"/>
        <v>0</v>
      </c>
      <c r="AS10" s="37">
        <f t="shared" si="16"/>
        <v>0</v>
      </c>
      <c r="AT10" s="37">
        <f t="shared" si="17"/>
        <v>0</v>
      </c>
      <c r="AU10" s="37">
        <f t="shared" si="18"/>
        <v>38810.79</v>
      </c>
      <c r="AV10" s="110">
        <f t="shared" si="19"/>
        <v>0</v>
      </c>
      <c r="AW10" s="37">
        <f>IF($K10="août",$CJ10,0)</f>
        <v>0</v>
      </c>
      <c r="AX10" s="37">
        <f t="shared" si="20"/>
        <v>0</v>
      </c>
      <c r="AY10" s="37">
        <f t="shared" si="21"/>
        <v>0</v>
      </c>
      <c r="AZ10" s="37">
        <f t="shared" si="22"/>
        <v>0</v>
      </c>
      <c r="BA10" s="37">
        <f t="shared" si="23"/>
        <v>0</v>
      </c>
    </row>
    <row r="11" spans="1:53" customFormat="1" x14ac:dyDescent="0.3">
      <c r="A11" s="151" t="s">
        <v>72</v>
      </c>
      <c r="B11" s="88" t="s">
        <v>81</v>
      </c>
      <c r="C11" s="90" t="s">
        <v>82</v>
      </c>
      <c r="D11" s="136">
        <v>6250</v>
      </c>
      <c r="E11" s="147">
        <v>0</v>
      </c>
      <c r="F11" s="40">
        <f t="shared" si="24"/>
        <v>6250</v>
      </c>
      <c r="G11" s="41">
        <f t="shared" si="25"/>
        <v>1</v>
      </c>
      <c r="H11" s="55"/>
      <c r="I11" s="55"/>
      <c r="J11" s="231">
        <v>45247</v>
      </c>
      <c r="K11" s="54" t="s">
        <v>63</v>
      </c>
      <c r="L11" s="107">
        <v>44882</v>
      </c>
      <c r="M11" s="43" t="s">
        <v>82</v>
      </c>
      <c r="N11" s="251"/>
      <c r="O11" s="249"/>
      <c r="P11" s="258"/>
      <c r="Q11" s="44"/>
      <c r="R11" s="44"/>
      <c r="S11" s="44"/>
      <c r="T11" s="45"/>
      <c r="U11" s="45"/>
      <c r="V11" s="45" t="s">
        <v>83</v>
      </c>
      <c r="W11" s="45" t="s">
        <v>83</v>
      </c>
      <c r="X11" s="45" t="s">
        <v>83</v>
      </c>
      <c r="Y11" s="45" t="s">
        <v>83</v>
      </c>
      <c r="Z11" s="45" t="s">
        <v>83</v>
      </c>
      <c r="AA11" s="45"/>
      <c r="AB11" s="46"/>
      <c r="AC11" s="70"/>
      <c r="AD11" s="27">
        <f t="shared" si="3"/>
        <v>0</v>
      </c>
      <c r="AE11" s="27">
        <f t="shared" si="4"/>
        <v>0</v>
      </c>
      <c r="AF11" s="27">
        <f t="shared" si="5"/>
        <v>0</v>
      </c>
      <c r="AG11" s="27">
        <f t="shared" si="6"/>
        <v>0</v>
      </c>
      <c r="AH11" s="27">
        <f t="shared" si="7"/>
        <v>0</v>
      </c>
      <c r="AI11" s="27">
        <f t="shared" si="8"/>
        <v>0</v>
      </c>
      <c r="AJ11" s="27">
        <f t="shared" si="9"/>
        <v>0</v>
      </c>
      <c r="AK11" s="27">
        <f t="shared" si="26"/>
        <v>0</v>
      </c>
      <c r="AL11" s="27">
        <f t="shared" si="10"/>
        <v>0</v>
      </c>
      <c r="AM11" s="27">
        <f t="shared" si="11"/>
        <v>0</v>
      </c>
      <c r="AN11" s="27">
        <f t="shared" si="12"/>
        <v>6250</v>
      </c>
      <c r="AO11" s="27">
        <f>IF($K11="décembre",$D11,0)</f>
        <v>0</v>
      </c>
      <c r="AP11" s="37">
        <f t="shared" si="13"/>
        <v>0</v>
      </c>
      <c r="AQ11" s="37">
        <f t="shared" si="14"/>
        <v>0</v>
      </c>
      <c r="AR11" s="37">
        <f t="shared" si="15"/>
        <v>0</v>
      </c>
      <c r="AS11" s="37">
        <f t="shared" si="16"/>
        <v>0</v>
      </c>
      <c r="AT11" s="37">
        <f t="shared" si="17"/>
        <v>0</v>
      </c>
      <c r="AU11" s="37">
        <f t="shared" si="18"/>
        <v>0</v>
      </c>
      <c r="AV11" s="37">
        <f t="shared" si="19"/>
        <v>0</v>
      </c>
      <c r="AW11" s="37">
        <f>IF($K11="août",$E11,0)</f>
        <v>0</v>
      </c>
      <c r="AX11" s="37">
        <f t="shared" si="20"/>
        <v>0</v>
      </c>
      <c r="AY11" s="37">
        <f t="shared" si="21"/>
        <v>0</v>
      </c>
      <c r="AZ11" s="37">
        <f t="shared" si="22"/>
        <v>0</v>
      </c>
      <c r="BA11" s="37">
        <f t="shared" si="23"/>
        <v>0</v>
      </c>
    </row>
    <row r="12" spans="1:53" s="13" customFormat="1" x14ac:dyDescent="0.3">
      <c r="A12" s="151" t="s">
        <v>66</v>
      </c>
      <c r="B12" s="88" t="s">
        <v>84</v>
      </c>
      <c r="C12" s="90"/>
      <c r="D12" s="136">
        <v>4800</v>
      </c>
      <c r="E12" s="147">
        <f>4800*0.7</f>
        <v>3360</v>
      </c>
      <c r="F12" s="40">
        <f t="shared" si="24"/>
        <v>1440</v>
      </c>
      <c r="G12" s="41">
        <f t="shared" si="25"/>
        <v>0.3</v>
      </c>
      <c r="H12" s="55"/>
      <c r="I12" s="55"/>
      <c r="J12" s="234">
        <v>45199</v>
      </c>
      <c r="K12" s="54" t="str">
        <f>TEXT(30*MONTH(J12)+30,"mmmm")</f>
        <v>octobre</v>
      </c>
      <c r="L12" s="244">
        <v>45169</v>
      </c>
      <c r="M12" s="105" t="s">
        <v>85</v>
      </c>
      <c r="N12" s="106" t="s">
        <v>86</v>
      </c>
      <c r="O12" s="108"/>
      <c r="P12" s="43"/>
      <c r="Q12" s="44"/>
      <c r="R12" s="44"/>
      <c r="S12" s="44"/>
      <c r="T12" s="45"/>
      <c r="U12" s="45"/>
      <c r="V12" s="45"/>
      <c r="W12" s="45"/>
      <c r="X12" s="45"/>
      <c r="Y12" s="45"/>
      <c r="Z12" s="45"/>
      <c r="AA12" s="45"/>
      <c r="AB12" s="46"/>
      <c r="AC12" s="70"/>
      <c r="AD12" s="27">
        <v>1200</v>
      </c>
      <c r="AE12" s="27">
        <f t="shared" si="4"/>
        <v>0</v>
      </c>
      <c r="AF12" s="27">
        <f t="shared" si="5"/>
        <v>0</v>
      </c>
      <c r="AG12" s="27">
        <f>AD12</f>
        <v>1200</v>
      </c>
      <c r="AH12" s="27">
        <f t="shared" si="7"/>
        <v>0</v>
      </c>
      <c r="AI12" s="27">
        <f t="shared" si="8"/>
        <v>0</v>
      </c>
      <c r="AJ12" s="27">
        <f>AG12</f>
        <v>1200</v>
      </c>
      <c r="AK12" s="27">
        <f t="shared" si="26"/>
        <v>0</v>
      </c>
      <c r="AL12" s="27">
        <f t="shared" si="10"/>
        <v>0</v>
      </c>
      <c r="AM12" s="27">
        <f>AJ12</f>
        <v>1200</v>
      </c>
      <c r="AN12" s="27">
        <v>0</v>
      </c>
      <c r="AO12" s="27">
        <v>0</v>
      </c>
      <c r="AP12" s="37">
        <f t="shared" si="13"/>
        <v>0</v>
      </c>
      <c r="AQ12" s="37">
        <f t="shared" si="14"/>
        <v>0</v>
      </c>
      <c r="AR12" s="37">
        <f t="shared" si="15"/>
        <v>0</v>
      </c>
      <c r="AS12" s="37">
        <f t="shared" si="16"/>
        <v>0</v>
      </c>
      <c r="AT12" s="37">
        <f t="shared" si="17"/>
        <v>0</v>
      </c>
      <c r="AU12" s="37">
        <f t="shared" si="18"/>
        <v>0</v>
      </c>
      <c r="AV12" s="37">
        <f t="shared" si="19"/>
        <v>0</v>
      </c>
      <c r="AW12" s="37">
        <f>IF($K12="août",$CJ12,0)</f>
        <v>0</v>
      </c>
      <c r="AX12" s="37">
        <f t="shared" si="20"/>
        <v>0</v>
      </c>
      <c r="AY12" s="37">
        <f t="shared" si="21"/>
        <v>3360</v>
      </c>
      <c r="AZ12" s="37">
        <f t="shared" si="22"/>
        <v>0</v>
      </c>
      <c r="BA12" s="37">
        <f t="shared" si="23"/>
        <v>0</v>
      </c>
    </row>
    <row r="13" spans="1:53" s="13" customFormat="1" x14ac:dyDescent="0.3">
      <c r="A13" s="151" t="s">
        <v>72</v>
      </c>
      <c r="B13" s="88" t="s">
        <v>87</v>
      </c>
      <c r="C13" s="90" t="s">
        <v>85</v>
      </c>
      <c r="D13" s="136">
        <v>5000</v>
      </c>
      <c r="E13" s="147">
        <v>4200</v>
      </c>
      <c r="F13" s="40">
        <f t="shared" si="24"/>
        <v>800</v>
      </c>
      <c r="G13" s="41">
        <f t="shared" si="25"/>
        <v>0.16</v>
      </c>
      <c r="H13" s="61"/>
      <c r="I13" s="230"/>
      <c r="J13" s="231">
        <v>45258</v>
      </c>
      <c r="K13" s="54" t="s">
        <v>63</v>
      </c>
      <c r="L13" s="107">
        <v>45989</v>
      </c>
      <c r="M13" s="43" t="s">
        <v>88</v>
      </c>
      <c r="N13" s="251"/>
      <c r="O13" s="249"/>
      <c r="P13" s="258"/>
      <c r="Q13" s="44"/>
      <c r="R13" s="44"/>
      <c r="S13" s="44"/>
      <c r="T13" s="45"/>
      <c r="U13" s="45"/>
      <c r="V13" s="45" t="s">
        <v>83</v>
      </c>
      <c r="W13" s="45" t="s">
        <v>83</v>
      </c>
      <c r="X13" s="45" t="s">
        <v>83</v>
      </c>
      <c r="Y13" s="45" t="s">
        <v>83</v>
      </c>
      <c r="Z13" s="45" t="s">
        <v>83</v>
      </c>
      <c r="AA13" s="45"/>
      <c r="AB13" s="46"/>
      <c r="AC13" s="70"/>
      <c r="AD13" s="27">
        <f t="shared" ref="AD13:AD52" si="27">IF($K13="janvier",$D13,0)</f>
        <v>0</v>
      </c>
      <c r="AE13" s="27">
        <f t="shared" si="4"/>
        <v>0</v>
      </c>
      <c r="AF13" s="27">
        <f t="shared" si="5"/>
        <v>0</v>
      </c>
      <c r="AG13" s="27">
        <f t="shared" ref="AG13:AG52" si="28">IF($K13="avril",$D13,0)</f>
        <v>0</v>
      </c>
      <c r="AH13" s="27">
        <f t="shared" si="7"/>
        <v>0</v>
      </c>
      <c r="AI13" s="27">
        <f t="shared" si="8"/>
        <v>0</v>
      </c>
      <c r="AJ13" s="27">
        <f t="shared" ref="AJ13:AJ52" si="29">IF($K13="juillet",$D13,0)</f>
        <v>0</v>
      </c>
      <c r="AK13" s="27">
        <f t="shared" si="26"/>
        <v>0</v>
      </c>
      <c r="AL13" s="27">
        <f t="shared" si="10"/>
        <v>0</v>
      </c>
      <c r="AM13" s="27">
        <f t="shared" ref="AM13:AM39" si="30">IF($K13="octobre",$D13,0)</f>
        <v>0</v>
      </c>
      <c r="AN13" s="27">
        <f t="shared" ref="AN13:AN39" si="31">IF($K13="novembre",$D13,0)</f>
        <v>5000</v>
      </c>
      <c r="AO13" s="27">
        <f t="shared" ref="AO13:AO22" si="32">IF($K13="décembre",$D13,0)</f>
        <v>0</v>
      </c>
      <c r="AP13" s="37">
        <f t="shared" si="13"/>
        <v>0</v>
      </c>
      <c r="AQ13" s="37">
        <f t="shared" si="14"/>
        <v>0</v>
      </c>
      <c r="AR13" s="37">
        <f t="shared" si="15"/>
        <v>0</v>
      </c>
      <c r="AS13" s="37">
        <f t="shared" si="16"/>
        <v>0</v>
      </c>
      <c r="AT13" s="37">
        <f t="shared" si="17"/>
        <v>0</v>
      </c>
      <c r="AU13" s="37">
        <f t="shared" si="18"/>
        <v>0</v>
      </c>
      <c r="AV13" s="37">
        <f t="shared" si="19"/>
        <v>0</v>
      </c>
      <c r="AW13" s="37">
        <f t="shared" ref="AW13:AW20" si="33">IF($K13="août",$E13,0)</f>
        <v>0</v>
      </c>
      <c r="AX13" s="37">
        <f t="shared" si="20"/>
        <v>0</v>
      </c>
      <c r="AY13" s="37">
        <f t="shared" si="21"/>
        <v>0</v>
      </c>
      <c r="AZ13" s="37">
        <f t="shared" si="22"/>
        <v>4200</v>
      </c>
      <c r="BA13" s="37">
        <f t="shared" si="23"/>
        <v>0</v>
      </c>
    </row>
    <row r="14" spans="1:53" s="13" customFormat="1" x14ac:dyDescent="0.3">
      <c r="A14" s="151" t="s">
        <v>72</v>
      </c>
      <c r="B14" s="88" t="s">
        <v>89</v>
      </c>
      <c r="C14" s="90" t="s">
        <v>90</v>
      </c>
      <c r="D14" s="136">
        <f>11782.81*0.2</f>
        <v>2356.5619999999999</v>
      </c>
      <c r="E14" s="147">
        <v>0</v>
      </c>
      <c r="F14" s="40">
        <f t="shared" si="24"/>
        <v>2356.5619999999999</v>
      </c>
      <c r="G14" s="41">
        <f t="shared" si="25"/>
        <v>1</v>
      </c>
      <c r="H14" s="290"/>
      <c r="I14" s="230"/>
      <c r="J14" s="137">
        <v>44926</v>
      </c>
      <c r="K14" s="54" t="s">
        <v>58</v>
      </c>
      <c r="L14" s="107">
        <v>46386</v>
      </c>
      <c r="M14" s="53" t="s">
        <v>91</v>
      </c>
      <c r="N14" s="106"/>
      <c r="O14" s="53"/>
      <c r="P14" s="53"/>
      <c r="Q14" s="44"/>
      <c r="R14" s="44"/>
      <c r="S14" s="44"/>
      <c r="T14" s="20"/>
      <c r="U14" s="20"/>
      <c r="V14" s="20" t="s">
        <v>83</v>
      </c>
      <c r="W14" s="20" t="s">
        <v>83</v>
      </c>
      <c r="X14" s="20"/>
      <c r="Y14" s="50"/>
      <c r="Z14" s="47" t="s">
        <v>83</v>
      </c>
      <c r="AA14" s="48"/>
      <c r="AB14" s="49"/>
      <c r="AC14" s="70"/>
      <c r="AD14" s="27">
        <f t="shared" si="27"/>
        <v>0</v>
      </c>
      <c r="AE14" s="27">
        <f t="shared" si="4"/>
        <v>0</v>
      </c>
      <c r="AF14" s="27">
        <f t="shared" si="5"/>
        <v>0</v>
      </c>
      <c r="AG14" s="27">
        <f t="shared" si="28"/>
        <v>0</v>
      </c>
      <c r="AH14" s="27">
        <f t="shared" si="7"/>
        <v>0</v>
      </c>
      <c r="AI14" s="27">
        <f>IF($K14="juin",$D14,0)*0</f>
        <v>0</v>
      </c>
      <c r="AJ14" s="27">
        <f t="shared" si="29"/>
        <v>0</v>
      </c>
      <c r="AK14" s="27">
        <f t="shared" si="26"/>
        <v>0</v>
      </c>
      <c r="AL14" s="27">
        <f t="shared" si="10"/>
        <v>0</v>
      </c>
      <c r="AM14" s="27">
        <f t="shared" si="30"/>
        <v>0</v>
      </c>
      <c r="AN14" s="27">
        <f t="shared" si="31"/>
        <v>0</v>
      </c>
      <c r="AO14" s="27">
        <f t="shared" si="32"/>
        <v>0</v>
      </c>
      <c r="AP14" s="37">
        <f t="shared" si="13"/>
        <v>0</v>
      </c>
      <c r="AQ14" s="37">
        <f t="shared" si="14"/>
        <v>0</v>
      </c>
      <c r="AR14" s="37">
        <f t="shared" si="15"/>
        <v>0</v>
      </c>
      <c r="AS14" s="37">
        <f t="shared" si="16"/>
        <v>0</v>
      </c>
      <c r="AT14" s="37">
        <f t="shared" si="17"/>
        <v>0</v>
      </c>
      <c r="AU14" s="37">
        <f>IF($K14="juin",$E14,0)*0</f>
        <v>0</v>
      </c>
      <c r="AV14" s="37">
        <f t="shared" si="19"/>
        <v>0</v>
      </c>
      <c r="AW14" s="37">
        <f t="shared" si="33"/>
        <v>0</v>
      </c>
      <c r="AX14" s="37">
        <f t="shared" si="20"/>
        <v>0</v>
      </c>
      <c r="AY14" s="37">
        <f t="shared" si="21"/>
        <v>0</v>
      </c>
      <c r="AZ14" s="37">
        <f t="shared" si="22"/>
        <v>0</v>
      </c>
      <c r="BA14" s="37">
        <f t="shared" si="23"/>
        <v>0</v>
      </c>
    </row>
    <row r="15" spans="1:53" customFormat="1" x14ac:dyDescent="0.3">
      <c r="A15" s="151" t="s">
        <v>72</v>
      </c>
      <c r="B15" s="88" t="s">
        <v>89</v>
      </c>
      <c r="C15" s="90" t="s">
        <v>90</v>
      </c>
      <c r="D15" s="136">
        <f>54878.4*0.2</f>
        <v>10975.68</v>
      </c>
      <c r="E15" s="147">
        <v>0</v>
      </c>
      <c r="F15" s="40">
        <f t="shared" si="24"/>
        <v>10975.68</v>
      </c>
      <c r="G15" s="41">
        <f t="shared" si="25"/>
        <v>1</v>
      </c>
      <c r="H15" s="55"/>
      <c r="I15" s="55"/>
      <c r="J15" s="137">
        <v>44926</v>
      </c>
      <c r="K15" s="54" t="s">
        <v>64</v>
      </c>
      <c r="L15" s="107">
        <v>46386</v>
      </c>
      <c r="M15" s="53" t="s">
        <v>91</v>
      </c>
      <c r="N15" s="253"/>
      <c r="O15" s="256"/>
      <c r="P15" s="53"/>
      <c r="Q15" s="44"/>
      <c r="R15" s="44"/>
      <c r="S15" s="44"/>
      <c r="T15" s="20"/>
      <c r="U15" s="20"/>
      <c r="V15" s="20" t="s">
        <v>83</v>
      </c>
      <c r="W15" s="20" t="s">
        <v>83</v>
      </c>
      <c r="X15" s="20"/>
      <c r="Y15" s="50"/>
      <c r="Z15" s="47" t="s">
        <v>83</v>
      </c>
      <c r="AA15" s="48"/>
      <c r="AB15" s="49"/>
      <c r="AC15" s="70"/>
      <c r="AD15" s="27">
        <f t="shared" si="27"/>
        <v>0</v>
      </c>
      <c r="AE15" s="27">
        <f t="shared" si="4"/>
        <v>0</v>
      </c>
      <c r="AF15" s="27">
        <f t="shared" si="5"/>
        <v>0</v>
      </c>
      <c r="AG15" s="27">
        <f t="shared" si="28"/>
        <v>0</v>
      </c>
      <c r="AH15" s="27">
        <f t="shared" si="7"/>
        <v>0</v>
      </c>
      <c r="AI15" s="27">
        <f>IF($K15="juin",$D15,0)*0</f>
        <v>0</v>
      </c>
      <c r="AJ15" s="27">
        <f t="shared" si="29"/>
        <v>0</v>
      </c>
      <c r="AK15" s="27">
        <f t="shared" si="26"/>
        <v>0</v>
      </c>
      <c r="AL15" s="27">
        <f t="shared" si="10"/>
        <v>0</v>
      </c>
      <c r="AM15" s="27">
        <f t="shared" si="30"/>
        <v>0</v>
      </c>
      <c r="AN15" s="27">
        <f t="shared" si="31"/>
        <v>0</v>
      </c>
      <c r="AO15" s="27">
        <f t="shared" si="32"/>
        <v>10975.68</v>
      </c>
      <c r="AP15" s="37">
        <f t="shared" si="13"/>
        <v>0</v>
      </c>
      <c r="AQ15" s="37">
        <f t="shared" si="14"/>
        <v>0</v>
      </c>
      <c r="AR15" s="37">
        <f t="shared" si="15"/>
        <v>0</v>
      </c>
      <c r="AS15" s="37">
        <f t="shared" si="16"/>
        <v>0</v>
      </c>
      <c r="AT15" s="37">
        <f t="shared" si="17"/>
        <v>0</v>
      </c>
      <c r="AU15" s="37">
        <f>IF($K15="juin",$E15,0)*0</f>
        <v>0</v>
      </c>
      <c r="AV15" s="37">
        <f t="shared" si="19"/>
        <v>0</v>
      </c>
      <c r="AW15" s="37">
        <f t="shared" si="33"/>
        <v>0</v>
      </c>
      <c r="AX15" s="37">
        <f t="shared" si="20"/>
        <v>0</v>
      </c>
      <c r="AY15" s="37">
        <f t="shared" si="21"/>
        <v>0</v>
      </c>
      <c r="AZ15" s="37">
        <f t="shared" si="22"/>
        <v>0</v>
      </c>
      <c r="BA15" s="37">
        <f t="shared" si="23"/>
        <v>0</v>
      </c>
    </row>
    <row r="16" spans="1:53" customFormat="1" x14ac:dyDescent="0.3">
      <c r="A16" s="151" t="s">
        <v>72</v>
      </c>
      <c r="B16" s="88" t="s">
        <v>89</v>
      </c>
      <c r="C16" s="90" t="s">
        <v>74</v>
      </c>
      <c r="D16" s="136"/>
      <c r="E16" s="147">
        <v>0</v>
      </c>
      <c r="F16" s="40">
        <f t="shared" si="24"/>
        <v>0</v>
      </c>
      <c r="G16" s="41" t="e">
        <f t="shared" si="25"/>
        <v>#DIV/0!</v>
      </c>
      <c r="H16" s="136">
        <f>87000*0.1</f>
        <v>8700</v>
      </c>
      <c r="I16" s="230"/>
      <c r="J16" s="236">
        <v>45269</v>
      </c>
      <c r="K16" s="54" t="s">
        <v>64</v>
      </c>
      <c r="L16" s="107">
        <v>44897</v>
      </c>
      <c r="M16" s="43" t="s">
        <v>92</v>
      </c>
      <c r="N16" s="109" t="s">
        <v>77</v>
      </c>
      <c r="O16" s="254"/>
      <c r="P16" s="258"/>
      <c r="Q16" s="44"/>
      <c r="R16" s="44"/>
      <c r="S16" s="44"/>
      <c r="T16" s="45"/>
      <c r="U16" s="45"/>
      <c r="V16" s="45"/>
      <c r="W16" s="45"/>
      <c r="X16" s="45"/>
      <c r="Y16" s="45"/>
      <c r="Z16" s="45"/>
      <c r="AA16" s="45"/>
      <c r="AB16" s="46"/>
      <c r="AC16" s="70"/>
      <c r="AD16" s="27">
        <f t="shared" si="27"/>
        <v>0</v>
      </c>
      <c r="AE16" s="27">
        <f t="shared" si="4"/>
        <v>0</v>
      </c>
      <c r="AF16" s="27">
        <f t="shared" si="5"/>
        <v>0</v>
      </c>
      <c r="AG16" s="27">
        <f t="shared" si="28"/>
        <v>0</v>
      </c>
      <c r="AH16" s="27">
        <f t="shared" si="7"/>
        <v>0</v>
      </c>
      <c r="AI16" s="27">
        <f t="shared" ref="AI16:AI28" si="34">IF($K16="juin",$D16,0)</f>
        <v>0</v>
      </c>
      <c r="AJ16" s="27">
        <f t="shared" si="29"/>
        <v>0</v>
      </c>
      <c r="AK16" s="27">
        <f t="shared" si="26"/>
        <v>0</v>
      </c>
      <c r="AL16" s="27">
        <f t="shared" si="10"/>
        <v>0</v>
      </c>
      <c r="AM16" s="27">
        <f t="shared" si="30"/>
        <v>0</v>
      </c>
      <c r="AN16" s="27">
        <f t="shared" si="31"/>
        <v>0</v>
      </c>
      <c r="AO16" s="27">
        <f t="shared" si="32"/>
        <v>0</v>
      </c>
      <c r="AP16" s="37">
        <f t="shared" si="13"/>
        <v>0</v>
      </c>
      <c r="AQ16" s="37">
        <f t="shared" si="14"/>
        <v>0</v>
      </c>
      <c r="AR16" s="37">
        <f t="shared" si="15"/>
        <v>0</v>
      </c>
      <c r="AS16" s="37">
        <f t="shared" si="16"/>
        <v>0</v>
      </c>
      <c r="AT16" s="37">
        <f t="shared" si="17"/>
        <v>0</v>
      </c>
      <c r="AU16" s="37">
        <f t="shared" ref="AU16:AU28" si="35">IF($K16="juin",$E16,0)</f>
        <v>0</v>
      </c>
      <c r="AV16" s="37">
        <f t="shared" si="19"/>
        <v>0</v>
      </c>
      <c r="AW16" s="37">
        <f t="shared" si="33"/>
        <v>0</v>
      </c>
      <c r="AX16" s="37">
        <f t="shared" si="20"/>
        <v>0</v>
      </c>
      <c r="AY16" s="37">
        <f t="shared" si="21"/>
        <v>0</v>
      </c>
      <c r="AZ16" s="37">
        <f t="shared" si="22"/>
        <v>0</v>
      </c>
      <c r="BA16" s="37">
        <f t="shared" si="23"/>
        <v>0</v>
      </c>
    </row>
    <row r="17" spans="1:53" s="13" customFormat="1" x14ac:dyDescent="0.3">
      <c r="A17" s="151" t="s">
        <v>72</v>
      </c>
      <c r="B17" s="88" t="s">
        <v>89</v>
      </c>
      <c r="C17" s="90" t="s">
        <v>74</v>
      </c>
      <c r="D17" s="136"/>
      <c r="E17" s="147">
        <v>0</v>
      </c>
      <c r="F17" s="40">
        <f t="shared" si="24"/>
        <v>0</v>
      </c>
      <c r="G17" s="41" t="e">
        <f t="shared" si="25"/>
        <v>#DIV/0!</v>
      </c>
      <c r="H17" s="229">
        <f>29000*0.1</f>
        <v>2900</v>
      </c>
      <c r="I17" s="55"/>
      <c r="J17" s="236">
        <v>45269</v>
      </c>
      <c r="K17" s="54" t="s">
        <v>64</v>
      </c>
      <c r="L17" s="107">
        <v>45628</v>
      </c>
      <c r="M17" s="43" t="s">
        <v>92</v>
      </c>
      <c r="N17" s="251" t="s">
        <v>78</v>
      </c>
      <c r="O17" s="249"/>
      <c r="P17" s="258"/>
      <c r="Q17" s="44"/>
      <c r="R17" s="44"/>
      <c r="S17" s="44"/>
      <c r="T17" s="45"/>
      <c r="U17" s="45"/>
      <c r="V17" s="45"/>
      <c r="W17" s="45"/>
      <c r="X17" s="45"/>
      <c r="Y17" s="45"/>
      <c r="Z17" s="45"/>
      <c r="AA17" s="45"/>
      <c r="AB17" s="46"/>
      <c r="AC17" s="70"/>
      <c r="AD17" s="27">
        <f t="shared" si="27"/>
        <v>0</v>
      </c>
      <c r="AE17" s="27">
        <f t="shared" si="4"/>
        <v>0</v>
      </c>
      <c r="AF17" s="27">
        <f t="shared" si="5"/>
        <v>0</v>
      </c>
      <c r="AG17" s="27">
        <f t="shared" si="28"/>
        <v>0</v>
      </c>
      <c r="AH17" s="27">
        <f t="shared" si="7"/>
        <v>0</v>
      </c>
      <c r="AI17" s="27">
        <f t="shared" si="34"/>
        <v>0</v>
      </c>
      <c r="AJ17" s="27">
        <f t="shared" si="29"/>
        <v>0</v>
      </c>
      <c r="AK17" s="27">
        <f t="shared" si="26"/>
        <v>0</v>
      </c>
      <c r="AL17" s="27">
        <f t="shared" si="10"/>
        <v>0</v>
      </c>
      <c r="AM17" s="27">
        <f t="shared" si="30"/>
        <v>0</v>
      </c>
      <c r="AN17" s="27">
        <f t="shared" si="31"/>
        <v>0</v>
      </c>
      <c r="AO17" s="27">
        <f t="shared" si="32"/>
        <v>0</v>
      </c>
      <c r="AP17" s="37">
        <f t="shared" si="13"/>
        <v>0</v>
      </c>
      <c r="AQ17" s="37">
        <f t="shared" si="14"/>
        <v>0</v>
      </c>
      <c r="AR17" s="37">
        <f t="shared" si="15"/>
        <v>0</v>
      </c>
      <c r="AS17" s="37">
        <f t="shared" si="16"/>
        <v>0</v>
      </c>
      <c r="AT17" s="37">
        <f t="shared" si="17"/>
        <v>0</v>
      </c>
      <c r="AU17" s="37">
        <f t="shared" si="35"/>
        <v>0</v>
      </c>
      <c r="AV17" s="37">
        <f t="shared" si="19"/>
        <v>0</v>
      </c>
      <c r="AW17" s="37">
        <f t="shared" si="33"/>
        <v>0</v>
      </c>
      <c r="AX17" s="37">
        <f t="shared" si="20"/>
        <v>0</v>
      </c>
      <c r="AY17" s="37">
        <f t="shared" si="21"/>
        <v>0</v>
      </c>
      <c r="AZ17" s="37">
        <f t="shared" si="22"/>
        <v>0</v>
      </c>
      <c r="BA17" s="37">
        <f t="shared" si="23"/>
        <v>0</v>
      </c>
    </row>
    <row r="18" spans="1:53" s="13" customFormat="1" x14ac:dyDescent="0.3">
      <c r="A18" s="151" t="s">
        <v>72</v>
      </c>
      <c r="B18" s="88" t="s">
        <v>93</v>
      </c>
      <c r="C18" s="90"/>
      <c r="D18" s="139">
        <v>7392</v>
      </c>
      <c r="E18" s="226">
        <v>6240</v>
      </c>
      <c r="F18" s="40">
        <f t="shared" si="24"/>
        <v>1152</v>
      </c>
      <c r="G18" s="41">
        <f t="shared" si="25"/>
        <v>0.15584415584415584</v>
      </c>
      <c r="H18" s="55">
        <f>E18/4</f>
        <v>1560</v>
      </c>
      <c r="I18" s="55"/>
      <c r="J18" s="231">
        <v>44972</v>
      </c>
      <c r="K18" s="240" t="s">
        <v>94</v>
      </c>
      <c r="L18" s="241">
        <v>45442</v>
      </c>
      <c r="M18" s="247" t="s">
        <v>91</v>
      </c>
      <c r="N18" s="251"/>
      <c r="O18" s="251"/>
      <c r="P18" s="260"/>
      <c r="Q18" s="261"/>
      <c r="R18" s="261"/>
      <c r="S18" s="261"/>
      <c r="T18" s="262"/>
      <c r="U18" s="262"/>
      <c r="V18" s="262"/>
      <c r="W18" s="262"/>
      <c r="X18" s="262"/>
      <c r="Y18" s="262"/>
      <c r="Z18" s="262"/>
      <c r="AA18" s="262"/>
      <c r="AB18" s="263"/>
      <c r="AC18" s="78"/>
      <c r="AD18" s="27">
        <f t="shared" si="27"/>
        <v>0</v>
      </c>
      <c r="AE18" s="27">
        <f t="shared" si="4"/>
        <v>7392</v>
      </c>
      <c r="AF18" s="27">
        <f t="shared" si="5"/>
        <v>0</v>
      </c>
      <c r="AG18" s="27">
        <f t="shared" si="28"/>
        <v>0</v>
      </c>
      <c r="AH18" s="27">
        <f t="shared" si="7"/>
        <v>0</v>
      </c>
      <c r="AI18" s="27">
        <f t="shared" si="34"/>
        <v>0</v>
      </c>
      <c r="AJ18" s="27">
        <f t="shared" si="29"/>
        <v>0</v>
      </c>
      <c r="AK18" s="27">
        <f t="shared" si="26"/>
        <v>0</v>
      </c>
      <c r="AL18" s="27">
        <f t="shared" si="10"/>
        <v>0</v>
      </c>
      <c r="AM18" s="27">
        <f t="shared" si="30"/>
        <v>0</v>
      </c>
      <c r="AN18" s="27">
        <f t="shared" si="31"/>
        <v>0</v>
      </c>
      <c r="AO18" s="27">
        <f t="shared" si="32"/>
        <v>0</v>
      </c>
      <c r="AP18" s="37">
        <f t="shared" si="13"/>
        <v>0</v>
      </c>
      <c r="AQ18" s="37">
        <f t="shared" si="14"/>
        <v>6240</v>
      </c>
      <c r="AR18" s="37">
        <f t="shared" si="15"/>
        <v>0</v>
      </c>
      <c r="AS18" s="37">
        <f t="shared" si="16"/>
        <v>0</v>
      </c>
      <c r="AT18" s="37">
        <f t="shared" si="17"/>
        <v>0</v>
      </c>
      <c r="AU18" s="37">
        <f t="shared" si="35"/>
        <v>0</v>
      </c>
      <c r="AV18" s="37">
        <f t="shared" si="19"/>
        <v>0</v>
      </c>
      <c r="AW18" s="37">
        <f t="shared" si="33"/>
        <v>0</v>
      </c>
      <c r="AX18" s="37">
        <f t="shared" si="20"/>
        <v>0</v>
      </c>
      <c r="AY18" s="37">
        <f t="shared" si="21"/>
        <v>0</v>
      </c>
      <c r="AZ18" s="37">
        <f t="shared" si="22"/>
        <v>0</v>
      </c>
      <c r="BA18" s="37">
        <f t="shared" si="23"/>
        <v>0</v>
      </c>
    </row>
    <row r="19" spans="1:53" s="13" customFormat="1" x14ac:dyDescent="0.3">
      <c r="A19" s="151" t="s">
        <v>72</v>
      </c>
      <c r="B19" s="88" t="s">
        <v>93</v>
      </c>
      <c r="C19" s="90"/>
      <c r="D19" s="140">
        <v>67221</v>
      </c>
      <c r="E19" s="226">
        <v>56745</v>
      </c>
      <c r="F19" s="40">
        <f t="shared" si="24"/>
        <v>10476</v>
      </c>
      <c r="G19" s="41">
        <f t="shared" si="25"/>
        <v>0.15584415584415584</v>
      </c>
      <c r="H19" s="55">
        <f>E19/4</f>
        <v>14186.25</v>
      </c>
      <c r="J19" s="231">
        <v>45078</v>
      </c>
      <c r="K19" s="240" t="s">
        <v>68</v>
      </c>
      <c r="L19" s="241">
        <v>44241</v>
      </c>
      <c r="M19" s="247" t="s">
        <v>91</v>
      </c>
      <c r="N19" s="251"/>
      <c r="O19" s="251"/>
      <c r="P19" s="260"/>
      <c r="Q19" s="261"/>
      <c r="R19" s="261"/>
      <c r="S19" s="261"/>
      <c r="T19" s="262"/>
      <c r="U19" s="262"/>
      <c r="V19" s="262"/>
      <c r="W19" s="262"/>
      <c r="X19" s="262"/>
      <c r="Y19" s="262"/>
      <c r="Z19" s="262"/>
      <c r="AA19" s="262"/>
      <c r="AB19" s="263"/>
      <c r="AC19" s="78"/>
      <c r="AD19" s="27">
        <f t="shared" si="27"/>
        <v>0</v>
      </c>
      <c r="AE19" s="27">
        <f t="shared" si="4"/>
        <v>0</v>
      </c>
      <c r="AF19" s="27">
        <f t="shared" si="5"/>
        <v>0</v>
      </c>
      <c r="AG19" s="27">
        <f t="shared" si="28"/>
        <v>0</v>
      </c>
      <c r="AH19" s="27">
        <f t="shared" si="7"/>
        <v>0</v>
      </c>
      <c r="AI19" s="27">
        <f t="shared" si="34"/>
        <v>67221</v>
      </c>
      <c r="AJ19" s="27">
        <f t="shared" si="29"/>
        <v>0</v>
      </c>
      <c r="AK19" s="27">
        <f t="shared" si="26"/>
        <v>0</v>
      </c>
      <c r="AL19" s="27">
        <f t="shared" si="10"/>
        <v>0</v>
      </c>
      <c r="AM19" s="27">
        <f t="shared" si="30"/>
        <v>0</v>
      </c>
      <c r="AN19" s="27">
        <f t="shared" si="31"/>
        <v>0</v>
      </c>
      <c r="AO19" s="27">
        <f t="shared" si="32"/>
        <v>0</v>
      </c>
      <c r="AP19" s="37">
        <f t="shared" si="13"/>
        <v>0</v>
      </c>
      <c r="AQ19" s="37">
        <f t="shared" si="14"/>
        <v>0</v>
      </c>
      <c r="AR19" s="37">
        <f t="shared" si="15"/>
        <v>0</v>
      </c>
      <c r="AS19" s="37">
        <f t="shared" si="16"/>
        <v>0</v>
      </c>
      <c r="AT19" s="37">
        <f t="shared" si="17"/>
        <v>0</v>
      </c>
      <c r="AU19" s="37">
        <f t="shared" si="35"/>
        <v>56745</v>
      </c>
      <c r="AV19" s="37">
        <f t="shared" si="19"/>
        <v>0</v>
      </c>
      <c r="AW19" s="37">
        <f t="shared" si="33"/>
        <v>0</v>
      </c>
      <c r="AX19" s="37">
        <f t="shared" si="20"/>
        <v>0</v>
      </c>
      <c r="AY19" s="37">
        <f t="shared" si="21"/>
        <v>0</v>
      </c>
      <c r="AZ19" s="37">
        <f t="shared" si="22"/>
        <v>0</v>
      </c>
      <c r="BA19" s="37">
        <f t="shared" si="23"/>
        <v>0</v>
      </c>
    </row>
    <row r="20" spans="1:53" s="13" customFormat="1" x14ac:dyDescent="0.3">
      <c r="A20" s="223" t="s">
        <v>72</v>
      </c>
      <c r="B20" s="88" t="s">
        <v>95</v>
      </c>
      <c r="C20" s="90"/>
      <c r="D20" s="136">
        <v>2400</v>
      </c>
      <c r="E20" s="227">
        <v>1680</v>
      </c>
      <c r="F20" s="40">
        <f t="shared" si="24"/>
        <v>720</v>
      </c>
      <c r="G20" s="41">
        <f t="shared" si="25"/>
        <v>0.3</v>
      </c>
      <c r="H20" s="55">
        <f>E20/4</f>
        <v>420</v>
      </c>
      <c r="I20" s="55"/>
      <c r="J20" s="238">
        <v>43644</v>
      </c>
      <c r="K20" s="54" t="s">
        <v>68</v>
      </c>
      <c r="L20" s="245">
        <v>45105</v>
      </c>
      <c r="M20" s="43" t="s">
        <v>85</v>
      </c>
      <c r="N20" s="251" t="s">
        <v>96</v>
      </c>
      <c r="O20" s="249" t="s">
        <v>97</v>
      </c>
      <c r="P20" s="259"/>
      <c r="Q20" s="44"/>
      <c r="R20" s="44"/>
      <c r="S20" s="44"/>
      <c r="T20" s="45"/>
      <c r="U20" s="45"/>
      <c r="V20" s="45"/>
      <c r="W20" s="45"/>
      <c r="X20" s="45"/>
      <c r="Y20" s="45"/>
      <c r="Z20" s="45"/>
      <c r="AA20" s="45"/>
      <c r="AB20" s="46"/>
      <c r="AC20" s="70"/>
      <c r="AD20" s="27">
        <f t="shared" si="27"/>
        <v>0</v>
      </c>
      <c r="AE20" s="27">
        <f t="shared" si="4"/>
        <v>0</v>
      </c>
      <c r="AF20" s="27">
        <f t="shared" si="5"/>
        <v>0</v>
      </c>
      <c r="AG20" s="27">
        <f t="shared" si="28"/>
        <v>0</v>
      </c>
      <c r="AH20" s="27">
        <f t="shared" si="7"/>
        <v>0</v>
      </c>
      <c r="AI20" s="27">
        <f t="shared" si="34"/>
        <v>2400</v>
      </c>
      <c r="AJ20" s="27">
        <f t="shared" si="29"/>
        <v>0</v>
      </c>
      <c r="AK20" s="27">
        <f t="shared" si="26"/>
        <v>0</v>
      </c>
      <c r="AL20" s="27">
        <f t="shared" si="10"/>
        <v>0</v>
      </c>
      <c r="AM20" s="27">
        <f t="shared" si="30"/>
        <v>0</v>
      </c>
      <c r="AN20" s="27">
        <f t="shared" si="31"/>
        <v>0</v>
      </c>
      <c r="AO20" s="27">
        <f t="shared" si="32"/>
        <v>0</v>
      </c>
      <c r="AP20" s="37">
        <f t="shared" si="13"/>
        <v>0</v>
      </c>
      <c r="AQ20" s="37">
        <f t="shared" si="14"/>
        <v>0</v>
      </c>
      <c r="AR20" s="37">
        <f t="shared" si="15"/>
        <v>0</v>
      </c>
      <c r="AS20" s="37">
        <f t="shared" si="16"/>
        <v>0</v>
      </c>
      <c r="AT20" s="37">
        <f t="shared" si="17"/>
        <v>0</v>
      </c>
      <c r="AU20" s="37">
        <f t="shared" si="35"/>
        <v>1680</v>
      </c>
      <c r="AV20" s="37">
        <f t="shared" si="19"/>
        <v>0</v>
      </c>
      <c r="AW20" s="37">
        <f t="shared" si="33"/>
        <v>0</v>
      </c>
      <c r="AX20" s="37">
        <f t="shared" si="20"/>
        <v>0</v>
      </c>
      <c r="AY20" s="37">
        <f t="shared" si="21"/>
        <v>0</v>
      </c>
      <c r="AZ20" s="37">
        <f t="shared" si="22"/>
        <v>0</v>
      </c>
      <c r="BA20" s="37">
        <f t="shared" si="23"/>
        <v>0</v>
      </c>
    </row>
    <row r="21" spans="1:53" s="13" customFormat="1" x14ac:dyDescent="0.3">
      <c r="A21" s="223" t="s">
        <v>66</v>
      </c>
      <c r="B21" s="86" t="s">
        <v>98</v>
      </c>
      <c r="C21" s="90"/>
      <c r="D21" s="136"/>
      <c r="E21" s="227"/>
      <c r="F21" s="40"/>
      <c r="G21" s="41"/>
      <c r="H21" s="57"/>
      <c r="I21" s="55"/>
      <c r="J21" s="137">
        <v>44561</v>
      </c>
      <c r="K21" s="54" t="str">
        <f>TEXT(30*MONTH(J21)+30,"mmmm")</f>
        <v>janvier</v>
      </c>
      <c r="L21" s="107">
        <v>43830</v>
      </c>
      <c r="M21" s="105" t="s">
        <v>85</v>
      </c>
      <c r="N21" s="106" t="s">
        <v>99</v>
      </c>
      <c r="O21" s="43"/>
      <c r="P21" s="43"/>
      <c r="Q21" s="44"/>
      <c r="R21" s="44"/>
      <c r="S21" s="44"/>
      <c r="T21" s="45"/>
      <c r="U21" s="45"/>
      <c r="V21" s="45"/>
      <c r="W21" s="45"/>
      <c r="X21" s="45"/>
      <c r="Y21" s="45"/>
      <c r="Z21" s="45"/>
      <c r="AA21" s="45"/>
      <c r="AB21" s="46"/>
      <c r="AC21" s="70" t="s">
        <v>100</v>
      </c>
      <c r="AD21" s="27">
        <f t="shared" si="27"/>
        <v>0</v>
      </c>
      <c r="AE21" s="27">
        <f t="shared" si="4"/>
        <v>0</v>
      </c>
      <c r="AF21" s="27">
        <f t="shared" si="5"/>
        <v>0</v>
      </c>
      <c r="AG21" s="27">
        <f t="shared" si="28"/>
        <v>0</v>
      </c>
      <c r="AH21" s="27">
        <f t="shared" si="7"/>
        <v>0</v>
      </c>
      <c r="AI21" s="27">
        <f t="shared" si="34"/>
        <v>0</v>
      </c>
      <c r="AJ21" s="27">
        <f t="shared" si="29"/>
        <v>0</v>
      </c>
      <c r="AK21" s="27">
        <f t="shared" si="26"/>
        <v>0</v>
      </c>
      <c r="AL21" s="27">
        <f t="shared" si="10"/>
        <v>0</v>
      </c>
      <c r="AM21" s="27">
        <f t="shared" si="30"/>
        <v>0</v>
      </c>
      <c r="AN21" s="27">
        <f t="shared" si="31"/>
        <v>0</v>
      </c>
      <c r="AO21" s="27">
        <f t="shared" si="32"/>
        <v>0</v>
      </c>
      <c r="AP21" s="37">
        <f t="shared" si="13"/>
        <v>0</v>
      </c>
      <c r="AQ21" s="37">
        <f t="shared" si="14"/>
        <v>0</v>
      </c>
      <c r="AR21" s="37">
        <f t="shared" si="15"/>
        <v>0</v>
      </c>
      <c r="AS21" s="37">
        <f t="shared" si="16"/>
        <v>0</v>
      </c>
      <c r="AT21" s="37">
        <f t="shared" si="17"/>
        <v>0</v>
      </c>
      <c r="AU21" s="37">
        <f t="shared" si="35"/>
        <v>0</v>
      </c>
      <c r="AV21" s="37">
        <f t="shared" si="19"/>
        <v>0</v>
      </c>
      <c r="AW21" s="37">
        <f>IF($K21="août",$CJ21,0)</f>
        <v>0</v>
      </c>
      <c r="AX21" s="37">
        <f t="shared" si="20"/>
        <v>0</v>
      </c>
      <c r="AY21" s="37">
        <f t="shared" si="21"/>
        <v>0</v>
      </c>
      <c r="AZ21" s="37">
        <f t="shared" si="22"/>
        <v>0</v>
      </c>
      <c r="BA21" s="37">
        <f t="shared" si="23"/>
        <v>0</v>
      </c>
    </row>
    <row r="22" spans="1:53" customFormat="1" x14ac:dyDescent="0.3">
      <c r="A22" s="71" t="s">
        <v>72</v>
      </c>
      <c r="B22" s="88" t="s">
        <v>101</v>
      </c>
      <c r="C22" s="90"/>
      <c r="D22" s="136">
        <v>17000</v>
      </c>
      <c r="E22" s="136">
        <v>14910</v>
      </c>
      <c r="F22" s="59">
        <f t="shared" si="24"/>
        <v>2090</v>
      </c>
      <c r="G22" s="60">
        <f t="shared" si="25"/>
        <v>0.12294117647058823</v>
      </c>
      <c r="H22" s="61">
        <f>E22/4</f>
        <v>3727.5</v>
      </c>
      <c r="I22" s="61"/>
      <c r="J22" s="232">
        <v>45199</v>
      </c>
      <c r="K22" s="63" t="s">
        <v>61</v>
      </c>
      <c r="L22" s="107">
        <v>44104</v>
      </c>
      <c r="M22" s="248" t="s">
        <v>85</v>
      </c>
      <c r="N22" s="82" t="s">
        <v>102</v>
      </c>
      <c r="O22" s="82" t="s">
        <v>103</v>
      </c>
      <c r="P22" s="117"/>
      <c r="Q22" s="68"/>
      <c r="R22" s="68"/>
      <c r="S22" s="68"/>
      <c r="T22" s="120"/>
      <c r="U22" s="120"/>
      <c r="V22" s="120"/>
      <c r="W22" s="120"/>
      <c r="X22" s="120"/>
      <c r="Y22" s="123"/>
      <c r="Z22" s="121"/>
      <c r="AA22" s="58"/>
      <c r="AB22" s="122"/>
      <c r="AC22" s="42" t="s">
        <v>104</v>
      </c>
      <c r="AD22" s="27">
        <f t="shared" si="27"/>
        <v>0</v>
      </c>
      <c r="AE22" s="27">
        <f t="shared" si="4"/>
        <v>0</v>
      </c>
      <c r="AF22" s="27">
        <f t="shared" si="5"/>
        <v>0</v>
      </c>
      <c r="AG22" s="27">
        <f t="shared" si="28"/>
        <v>0</v>
      </c>
      <c r="AH22" s="27">
        <f t="shared" si="7"/>
        <v>0</v>
      </c>
      <c r="AI22" s="27">
        <f t="shared" si="34"/>
        <v>0</v>
      </c>
      <c r="AJ22" s="27">
        <f t="shared" si="29"/>
        <v>0</v>
      </c>
      <c r="AK22" s="27">
        <f t="shared" si="26"/>
        <v>0</v>
      </c>
      <c r="AL22" s="27">
        <f t="shared" si="10"/>
        <v>17000</v>
      </c>
      <c r="AM22" s="27">
        <f t="shared" si="30"/>
        <v>0</v>
      </c>
      <c r="AN22" s="27">
        <f t="shared" si="31"/>
        <v>0</v>
      </c>
      <c r="AO22" s="27">
        <f t="shared" si="32"/>
        <v>0</v>
      </c>
      <c r="AP22" s="37">
        <f t="shared" si="13"/>
        <v>0</v>
      </c>
      <c r="AQ22" s="37">
        <f t="shared" si="14"/>
        <v>0</v>
      </c>
      <c r="AR22" s="37">
        <f t="shared" si="15"/>
        <v>0</v>
      </c>
      <c r="AS22" s="37">
        <f t="shared" si="16"/>
        <v>0</v>
      </c>
      <c r="AT22" s="37">
        <f t="shared" si="17"/>
        <v>0</v>
      </c>
      <c r="AU22" s="37">
        <f t="shared" si="35"/>
        <v>0</v>
      </c>
      <c r="AV22" s="37">
        <v>0</v>
      </c>
      <c r="AW22" s="37">
        <f>IF($K22="août",$E22,0)</f>
        <v>0</v>
      </c>
      <c r="AX22" s="37">
        <f t="shared" si="20"/>
        <v>14910</v>
      </c>
      <c r="AY22" s="37">
        <f t="shared" si="21"/>
        <v>0</v>
      </c>
      <c r="AZ22" s="37">
        <f t="shared" si="22"/>
        <v>0</v>
      </c>
      <c r="BA22" s="37">
        <f t="shared" si="23"/>
        <v>0</v>
      </c>
    </row>
    <row r="23" spans="1:53" customFormat="1" x14ac:dyDescent="0.3">
      <c r="A23" s="71" t="s">
        <v>72</v>
      </c>
      <c r="B23" s="88" t="s">
        <v>101</v>
      </c>
      <c r="C23" s="90"/>
      <c r="D23" s="61">
        <v>2400</v>
      </c>
      <c r="E23" s="61">
        <f>2*1735.967</f>
        <v>3471.9340000000002</v>
      </c>
      <c r="F23" s="59">
        <f t="shared" ref="F23" si="36">D23-E23</f>
        <v>-1071.9340000000002</v>
      </c>
      <c r="G23" s="60">
        <f t="shared" ref="G23" si="37">F23/D23</f>
        <v>-0.44663916666666675</v>
      </c>
      <c r="H23" s="61">
        <v>2400</v>
      </c>
      <c r="I23" s="61">
        <v>1735.9670000000001</v>
      </c>
      <c r="J23" s="239">
        <v>45199</v>
      </c>
      <c r="K23" s="129" t="s">
        <v>61</v>
      </c>
      <c r="L23" s="246">
        <v>44834</v>
      </c>
      <c r="M23" s="77" t="s">
        <v>85</v>
      </c>
      <c r="N23" s="71" t="s">
        <v>105</v>
      </c>
      <c r="O23" s="71"/>
      <c r="P23" s="79"/>
      <c r="Q23" s="80"/>
      <c r="R23" s="80"/>
      <c r="S23" s="80"/>
      <c r="T23" s="81"/>
      <c r="U23" s="81"/>
      <c r="V23" s="81"/>
      <c r="W23" s="81"/>
      <c r="X23" s="81"/>
      <c r="Y23" s="81"/>
      <c r="Z23" s="81"/>
      <c r="AA23" s="81"/>
      <c r="AB23" s="81"/>
      <c r="AC23" s="26"/>
      <c r="AD23" s="27">
        <f t="shared" si="27"/>
        <v>0</v>
      </c>
      <c r="AE23" s="27">
        <f t="shared" si="4"/>
        <v>0</v>
      </c>
      <c r="AF23" s="27">
        <f t="shared" si="5"/>
        <v>0</v>
      </c>
      <c r="AG23" s="27">
        <f t="shared" si="28"/>
        <v>0</v>
      </c>
      <c r="AH23" s="27">
        <f t="shared" si="7"/>
        <v>0</v>
      </c>
      <c r="AI23" s="27">
        <f t="shared" si="34"/>
        <v>0</v>
      </c>
      <c r="AJ23" s="27">
        <f t="shared" si="29"/>
        <v>0</v>
      </c>
      <c r="AK23" s="27">
        <f>IF($K23="août",$D23,0)/4</f>
        <v>0</v>
      </c>
      <c r="AL23" s="27">
        <f t="shared" si="10"/>
        <v>2400</v>
      </c>
      <c r="AM23" s="27">
        <f t="shared" si="30"/>
        <v>0</v>
      </c>
      <c r="AN23" s="27">
        <f t="shared" si="31"/>
        <v>0</v>
      </c>
      <c r="AO23" s="27">
        <f>IF($K23="août",$D23,0)/4</f>
        <v>0</v>
      </c>
      <c r="AP23" s="37">
        <f t="shared" si="13"/>
        <v>0</v>
      </c>
      <c r="AQ23" s="37">
        <f t="shared" si="14"/>
        <v>0</v>
      </c>
      <c r="AR23" s="37">
        <f t="shared" si="15"/>
        <v>0</v>
      </c>
      <c r="AS23" s="37">
        <f t="shared" si="16"/>
        <v>0</v>
      </c>
      <c r="AT23" s="37">
        <f t="shared" si="17"/>
        <v>0</v>
      </c>
      <c r="AU23" s="37">
        <f t="shared" si="35"/>
        <v>0</v>
      </c>
      <c r="AV23" s="37">
        <f>IF($K23="juillet",$E23,0)</f>
        <v>0</v>
      </c>
      <c r="AW23" s="37">
        <f>IF($K23="août",$E23,0)</f>
        <v>0</v>
      </c>
      <c r="AX23" s="37">
        <f t="shared" si="20"/>
        <v>3471.9340000000002</v>
      </c>
      <c r="AY23" s="37">
        <f t="shared" si="21"/>
        <v>0</v>
      </c>
      <c r="AZ23" s="37">
        <f t="shared" si="22"/>
        <v>0</v>
      </c>
      <c r="BA23" s="37">
        <f t="shared" si="23"/>
        <v>0</v>
      </c>
    </row>
    <row r="24" spans="1:53" customFormat="1" x14ac:dyDescent="0.3">
      <c r="A24" s="71" t="s">
        <v>72</v>
      </c>
      <c r="B24" s="88" t="s">
        <v>101</v>
      </c>
      <c r="C24" s="90"/>
      <c r="D24" s="61">
        <f>2400</f>
        <v>2400</v>
      </c>
      <c r="E24" s="61">
        <f>2*1735.967</f>
        <v>3471.9340000000002</v>
      </c>
      <c r="F24" s="59">
        <f t="shared" si="24"/>
        <v>-1071.9340000000002</v>
      </c>
      <c r="G24" s="60">
        <f t="shared" si="25"/>
        <v>-0.44663916666666675</v>
      </c>
      <c r="H24" s="61">
        <v>2400</v>
      </c>
      <c r="I24" s="61">
        <v>1735.9670000000001</v>
      </c>
      <c r="J24" s="239">
        <v>45199</v>
      </c>
      <c r="K24" s="129" t="s">
        <v>57</v>
      </c>
      <c r="L24" s="246">
        <v>44834</v>
      </c>
      <c r="M24" s="77" t="s">
        <v>85</v>
      </c>
      <c r="N24" s="71" t="s">
        <v>105</v>
      </c>
      <c r="O24" s="71"/>
      <c r="P24" s="79"/>
      <c r="Q24" s="80"/>
      <c r="R24" s="80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26"/>
      <c r="AD24" s="27">
        <f t="shared" si="27"/>
        <v>0</v>
      </c>
      <c r="AE24" s="27">
        <f t="shared" si="4"/>
        <v>0</v>
      </c>
      <c r="AF24" s="27">
        <f t="shared" si="5"/>
        <v>0</v>
      </c>
      <c r="AG24" s="27">
        <f t="shared" si="28"/>
        <v>0</v>
      </c>
      <c r="AH24" s="27">
        <f t="shared" si="7"/>
        <v>2400</v>
      </c>
      <c r="AI24" s="27">
        <f t="shared" si="34"/>
        <v>0</v>
      </c>
      <c r="AJ24" s="27">
        <f t="shared" si="29"/>
        <v>0</v>
      </c>
      <c r="AK24" s="27">
        <f>IF($K24="août",$D24,0)/4</f>
        <v>0</v>
      </c>
      <c r="AL24" s="27">
        <f t="shared" si="10"/>
        <v>0</v>
      </c>
      <c r="AM24" s="27">
        <f t="shared" si="30"/>
        <v>0</v>
      </c>
      <c r="AN24" s="27">
        <f t="shared" si="31"/>
        <v>0</v>
      </c>
      <c r="AO24" s="27">
        <f>IF($K24="août",$D24,0)/4</f>
        <v>0</v>
      </c>
      <c r="AP24" s="37">
        <f t="shared" si="13"/>
        <v>0</v>
      </c>
      <c r="AQ24" s="37">
        <f t="shared" si="14"/>
        <v>0</v>
      </c>
      <c r="AR24" s="37">
        <f t="shared" si="15"/>
        <v>0</v>
      </c>
      <c r="AS24" s="37">
        <f t="shared" si="16"/>
        <v>0</v>
      </c>
      <c r="AT24" s="37">
        <f t="shared" si="17"/>
        <v>3471.9340000000002</v>
      </c>
      <c r="AU24" s="37">
        <f t="shared" si="35"/>
        <v>0</v>
      </c>
      <c r="AV24" s="37">
        <f>IF($K24="juillet",$E24,0)</f>
        <v>0</v>
      </c>
      <c r="AW24" s="37">
        <f>IF($K24="août",$E24,0)</f>
        <v>0</v>
      </c>
      <c r="AX24" s="37">
        <f t="shared" si="20"/>
        <v>0</v>
      </c>
      <c r="AY24" s="37">
        <f t="shared" si="21"/>
        <v>0</v>
      </c>
      <c r="AZ24" s="37">
        <f t="shared" si="22"/>
        <v>0</v>
      </c>
      <c r="BA24" s="37">
        <f t="shared" si="23"/>
        <v>0</v>
      </c>
    </row>
    <row r="25" spans="1:53" customFormat="1" x14ac:dyDescent="0.3">
      <c r="A25" s="87" t="s">
        <v>66</v>
      </c>
      <c r="B25" s="86" t="s">
        <v>106</v>
      </c>
      <c r="C25" s="90" t="s">
        <v>107</v>
      </c>
      <c r="D25" s="136"/>
      <c r="E25" s="136"/>
      <c r="F25" s="59"/>
      <c r="G25" s="60"/>
      <c r="H25" s="136"/>
      <c r="I25" s="136"/>
      <c r="J25" s="233"/>
      <c r="K25" s="63"/>
      <c r="L25" s="242"/>
      <c r="M25" s="248"/>
      <c r="N25" s="82"/>
      <c r="O25" s="82"/>
      <c r="P25" s="117"/>
      <c r="Q25" s="68"/>
      <c r="R25" s="68"/>
      <c r="S25" s="68"/>
      <c r="T25" s="120"/>
      <c r="U25" s="120"/>
      <c r="V25" s="120"/>
      <c r="W25" s="120"/>
      <c r="X25" s="120"/>
      <c r="Y25" s="123"/>
      <c r="Z25" s="121"/>
      <c r="AA25" s="58"/>
      <c r="AB25" s="122"/>
      <c r="AC25" s="42" t="s">
        <v>104</v>
      </c>
      <c r="AD25" s="27">
        <f t="shared" si="27"/>
        <v>0</v>
      </c>
      <c r="AE25" s="27">
        <f t="shared" si="4"/>
        <v>0</v>
      </c>
      <c r="AF25" s="27">
        <f t="shared" si="5"/>
        <v>0</v>
      </c>
      <c r="AG25" s="27">
        <f t="shared" si="28"/>
        <v>0</v>
      </c>
      <c r="AH25" s="27">
        <f t="shared" si="7"/>
        <v>0</v>
      </c>
      <c r="AI25" s="27">
        <f t="shared" si="34"/>
        <v>0</v>
      </c>
      <c r="AJ25" s="27">
        <f t="shared" si="29"/>
        <v>0</v>
      </c>
      <c r="AK25" s="27">
        <f>IF($K25="août",$D25,0)</f>
        <v>0</v>
      </c>
      <c r="AL25" s="27">
        <f t="shared" si="10"/>
        <v>0</v>
      </c>
      <c r="AM25" s="27">
        <f t="shared" si="30"/>
        <v>0</v>
      </c>
      <c r="AN25" s="27">
        <f t="shared" si="31"/>
        <v>0</v>
      </c>
      <c r="AO25" s="27">
        <f>IF($K25="décembre",$D25,0)</f>
        <v>0</v>
      </c>
      <c r="AP25" s="37">
        <f t="shared" si="13"/>
        <v>0</v>
      </c>
      <c r="AQ25" s="37"/>
      <c r="AR25" s="37">
        <f t="shared" si="15"/>
        <v>0</v>
      </c>
      <c r="AS25" s="37">
        <f t="shared" si="16"/>
        <v>0</v>
      </c>
      <c r="AT25" s="37"/>
      <c r="AU25" s="37">
        <f t="shared" si="35"/>
        <v>0</v>
      </c>
      <c r="AV25" s="37">
        <v>0</v>
      </c>
      <c r="AW25" s="37">
        <f>IF($K25="août",$E25,0)</f>
        <v>0</v>
      </c>
      <c r="AX25" s="37">
        <f t="shared" si="20"/>
        <v>0</v>
      </c>
      <c r="AY25" s="37">
        <f t="shared" si="21"/>
        <v>0</v>
      </c>
      <c r="AZ25" s="37">
        <v>420</v>
      </c>
      <c r="BA25" s="37">
        <f t="shared" si="23"/>
        <v>0</v>
      </c>
    </row>
    <row r="26" spans="1:53" customFormat="1" x14ac:dyDescent="0.3">
      <c r="A26" s="71" t="s">
        <v>72</v>
      </c>
      <c r="B26" s="86" t="s">
        <v>108</v>
      </c>
      <c r="C26" s="90"/>
      <c r="D26" s="140"/>
      <c r="E26" s="140"/>
      <c r="F26" s="59"/>
      <c r="G26" s="60"/>
      <c r="H26" s="61"/>
      <c r="I26" s="61"/>
      <c r="J26" s="62"/>
      <c r="K26" s="129"/>
      <c r="L26" s="76"/>
      <c r="M26" s="77"/>
      <c r="N26" s="71"/>
      <c r="O26" s="71"/>
      <c r="P26" s="79"/>
      <c r="Q26" s="80"/>
      <c r="R26" s="80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26"/>
      <c r="AD26" s="27">
        <f t="shared" si="27"/>
        <v>0</v>
      </c>
      <c r="AE26" s="27">
        <f t="shared" si="4"/>
        <v>0</v>
      </c>
      <c r="AF26" s="27">
        <f t="shared" si="5"/>
        <v>0</v>
      </c>
      <c r="AG26" s="27">
        <f t="shared" si="28"/>
        <v>0</v>
      </c>
      <c r="AH26" s="27">
        <f t="shared" si="7"/>
        <v>0</v>
      </c>
      <c r="AI26" s="27">
        <f t="shared" si="34"/>
        <v>0</v>
      </c>
      <c r="AJ26" s="27">
        <f t="shared" si="29"/>
        <v>0</v>
      </c>
      <c r="AK26" s="27">
        <f>IF($K26="août",$D26,0)/4</f>
        <v>0</v>
      </c>
      <c r="AL26" s="27">
        <f t="shared" si="10"/>
        <v>0</v>
      </c>
      <c r="AM26" s="27">
        <f t="shared" si="30"/>
        <v>0</v>
      </c>
      <c r="AN26" s="27">
        <f t="shared" si="31"/>
        <v>0</v>
      </c>
      <c r="AO26" s="27">
        <f>IF($K26="août",$D26,0)/4</f>
        <v>0</v>
      </c>
      <c r="AP26" s="37">
        <f t="shared" si="13"/>
        <v>0</v>
      </c>
      <c r="AQ26" s="37">
        <f t="shared" ref="AQ26:AQ52" si="38">IF($K26="février",$E26,0)</f>
        <v>0</v>
      </c>
      <c r="AR26" s="37">
        <f t="shared" si="15"/>
        <v>0</v>
      </c>
      <c r="AS26" s="37">
        <f t="shared" si="16"/>
        <v>0</v>
      </c>
      <c r="AT26" s="37">
        <f t="shared" ref="AT26:AT52" si="39">IF($K26="mai",$E26,0)</f>
        <v>0</v>
      </c>
      <c r="AU26" s="37">
        <f t="shared" si="35"/>
        <v>0</v>
      </c>
      <c r="AV26" s="37">
        <f t="shared" ref="AV26:AV52" si="40">IF($K26="juillet",$E26,0)</f>
        <v>0</v>
      </c>
      <c r="AW26" s="37">
        <f>IF($K26="août",$E26,0)</f>
        <v>0</v>
      </c>
      <c r="AX26" s="37">
        <f t="shared" si="20"/>
        <v>0</v>
      </c>
      <c r="AY26" s="37">
        <f t="shared" si="21"/>
        <v>0</v>
      </c>
      <c r="AZ26" s="37">
        <f t="shared" ref="AZ26:AZ52" si="41">IF($K26="novembre",$E26,0)</f>
        <v>0</v>
      </c>
      <c r="BA26" s="37">
        <f t="shared" si="23"/>
        <v>0</v>
      </c>
    </row>
    <row r="27" spans="1:53" customFormat="1" x14ac:dyDescent="0.3">
      <c r="A27" s="71" t="s">
        <v>66</v>
      </c>
      <c r="B27" s="88" t="s">
        <v>109</v>
      </c>
      <c r="C27" s="90"/>
      <c r="D27" s="291">
        <v>1200</v>
      </c>
      <c r="E27" s="136">
        <f>210*4</f>
        <v>840</v>
      </c>
      <c r="F27" s="59"/>
      <c r="G27" s="60"/>
      <c r="H27" s="61"/>
      <c r="I27" s="61"/>
      <c r="J27" s="233"/>
      <c r="K27" s="63"/>
      <c r="L27" s="242"/>
      <c r="M27" s="248"/>
      <c r="N27" s="250"/>
      <c r="O27" s="65"/>
      <c r="P27" s="65"/>
      <c r="Q27" s="68"/>
      <c r="R27" s="68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42"/>
      <c r="AD27" s="27">
        <f t="shared" si="27"/>
        <v>0</v>
      </c>
      <c r="AE27" s="27">
        <f t="shared" si="4"/>
        <v>0</v>
      </c>
      <c r="AF27" s="27">
        <f t="shared" si="5"/>
        <v>0</v>
      </c>
      <c r="AG27" s="27">
        <f t="shared" si="28"/>
        <v>0</v>
      </c>
      <c r="AH27" s="27">
        <f t="shared" si="7"/>
        <v>0</v>
      </c>
      <c r="AI27" s="27">
        <f t="shared" si="34"/>
        <v>0</v>
      </c>
      <c r="AJ27" s="27">
        <f t="shared" si="29"/>
        <v>0</v>
      </c>
      <c r="AK27" s="27">
        <f t="shared" ref="AK27:AK35" si="42">IF($K27="août",$D27,0)</f>
        <v>0</v>
      </c>
      <c r="AL27" s="27">
        <f t="shared" si="10"/>
        <v>0</v>
      </c>
      <c r="AM27" s="27">
        <f t="shared" si="30"/>
        <v>0</v>
      </c>
      <c r="AN27" s="27">
        <f t="shared" si="31"/>
        <v>0</v>
      </c>
      <c r="AO27" s="27">
        <f t="shared" ref="AO27:AO35" si="43">IF($K27="décembre",$D27,0)</f>
        <v>0</v>
      </c>
      <c r="AP27" s="37">
        <f t="shared" si="13"/>
        <v>0</v>
      </c>
      <c r="AQ27" s="37">
        <f t="shared" si="38"/>
        <v>0</v>
      </c>
      <c r="AR27" s="37">
        <f t="shared" si="15"/>
        <v>0</v>
      </c>
      <c r="AS27" s="37">
        <f t="shared" si="16"/>
        <v>0</v>
      </c>
      <c r="AT27" s="37">
        <f t="shared" si="39"/>
        <v>0</v>
      </c>
      <c r="AU27" s="37">
        <f t="shared" si="35"/>
        <v>0</v>
      </c>
      <c r="AV27" s="37">
        <f t="shared" si="40"/>
        <v>0</v>
      </c>
      <c r="AW27" s="37">
        <f>IF($K27="août",$CJ27,0)</f>
        <v>0</v>
      </c>
      <c r="AX27" s="37">
        <f t="shared" si="20"/>
        <v>0</v>
      </c>
      <c r="AY27" s="37">
        <f t="shared" si="21"/>
        <v>0</v>
      </c>
      <c r="AZ27" s="37">
        <f t="shared" si="41"/>
        <v>0</v>
      </c>
      <c r="BA27" s="37">
        <f t="shared" si="23"/>
        <v>0</v>
      </c>
    </row>
    <row r="28" spans="1:53" customFormat="1" x14ac:dyDescent="0.3">
      <c r="A28" s="71" t="s">
        <v>66</v>
      </c>
      <c r="B28" s="88" t="s">
        <v>110</v>
      </c>
      <c r="C28" s="90"/>
      <c r="D28" s="149">
        <v>225000</v>
      </c>
      <c r="E28" s="136">
        <v>201750</v>
      </c>
      <c r="F28" s="59">
        <f>D28-E28</f>
        <v>23250</v>
      </c>
      <c r="G28" s="60">
        <f>F28/D28</f>
        <v>0.10333333333333333</v>
      </c>
      <c r="H28" s="61">
        <f>E28/4</f>
        <v>50437.5</v>
      </c>
      <c r="I28" s="61"/>
      <c r="J28" s="235">
        <v>44926</v>
      </c>
      <c r="K28" s="63" t="s">
        <v>64</v>
      </c>
      <c r="L28" s="242">
        <v>44926</v>
      </c>
      <c r="M28" s="117" t="s">
        <v>80</v>
      </c>
      <c r="N28" s="250"/>
      <c r="O28" s="117"/>
      <c r="P28" s="117"/>
      <c r="Q28" s="68"/>
      <c r="R28" s="68"/>
      <c r="S28" s="68"/>
      <c r="T28" s="120"/>
      <c r="U28" s="120"/>
      <c r="V28" s="120" t="s">
        <v>83</v>
      </c>
      <c r="W28" s="120" t="s">
        <v>83</v>
      </c>
      <c r="X28" s="120"/>
      <c r="Y28" s="123"/>
      <c r="Z28" s="121" t="s">
        <v>83</v>
      </c>
      <c r="AA28" s="58"/>
      <c r="AB28" s="122"/>
      <c r="AC28" s="42"/>
      <c r="AD28" s="27">
        <f t="shared" si="27"/>
        <v>0</v>
      </c>
      <c r="AE28" s="27">
        <f t="shared" si="4"/>
        <v>0</v>
      </c>
      <c r="AF28" s="27">
        <f t="shared" si="5"/>
        <v>0</v>
      </c>
      <c r="AG28" s="27">
        <f t="shared" si="28"/>
        <v>0</v>
      </c>
      <c r="AH28" s="27">
        <f t="shared" si="7"/>
        <v>0</v>
      </c>
      <c r="AI28" s="27">
        <f t="shared" si="34"/>
        <v>0</v>
      </c>
      <c r="AJ28" s="27">
        <f t="shared" si="29"/>
        <v>0</v>
      </c>
      <c r="AK28" s="27">
        <f t="shared" si="42"/>
        <v>0</v>
      </c>
      <c r="AL28" s="27">
        <f t="shared" si="10"/>
        <v>0</v>
      </c>
      <c r="AM28" s="27">
        <f t="shared" si="30"/>
        <v>0</v>
      </c>
      <c r="AN28" s="27">
        <f t="shared" si="31"/>
        <v>0</v>
      </c>
      <c r="AO28" s="27">
        <f t="shared" si="43"/>
        <v>225000</v>
      </c>
      <c r="AP28" s="37">
        <f t="shared" si="13"/>
        <v>0</v>
      </c>
      <c r="AQ28" s="37">
        <f t="shared" si="38"/>
        <v>0</v>
      </c>
      <c r="AR28" s="37">
        <f t="shared" si="15"/>
        <v>0</v>
      </c>
      <c r="AS28" s="37">
        <f t="shared" si="16"/>
        <v>0</v>
      </c>
      <c r="AT28" s="37">
        <f t="shared" si="39"/>
        <v>0</v>
      </c>
      <c r="AU28" s="37">
        <f t="shared" si="35"/>
        <v>0</v>
      </c>
      <c r="AV28" s="37">
        <f t="shared" si="40"/>
        <v>0</v>
      </c>
      <c r="AW28" s="37">
        <f t="shared" ref="AW28:AW37" si="44">IF($K28="août",$E28,0)</f>
        <v>0</v>
      </c>
      <c r="AX28" s="37">
        <f t="shared" si="20"/>
        <v>0</v>
      </c>
      <c r="AY28" s="37">
        <f t="shared" si="21"/>
        <v>0</v>
      </c>
      <c r="AZ28" s="37">
        <f t="shared" si="41"/>
        <v>0</v>
      </c>
      <c r="BA28" s="37">
        <f t="shared" si="23"/>
        <v>201750</v>
      </c>
    </row>
    <row r="29" spans="1:53" customFormat="1" x14ac:dyDescent="0.3">
      <c r="A29" s="71" t="s">
        <v>66</v>
      </c>
      <c r="B29" s="88" t="s">
        <v>110</v>
      </c>
      <c r="C29" s="90"/>
      <c r="D29" s="136"/>
      <c r="E29" s="136"/>
      <c r="F29" s="59"/>
      <c r="G29" s="60"/>
      <c r="H29" s="61"/>
      <c r="I29" s="61"/>
      <c r="J29" s="235"/>
      <c r="K29" s="63"/>
      <c r="L29" s="242"/>
      <c r="M29" s="117"/>
      <c r="N29" s="250"/>
      <c r="O29" s="117"/>
      <c r="P29" s="117"/>
      <c r="Q29" s="68"/>
      <c r="R29" s="68"/>
      <c r="S29" s="68"/>
      <c r="T29" s="120"/>
      <c r="U29" s="120"/>
      <c r="V29" s="120" t="s">
        <v>83</v>
      </c>
      <c r="W29" s="120" t="s">
        <v>83</v>
      </c>
      <c r="X29" s="120"/>
      <c r="Y29" s="123"/>
      <c r="Z29" s="121" t="s">
        <v>83</v>
      </c>
      <c r="AA29" s="58"/>
      <c r="AB29" s="122"/>
      <c r="AC29" s="42"/>
      <c r="AD29" s="27">
        <f t="shared" si="27"/>
        <v>0</v>
      </c>
      <c r="AE29" s="27">
        <f t="shared" si="4"/>
        <v>0</v>
      </c>
      <c r="AF29" s="27">
        <f t="shared" si="5"/>
        <v>0</v>
      </c>
      <c r="AG29" s="27">
        <f t="shared" si="28"/>
        <v>0</v>
      </c>
      <c r="AH29" s="27">
        <f t="shared" si="7"/>
        <v>0</v>
      </c>
      <c r="AI29" s="27">
        <f>IF($K29="juin",$D29,0)/2</f>
        <v>0</v>
      </c>
      <c r="AJ29" s="27">
        <f t="shared" si="29"/>
        <v>0</v>
      </c>
      <c r="AK29" s="27">
        <f t="shared" si="42"/>
        <v>0</v>
      </c>
      <c r="AL29" s="27">
        <f t="shared" si="10"/>
        <v>0</v>
      </c>
      <c r="AM29" s="27">
        <f t="shared" si="30"/>
        <v>0</v>
      </c>
      <c r="AN29" s="27">
        <f t="shared" si="31"/>
        <v>0</v>
      </c>
      <c r="AO29" s="27">
        <f t="shared" si="43"/>
        <v>0</v>
      </c>
      <c r="AP29" s="37">
        <f t="shared" si="13"/>
        <v>0</v>
      </c>
      <c r="AQ29" s="37">
        <f t="shared" si="38"/>
        <v>0</v>
      </c>
      <c r="AR29" s="37">
        <f t="shared" si="15"/>
        <v>0</v>
      </c>
      <c r="AS29" s="37">
        <f t="shared" si="16"/>
        <v>0</v>
      </c>
      <c r="AT29" s="37">
        <f t="shared" si="39"/>
        <v>0</v>
      </c>
      <c r="AU29" s="37">
        <f>IF($K29="juin",$E29,0)/2</f>
        <v>0</v>
      </c>
      <c r="AV29" s="37">
        <f t="shared" si="40"/>
        <v>0</v>
      </c>
      <c r="AW29" s="37">
        <f t="shared" si="44"/>
        <v>0</v>
      </c>
      <c r="AX29" s="37">
        <f t="shared" si="20"/>
        <v>0</v>
      </c>
      <c r="AY29" s="37">
        <f t="shared" si="21"/>
        <v>0</v>
      </c>
      <c r="AZ29" s="37">
        <f t="shared" si="41"/>
        <v>0</v>
      </c>
      <c r="BA29" s="37">
        <f t="shared" si="23"/>
        <v>0</v>
      </c>
    </row>
    <row r="30" spans="1:53" customFormat="1" x14ac:dyDescent="0.3">
      <c r="A30" s="71" t="s">
        <v>66</v>
      </c>
      <c r="B30" s="88" t="s">
        <v>110</v>
      </c>
      <c r="C30" s="90"/>
      <c r="D30" s="136"/>
      <c r="E30" s="136"/>
      <c r="F30" s="59"/>
      <c r="G30" s="60"/>
      <c r="H30" s="61"/>
      <c r="I30" s="61"/>
      <c r="J30" s="235"/>
      <c r="K30" s="63"/>
      <c r="L30" s="242"/>
      <c r="M30" s="117"/>
      <c r="N30" s="250"/>
      <c r="O30" s="117"/>
      <c r="P30" s="117"/>
      <c r="Q30" s="68"/>
      <c r="R30" s="68"/>
      <c r="S30" s="68"/>
      <c r="T30" s="120"/>
      <c r="U30" s="120"/>
      <c r="V30" s="120" t="s">
        <v>83</v>
      </c>
      <c r="W30" s="120" t="s">
        <v>83</v>
      </c>
      <c r="X30" s="120"/>
      <c r="Y30" s="123"/>
      <c r="Z30" s="121" t="s">
        <v>83</v>
      </c>
      <c r="AA30" s="58"/>
      <c r="AB30" s="122"/>
      <c r="AC30" s="42"/>
      <c r="AD30" s="27">
        <f t="shared" si="27"/>
        <v>0</v>
      </c>
      <c r="AE30" s="27">
        <f t="shared" si="4"/>
        <v>0</v>
      </c>
      <c r="AF30" s="27">
        <f t="shared" si="5"/>
        <v>0</v>
      </c>
      <c r="AG30" s="27">
        <f t="shared" si="28"/>
        <v>0</v>
      </c>
      <c r="AH30" s="27">
        <f t="shared" si="7"/>
        <v>0</v>
      </c>
      <c r="AI30" s="27">
        <f>IF($K30="juin",$D30,0)*0</f>
        <v>0</v>
      </c>
      <c r="AJ30" s="27">
        <f t="shared" si="29"/>
        <v>0</v>
      </c>
      <c r="AK30" s="27">
        <f t="shared" si="42"/>
        <v>0</v>
      </c>
      <c r="AL30" s="27">
        <f t="shared" si="10"/>
        <v>0</v>
      </c>
      <c r="AM30" s="27">
        <f t="shared" si="30"/>
        <v>0</v>
      </c>
      <c r="AN30" s="27">
        <f t="shared" si="31"/>
        <v>0</v>
      </c>
      <c r="AO30" s="27">
        <f t="shared" si="43"/>
        <v>0</v>
      </c>
      <c r="AP30" s="37">
        <f t="shared" si="13"/>
        <v>0</v>
      </c>
      <c r="AQ30" s="37">
        <f t="shared" si="38"/>
        <v>0</v>
      </c>
      <c r="AR30" s="37">
        <f t="shared" si="15"/>
        <v>0</v>
      </c>
      <c r="AS30" s="37">
        <f t="shared" si="16"/>
        <v>0</v>
      </c>
      <c r="AT30" s="37">
        <f t="shared" si="39"/>
        <v>0</v>
      </c>
      <c r="AU30" s="37">
        <f>IF($K30="juin",$E30,0)*0</f>
        <v>0</v>
      </c>
      <c r="AV30" s="37">
        <f t="shared" si="40"/>
        <v>0</v>
      </c>
      <c r="AW30" s="37">
        <f t="shared" si="44"/>
        <v>0</v>
      </c>
      <c r="AX30" s="37">
        <f t="shared" si="20"/>
        <v>0</v>
      </c>
      <c r="AY30" s="37">
        <f t="shared" si="21"/>
        <v>0</v>
      </c>
      <c r="AZ30" s="37">
        <f t="shared" si="41"/>
        <v>0</v>
      </c>
      <c r="BA30" s="37">
        <f t="shared" si="23"/>
        <v>0</v>
      </c>
    </row>
    <row r="31" spans="1:53" customFormat="1" x14ac:dyDescent="0.3">
      <c r="A31" s="71" t="s">
        <v>111</v>
      </c>
      <c r="B31" s="88" t="s">
        <v>112</v>
      </c>
      <c r="C31" s="90" t="s">
        <v>113</v>
      </c>
      <c r="D31" s="136">
        <f>14000*0.15</f>
        <v>2100</v>
      </c>
      <c r="E31" s="136"/>
      <c r="F31" s="59">
        <f t="shared" ref="F31:F36" si="45">D31-E31</f>
        <v>2100</v>
      </c>
      <c r="G31" s="60">
        <f t="shared" ref="G31:G36" si="46">F31/D31</f>
        <v>1</v>
      </c>
      <c r="H31" s="61"/>
      <c r="I31" s="61"/>
      <c r="J31" s="67">
        <v>45262</v>
      </c>
      <c r="K31" s="63" t="s">
        <v>64</v>
      </c>
      <c r="L31" s="242">
        <v>44897</v>
      </c>
      <c r="M31" s="65" t="s">
        <v>114</v>
      </c>
      <c r="N31" s="82"/>
      <c r="O31" s="71"/>
      <c r="P31" s="67"/>
      <c r="Q31" s="68"/>
      <c r="R31" s="68"/>
      <c r="S31" s="68"/>
      <c r="T31" s="69"/>
      <c r="U31" s="69"/>
      <c r="V31" s="69"/>
      <c r="W31" s="69"/>
      <c r="X31" s="69"/>
      <c r="Y31" s="69"/>
      <c r="Z31" s="69"/>
      <c r="AA31" s="69"/>
      <c r="AB31" s="69"/>
      <c r="AC31" s="42"/>
      <c r="AD31" s="27">
        <f t="shared" si="27"/>
        <v>0</v>
      </c>
      <c r="AE31" s="27">
        <f t="shared" si="4"/>
        <v>0</v>
      </c>
      <c r="AF31" s="27">
        <f t="shared" si="5"/>
        <v>0</v>
      </c>
      <c r="AG31" s="27">
        <f t="shared" si="28"/>
        <v>0</v>
      </c>
      <c r="AH31" s="27">
        <f t="shared" si="7"/>
        <v>0</v>
      </c>
      <c r="AI31" s="27">
        <f t="shared" ref="AI31:AI39" si="47">IF($K31="juin",$D31,0)</f>
        <v>0</v>
      </c>
      <c r="AJ31" s="27">
        <f t="shared" si="29"/>
        <v>0</v>
      </c>
      <c r="AK31" s="27">
        <f t="shared" si="42"/>
        <v>0</v>
      </c>
      <c r="AL31" s="27">
        <f t="shared" si="10"/>
        <v>0</v>
      </c>
      <c r="AM31" s="27">
        <f t="shared" si="30"/>
        <v>0</v>
      </c>
      <c r="AN31" s="27">
        <f t="shared" si="31"/>
        <v>0</v>
      </c>
      <c r="AO31" s="27">
        <f t="shared" si="43"/>
        <v>2100</v>
      </c>
      <c r="AP31" s="37">
        <f t="shared" si="13"/>
        <v>0</v>
      </c>
      <c r="AQ31" s="37">
        <f t="shared" si="38"/>
        <v>0</v>
      </c>
      <c r="AR31" s="37">
        <f t="shared" si="15"/>
        <v>0</v>
      </c>
      <c r="AS31" s="37">
        <f t="shared" si="16"/>
        <v>0</v>
      </c>
      <c r="AT31" s="37">
        <f t="shared" si="39"/>
        <v>0</v>
      </c>
      <c r="AU31" s="37">
        <f t="shared" ref="AU31:AU52" si="48">IF($K31="juin",$E31,0)</f>
        <v>0</v>
      </c>
      <c r="AV31" s="37">
        <f t="shared" si="40"/>
        <v>0</v>
      </c>
      <c r="AW31" s="37">
        <f t="shared" si="44"/>
        <v>0</v>
      </c>
      <c r="AX31" s="37">
        <f t="shared" si="20"/>
        <v>0</v>
      </c>
      <c r="AY31" s="37">
        <f t="shared" si="21"/>
        <v>0</v>
      </c>
      <c r="AZ31" s="37">
        <f t="shared" si="41"/>
        <v>0</v>
      </c>
      <c r="BA31" s="37">
        <f t="shared" si="23"/>
        <v>0</v>
      </c>
    </row>
    <row r="32" spans="1:53" customFormat="1" x14ac:dyDescent="0.3">
      <c r="A32" s="71" t="s">
        <v>115</v>
      </c>
      <c r="B32" s="88" t="s">
        <v>116</v>
      </c>
      <c r="C32" s="90" t="s">
        <v>117</v>
      </c>
      <c r="D32" s="136">
        <v>35600</v>
      </c>
      <c r="E32" s="136">
        <v>33501.660000000003</v>
      </c>
      <c r="F32" s="59">
        <f t="shared" si="45"/>
        <v>2098.3399999999965</v>
      </c>
      <c r="G32" s="60">
        <f t="shared" si="46"/>
        <v>5.8942134831460574E-2</v>
      </c>
      <c r="H32" s="61">
        <v>37900</v>
      </c>
      <c r="I32" s="61">
        <v>35176.76</v>
      </c>
      <c r="J32" s="67">
        <v>45291</v>
      </c>
      <c r="K32" s="63" t="s">
        <v>64</v>
      </c>
      <c r="L32" s="242">
        <v>46022</v>
      </c>
      <c r="M32" s="65" t="s">
        <v>118</v>
      </c>
      <c r="N32" s="82"/>
      <c r="O32" s="71"/>
      <c r="P32" s="67"/>
      <c r="Q32" s="68"/>
      <c r="R32" s="68"/>
      <c r="S32" s="68"/>
      <c r="T32" s="69"/>
      <c r="U32" s="69"/>
      <c r="V32" s="69"/>
      <c r="W32" s="69"/>
      <c r="X32" s="69"/>
      <c r="Y32" s="69"/>
      <c r="Z32" s="69"/>
      <c r="AA32" s="69"/>
      <c r="AB32" s="69"/>
      <c r="AC32" s="42"/>
      <c r="AD32" s="27">
        <f t="shared" si="27"/>
        <v>0</v>
      </c>
      <c r="AE32" s="27">
        <f t="shared" si="4"/>
        <v>0</v>
      </c>
      <c r="AF32" s="27">
        <f t="shared" si="5"/>
        <v>0</v>
      </c>
      <c r="AG32" s="27">
        <f t="shared" si="28"/>
        <v>0</v>
      </c>
      <c r="AH32" s="27">
        <f t="shared" si="7"/>
        <v>0</v>
      </c>
      <c r="AI32" s="27">
        <f t="shared" si="47"/>
        <v>0</v>
      </c>
      <c r="AJ32" s="27">
        <f t="shared" si="29"/>
        <v>0</v>
      </c>
      <c r="AK32" s="27">
        <f t="shared" si="42"/>
        <v>0</v>
      </c>
      <c r="AL32" s="27">
        <f t="shared" si="10"/>
        <v>0</v>
      </c>
      <c r="AM32" s="27">
        <f t="shared" si="30"/>
        <v>0</v>
      </c>
      <c r="AN32" s="27">
        <f t="shared" si="31"/>
        <v>0</v>
      </c>
      <c r="AO32" s="27">
        <f t="shared" si="43"/>
        <v>35600</v>
      </c>
      <c r="AP32" s="37">
        <f t="shared" si="13"/>
        <v>0</v>
      </c>
      <c r="AQ32" s="37">
        <f t="shared" si="38"/>
        <v>0</v>
      </c>
      <c r="AR32" s="37">
        <f t="shared" si="15"/>
        <v>0</v>
      </c>
      <c r="AS32" s="37">
        <f t="shared" si="16"/>
        <v>0</v>
      </c>
      <c r="AT32" s="37">
        <f t="shared" si="39"/>
        <v>0</v>
      </c>
      <c r="AU32" s="37">
        <f t="shared" si="48"/>
        <v>0</v>
      </c>
      <c r="AV32" s="37">
        <f t="shared" si="40"/>
        <v>0</v>
      </c>
      <c r="AW32" s="37">
        <f t="shared" si="44"/>
        <v>0</v>
      </c>
      <c r="AX32" s="37">
        <f t="shared" si="20"/>
        <v>0</v>
      </c>
      <c r="AY32" s="37">
        <f t="shared" si="21"/>
        <v>0</v>
      </c>
      <c r="AZ32" s="37">
        <f t="shared" si="41"/>
        <v>0</v>
      </c>
      <c r="BA32" s="37">
        <f t="shared" si="23"/>
        <v>33501.660000000003</v>
      </c>
    </row>
    <row r="33" spans="1:53" customFormat="1" x14ac:dyDescent="0.3">
      <c r="A33" s="71" t="s">
        <v>66</v>
      </c>
      <c r="B33" s="88" t="s">
        <v>119</v>
      </c>
      <c r="C33" s="90" t="s">
        <v>120</v>
      </c>
      <c r="D33" s="136"/>
      <c r="E33" s="136"/>
      <c r="F33" s="59">
        <f t="shared" si="45"/>
        <v>0</v>
      </c>
      <c r="G33" s="60" t="e">
        <f t="shared" si="46"/>
        <v>#DIV/0!</v>
      </c>
      <c r="H33" s="136">
        <f>2400*3</f>
        <v>7200</v>
      </c>
      <c r="I33" s="136">
        <v>1680</v>
      </c>
      <c r="J33" s="233">
        <v>44135</v>
      </c>
      <c r="K33" s="63" t="str">
        <f>TEXT(30*MONTH(J33)+30,"mmmm")</f>
        <v>novembre</v>
      </c>
      <c r="L33" s="242">
        <v>44500</v>
      </c>
      <c r="M33" s="248" t="s">
        <v>85</v>
      </c>
      <c r="N33" s="250" t="s">
        <v>121</v>
      </c>
      <c r="O33" s="255" t="s">
        <v>122</v>
      </c>
      <c r="P33" s="65"/>
      <c r="Q33" s="68"/>
      <c r="R33" s="68"/>
      <c r="S33" s="68"/>
      <c r="T33" s="120"/>
      <c r="U33" s="120"/>
      <c r="V33" s="120"/>
      <c r="W33" s="120"/>
      <c r="X33" s="120"/>
      <c r="Y33" s="123"/>
      <c r="Z33" s="125"/>
      <c r="AA33" s="58"/>
      <c r="AB33" s="122"/>
      <c r="AC33" s="42" t="s">
        <v>123</v>
      </c>
      <c r="AD33" s="27">
        <f t="shared" si="27"/>
        <v>0</v>
      </c>
      <c r="AE33" s="27">
        <f t="shared" si="4"/>
        <v>0</v>
      </c>
      <c r="AF33" s="27">
        <f t="shared" si="5"/>
        <v>0</v>
      </c>
      <c r="AG33" s="27">
        <f t="shared" si="28"/>
        <v>0</v>
      </c>
      <c r="AH33" s="27">
        <f t="shared" si="7"/>
        <v>0</v>
      </c>
      <c r="AI33" s="27">
        <f t="shared" si="47"/>
        <v>0</v>
      </c>
      <c r="AJ33" s="27">
        <f t="shared" si="29"/>
        <v>0</v>
      </c>
      <c r="AK33" s="27">
        <f t="shared" si="42"/>
        <v>0</v>
      </c>
      <c r="AL33" s="27">
        <f t="shared" si="10"/>
        <v>0</v>
      </c>
      <c r="AM33" s="27">
        <f t="shared" si="30"/>
        <v>0</v>
      </c>
      <c r="AN33" s="27">
        <f t="shared" si="31"/>
        <v>0</v>
      </c>
      <c r="AO33" s="27">
        <f t="shared" si="43"/>
        <v>0</v>
      </c>
      <c r="AP33" s="37">
        <f t="shared" si="13"/>
        <v>0</v>
      </c>
      <c r="AQ33" s="37">
        <f t="shared" si="38"/>
        <v>0</v>
      </c>
      <c r="AR33" s="37">
        <f t="shared" si="15"/>
        <v>0</v>
      </c>
      <c r="AS33" s="37">
        <f t="shared" si="16"/>
        <v>0</v>
      </c>
      <c r="AT33" s="37">
        <f t="shared" si="39"/>
        <v>0</v>
      </c>
      <c r="AU33" s="37">
        <f t="shared" si="48"/>
        <v>0</v>
      </c>
      <c r="AV33" s="37">
        <f t="shared" si="40"/>
        <v>0</v>
      </c>
      <c r="AW33" s="37">
        <f t="shared" si="44"/>
        <v>0</v>
      </c>
      <c r="AX33" s="37">
        <f t="shared" si="20"/>
        <v>0</v>
      </c>
      <c r="AY33" s="37">
        <f t="shared" si="21"/>
        <v>0</v>
      </c>
      <c r="AZ33" s="37">
        <f t="shared" si="41"/>
        <v>0</v>
      </c>
      <c r="BA33" s="37">
        <f t="shared" si="23"/>
        <v>0</v>
      </c>
    </row>
    <row r="34" spans="1:53" customFormat="1" x14ac:dyDescent="0.3">
      <c r="A34" s="71" t="s">
        <v>66</v>
      </c>
      <c r="B34" s="88" t="s">
        <v>119</v>
      </c>
      <c r="C34" s="90" t="s">
        <v>124</v>
      </c>
      <c r="D34" s="136"/>
      <c r="E34" s="136"/>
      <c r="F34" s="59">
        <f t="shared" si="45"/>
        <v>0</v>
      </c>
      <c r="G34" s="60" t="e">
        <f t="shared" si="46"/>
        <v>#DIV/0!</v>
      </c>
      <c r="H34" s="136">
        <f>7200*3+7200*0.41</f>
        <v>24552</v>
      </c>
      <c r="I34" s="136">
        <f>H34*0.7</f>
        <v>17186.399999999998</v>
      </c>
      <c r="J34" s="233">
        <v>44347</v>
      </c>
      <c r="K34" s="63" t="s">
        <v>57</v>
      </c>
      <c r="L34" s="242">
        <v>45535</v>
      </c>
      <c r="M34" s="248" t="s">
        <v>85</v>
      </c>
      <c r="N34" s="252" t="s">
        <v>125</v>
      </c>
      <c r="O34" s="255" t="s">
        <v>122</v>
      </c>
      <c r="P34" s="65"/>
      <c r="Q34" s="68"/>
      <c r="R34" s="68"/>
      <c r="S34" s="68"/>
      <c r="T34" s="120"/>
      <c r="U34" s="120"/>
      <c r="V34" s="120"/>
      <c r="W34" s="120"/>
      <c r="X34" s="120"/>
      <c r="Y34" s="123"/>
      <c r="Z34" s="125"/>
      <c r="AA34" s="58"/>
      <c r="AB34" s="122"/>
      <c r="AC34" s="42" t="s">
        <v>123</v>
      </c>
      <c r="AD34" s="27">
        <f t="shared" si="27"/>
        <v>0</v>
      </c>
      <c r="AE34" s="27">
        <f t="shared" si="4"/>
        <v>0</v>
      </c>
      <c r="AF34" s="27">
        <f t="shared" si="5"/>
        <v>0</v>
      </c>
      <c r="AG34" s="27">
        <f t="shared" si="28"/>
        <v>0</v>
      </c>
      <c r="AH34" s="27">
        <f t="shared" si="7"/>
        <v>0</v>
      </c>
      <c r="AI34" s="27">
        <f t="shared" si="47"/>
        <v>0</v>
      </c>
      <c r="AJ34" s="27">
        <f t="shared" si="29"/>
        <v>0</v>
      </c>
      <c r="AK34" s="27">
        <f t="shared" si="42"/>
        <v>0</v>
      </c>
      <c r="AL34" s="27">
        <f t="shared" si="10"/>
        <v>0</v>
      </c>
      <c r="AM34" s="27">
        <f t="shared" si="30"/>
        <v>0</v>
      </c>
      <c r="AN34" s="27">
        <f t="shared" si="31"/>
        <v>0</v>
      </c>
      <c r="AO34" s="27">
        <f t="shared" si="43"/>
        <v>0</v>
      </c>
      <c r="AP34" s="37">
        <f t="shared" si="13"/>
        <v>0</v>
      </c>
      <c r="AQ34" s="37">
        <f t="shared" si="38"/>
        <v>0</v>
      </c>
      <c r="AR34" s="37">
        <f t="shared" si="15"/>
        <v>0</v>
      </c>
      <c r="AS34" s="37">
        <f t="shared" si="16"/>
        <v>0</v>
      </c>
      <c r="AT34" s="37">
        <f t="shared" si="39"/>
        <v>0</v>
      </c>
      <c r="AU34" s="37">
        <f t="shared" si="48"/>
        <v>0</v>
      </c>
      <c r="AV34" s="37">
        <f t="shared" si="40"/>
        <v>0</v>
      </c>
      <c r="AW34" s="37">
        <f t="shared" si="44"/>
        <v>0</v>
      </c>
      <c r="AX34" s="37">
        <f t="shared" si="20"/>
        <v>0</v>
      </c>
      <c r="AY34" s="37">
        <f t="shared" si="21"/>
        <v>0</v>
      </c>
      <c r="AZ34" s="37">
        <f t="shared" si="41"/>
        <v>0</v>
      </c>
      <c r="BA34" s="37">
        <f t="shared" si="23"/>
        <v>0</v>
      </c>
    </row>
    <row r="35" spans="1:53" customFormat="1" x14ac:dyDescent="0.3">
      <c r="A35" s="71" t="s">
        <v>126</v>
      </c>
      <c r="B35" s="88" t="s">
        <v>127</v>
      </c>
      <c r="C35" s="90"/>
      <c r="D35" s="270">
        <v>54890</v>
      </c>
      <c r="E35" s="140">
        <f>D35*0.8</f>
        <v>43912</v>
      </c>
      <c r="F35" s="59">
        <f t="shared" si="45"/>
        <v>10978</v>
      </c>
      <c r="G35" s="60">
        <f t="shared" si="46"/>
        <v>0.2</v>
      </c>
      <c r="H35" s="61"/>
      <c r="I35" s="61"/>
      <c r="J35" s="62">
        <v>45291</v>
      </c>
      <c r="K35" s="129" t="s">
        <v>64</v>
      </c>
      <c r="L35" s="76">
        <v>45657</v>
      </c>
      <c r="M35" s="77" t="s">
        <v>91</v>
      </c>
      <c r="N35" s="82"/>
      <c r="O35" s="82"/>
      <c r="P35" s="75"/>
      <c r="Q35" s="80"/>
      <c r="R35" s="80"/>
      <c r="S35" s="80"/>
      <c r="T35" s="81"/>
      <c r="U35" s="81"/>
      <c r="V35" s="81"/>
      <c r="W35" s="81"/>
      <c r="X35" s="81"/>
      <c r="Y35" s="81"/>
      <c r="Z35" s="81"/>
      <c r="AA35" s="81"/>
      <c r="AB35" s="81"/>
      <c r="AC35" s="26"/>
      <c r="AD35" s="27">
        <f t="shared" si="27"/>
        <v>0</v>
      </c>
      <c r="AE35" s="27">
        <f t="shared" si="4"/>
        <v>0</v>
      </c>
      <c r="AF35" s="27">
        <f t="shared" si="5"/>
        <v>0</v>
      </c>
      <c r="AG35" s="27">
        <f t="shared" si="28"/>
        <v>0</v>
      </c>
      <c r="AH35" s="27">
        <f t="shared" si="7"/>
        <v>0</v>
      </c>
      <c r="AI35" s="27">
        <f t="shared" si="47"/>
        <v>0</v>
      </c>
      <c r="AJ35" s="27">
        <f t="shared" si="29"/>
        <v>0</v>
      </c>
      <c r="AK35" s="27">
        <f t="shared" si="42"/>
        <v>0</v>
      </c>
      <c r="AL35" s="27">
        <f t="shared" si="10"/>
        <v>0</v>
      </c>
      <c r="AM35" s="27">
        <f t="shared" si="30"/>
        <v>0</v>
      </c>
      <c r="AN35" s="27">
        <f t="shared" si="31"/>
        <v>0</v>
      </c>
      <c r="AO35" s="27">
        <f t="shared" si="43"/>
        <v>54890</v>
      </c>
      <c r="AP35" s="37">
        <f t="shared" si="13"/>
        <v>0</v>
      </c>
      <c r="AQ35" s="37">
        <f t="shared" si="38"/>
        <v>0</v>
      </c>
      <c r="AR35" s="37">
        <f t="shared" si="15"/>
        <v>0</v>
      </c>
      <c r="AS35" s="37">
        <f t="shared" si="16"/>
        <v>0</v>
      </c>
      <c r="AT35" s="37">
        <f t="shared" si="39"/>
        <v>0</v>
      </c>
      <c r="AU35" s="37">
        <f t="shared" si="48"/>
        <v>0</v>
      </c>
      <c r="AV35" s="37">
        <f t="shared" si="40"/>
        <v>0</v>
      </c>
      <c r="AW35" s="37">
        <f t="shared" si="44"/>
        <v>0</v>
      </c>
      <c r="AX35" s="37">
        <f t="shared" si="20"/>
        <v>0</v>
      </c>
      <c r="AY35" s="37">
        <f t="shared" si="21"/>
        <v>0</v>
      </c>
      <c r="AZ35" s="37">
        <f t="shared" si="41"/>
        <v>0</v>
      </c>
      <c r="BA35" s="37">
        <f t="shared" si="23"/>
        <v>43912</v>
      </c>
    </row>
    <row r="36" spans="1:53" customFormat="1" x14ac:dyDescent="0.3">
      <c r="A36" s="71" t="s">
        <v>111</v>
      </c>
      <c r="B36" s="88" t="s">
        <v>128</v>
      </c>
      <c r="C36" s="90"/>
      <c r="D36" s="139">
        <v>4850</v>
      </c>
      <c r="E36" s="270">
        <f>1013.74*4</f>
        <v>4054.96</v>
      </c>
      <c r="F36" s="59">
        <f t="shared" si="45"/>
        <v>795.04</v>
      </c>
      <c r="G36" s="60">
        <f t="shared" si="46"/>
        <v>0.16392577319587628</v>
      </c>
      <c r="H36" s="61"/>
      <c r="I36" s="61"/>
      <c r="J36" s="62">
        <v>44439</v>
      </c>
      <c r="K36" s="129" t="s">
        <v>129</v>
      </c>
      <c r="L36" s="76">
        <v>44439</v>
      </c>
      <c r="M36" s="77" t="s">
        <v>85</v>
      </c>
      <c r="N36" s="71" t="s">
        <v>76</v>
      </c>
      <c r="O36" s="71"/>
      <c r="P36" s="79"/>
      <c r="Q36" s="80"/>
      <c r="R36" s="80"/>
      <c r="S36" s="80"/>
      <c r="T36" s="81"/>
      <c r="U36" s="81"/>
      <c r="V36" s="81"/>
      <c r="W36" s="81"/>
      <c r="X36" s="81"/>
      <c r="Y36" s="81"/>
      <c r="Z36" s="81"/>
      <c r="AA36" s="81"/>
      <c r="AB36" s="81"/>
      <c r="AC36" s="26"/>
      <c r="AD36" s="27">
        <f t="shared" si="27"/>
        <v>0</v>
      </c>
      <c r="AE36" s="27">
        <f t="shared" si="4"/>
        <v>0</v>
      </c>
      <c r="AF36" s="27">
        <f t="shared" si="5"/>
        <v>0</v>
      </c>
      <c r="AG36" s="27">
        <f t="shared" si="28"/>
        <v>0</v>
      </c>
      <c r="AH36" s="27">
        <f t="shared" si="7"/>
        <v>0</v>
      </c>
      <c r="AI36" s="27">
        <f t="shared" si="47"/>
        <v>0</v>
      </c>
      <c r="AJ36" s="27">
        <f t="shared" si="29"/>
        <v>0</v>
      </c>
      <c r="AK36" s="27">
        <f>IF($K36="août",$D36,0)/4</f>
        <v>1212.5</v>
      </c>
      <c r="AL36" s="27">
        <f t="shared" si="10"/>
        <v>0</v>
      </c>
      <c r="AM36" s="27">
        <f t="shared" si="30"/>
        <v>0</v>
      </c>
      <c r="AN36" s="27">
        <f t="shared" si="31"/>
        <v>0</v>
      </c>
      <c r="AO36" s="27">
        <f>IF($K36="août",$D36,0)/4</f>
        <v>1212.5</v>
      </c>
      <c r="AP36" s="37">
        <f t="shared" si="13"/>
        <v>0</v>
      </c>
      <c r="AQ36" s="37">
        <f t="shared" si="38"/>
        <v>0</v>
      </c>
      <c r="AR36" s="37">
        <f t="shared" si="15"/>
        <v>0</v>
      </c>
      <c r="AS36" s="37">
        <f t="shared" si="16"/>
        <v>0</v>
      </c>
      <c r="AT36" s="37">
        <f t="shared" si="39"/>
        <v>0</v>
      </c>
      <c r="AU36" s="37">
        <f t="shared" si="48"/>
        <v>0</v>
      </c>
      <c r="AV36" s="37">
        <f t="shared" si="40"/>
        <v>0</v>
      </c>
      <c r="AW36" s="37">
        <f t="shared" si="44"/>
        <v>4054.96</v>
      </c>
      <c r="AX36" s="37">
        <f t="shared" si="20"/>
        <v>0</v>
      </c>
      <c r="AY36" s="37">
        <f t="shared" si="21"/>
        <v>0</v>
      </c>
      <c r="AZ36" s="37">
        <f t="shared" si="41"/>
        <v>0</v>
      </c>
      <c r="BA36" s="37">
        <f t="shared" si="23"/>
        <v>0</v>
      </c>
    </row>
    <row r="37" spans="1:53" customFormat="1" x14ac:dyDescent="0.3">
      <c r="A37" s="71" t="s">
        <v>72</v>
      </c>
      <c r="B37" s="86" t="s">
        <v>130</v>
      </c>
      <c r="C37" s="90" t="s">
        <v>131</v>
      </c>
      <c r="D37" s="146"/>
      <c r="E37" s="140"/>
      <c r="F37" s="59"/>
      <c r="G37" s="60"/>
      <c r="H37" s="61"/>
      <c r="I37" s="61"/>
      <c r="J37" s="116"/>
      <c r="K37" s="129"/>
      <c r="L37" s="76"/>
      <c r="M37" s="77"/>
      <c r="N37" s="71"/>
      <c r="O37" s="71"/>
      <c r="P37" s="79"/>
      <c r="Q37" s="80"/>
      <c r="R37" s="80"/>
      <c r="S37" s="80"/>
      <c r="T37" s="81"/>
      <c r="U37" s="81"/>
      <c r="V37" s="81"/>
      <c r="W37" s="81"/>
      <c r="X37" s="81"/>
      <c r="Y37" s="81"/>
      <c r="Z37" s="81"/>
      <c r="AA37" s="81"/>
      <c r="AB37" s="81"/>
      <c r="AC37" s="26"/>
      <c r="AD37" s="27">
        <f t="shared" si="27"/>
        <v>0</v>
      </c>
      <c r="AE37" s="27">
        <f t="shared" si="4"/>
        <v>0</v>
      </c>
      <c r="AF37" s="27">
        <f t="shared" si="5"/>
        <v>0</v>
      </c>
      <c r="AG37" s="27">
        <f t="shared" si="28"/>
        <v>0</v>
      </c>
      <c r="AH37" s="27">
        <f t="shared" si="7"/>
        <v>0</v>
      </c>
      <c r="AI37" s="27">
        <f t="shared" si="47"/>
        <v>0</v>
      </c>
      <c r="AJ37" s="27">
        <f t="shared" si="29"/>
        <v>0</v>
      </c>
      <c r="AK37" s="27">
        <f>IF($K37="août",$D37,0)/4</f>
        <v>0</v>
      </c>
      <c r="AL37" s="27">
        <f t="shared" si="10"/>
        <v>0</v>
      </c>
      <c r="AM37" s="27">
        <f t="shared" si="30"/>
        <v>0</v>
      </c>
      <c r="AN37" s="27">
        <f t="shared" si="31"/>
        <v>0</v>
      </c>
      <c r="AO37" s="27">
        <f>IF($K37="août",$D37,0)/4</f>
        <v>0</v>
      </c>
      <c r="AP37" s="37">
        <f t="shared" si="13"/>
        <v>0</v>
      </c>
      <c r="AQ37" s="37">
        <f t="shared" si="38"/>
        <v>0</v>
      </c>
      <c r="AR37" s="37">
        <f t="shared" si="15"/>
        <v>0</v>
      </c>
      <c r="AS37" s="37">
        <f t="shared" si="16"/>
        <v>0</v>
      </c>
      <c r="AT37" s="37">
        <f t="shared" si="39"/>
        <v>0</v>
      </c>
      <c r="AU37" s="37">
        <f t="shared" si="48"/>
        <v>0</v>
      </c>
      <c r="AV37" s="37">
        <f t="shared" si="40"/>
        <v>0</v>
      </c>
      <c r="AW37" s="37">
        <f t="shared" si="44"/>
        <v>0</v>
      </c>
      <c r="AX37" s="37">
        <f t="shared" si="20"/>
        <v>0</v>
      </c>
      <c r="AY37" s="37">
        <f t="shared" si="21"/>
        <v>0</v>
      </c>
      <c r="AZ37" s="37">
        <f t="shared" si="41"/>
        <v>0</v>
      </c>
      <c r="BA37" s="37">
        <f t="shared" si="23"/>
        <v>0</v>
      </c>
    </row>
    <row r="38" spans="1:53" customFormat="1" x14ac:dyDescent="0.3">
      <c r="A38" s="71" t="s">
        <v>66</v>
      </c>
      <c r="B38" s="86" t="s">
        <v>132</v>
      </c>
      <c r="C38" s="90" t="s">
        <v>133</v>
      </c>
      <c r="D38" s="136"/>
      <c r="E38" s="136"/>
      <c r="F38" s="59"/>
      <c r="G38" s="60"/>
      <c r="H38" s="61"/>
      <c r="I38" s="61"/>
      <c r="J38" s="137"/>
      <c r="K38" s="63"/>
      <c r="L38" s="107"/>
      <c r="M38" s="248"/>
      <c r="N38" s="250"/>
      <c r="O38" s="65"/>
      <c r="P38" s="65"/>
      <c r="Q38" s="68"/>
      <c r="R38" s="68"/>
      <c r="S38" s="68"/>
      <c r="T38" s="69"/>
      <c r="U38" s="69"/>
      <c r="V38" s="69" t="s">
        <v>83</v>
      </c>
      <c r="W38" s="69" t="s">
        <v>83</v>
      </c>
      <c r="X38" s="69"/>
      <c r="Y38" s="69"/>
      <c r="Z38" s="69" t="s">
        <v>83</v>
      </c>
      <c r="AA38" s="69"/>
      <c r="AB38" s="69"/>
      <c r="AC38" s="42"/>
      <c r="AD38" s="27">
        <f t="shared" si="27"/>
        <v>0</v>
      </c>
      <c r="AE38" s="27">
        <f t="shared" si="4"/>
        <v>0</v>
      </c>
      <c r="AF38" s="27">
        <f t="shared" si="5"/>
        <v>0</v>
      </c>
      <c r="AG38" s="27">
        <f t="shared" si="28"/>
        <v>0</v>
      </c>
      <c r="AH38" s="27">
        <f t="shared" si="7"/>
        <v>0</v>
      </c>
      <c r="AI38" s="27">
        <f t="shared" si="47"/>
        <v>0</v>
      </c>
      <c r="AJ38" s="27">
        <f t="shared" si="29"/>
        <v>0</v>
      </c>
      <c r="AK38" s="27">
        <f t="shared" ref="AK38:AK52" si="49">IF($K38="août",$D38,0)</f>
        <v>0</v>
      </c>
      <c r="AL38" s="27">
        <f t="shared" si="10"/>
        <v>0</v>
      </c>
      <c r="AM38" s="27">
        <f t="shared" si="30"/>
        <v>0</v>
      </c>
      <c r="AN38" s="27">
        <f t="shared" si="31"/>
        <v>0</v>
      </c>
      <c r="AO38" s="27">
        <f>IF($K38="décembre",$D38,0)</f>
        <v>0</v>
      </c>
      <c r="AP38" s="37">
        <f t="shared" si="13"/>
        <v>0</v>
      </c>
      <c r="AQ38" s="37">
        <f t="shared" si="38"/>
        <v>0</v>
      </c>
      <c r="AR38" s="37">
        <f t="shared" si="15"/>
        <v>0</v>
      </c>
      <c r="AS38" s="37">
        <f t="shared" si="16"/>
        <v>0</v>
      </c>
      <c r="AT38" s="37">
        <f t="shared" si="39"/>
        <v>0</v>
      </c>
      <c r="AU38" s="37">
        <f t="shared" si="48"/>
        <v>0</v>
      </c>
      <c r="AV38" s="37">
        <f t="shared" si="40"/>
        <v>0</v>
      </c>
      <c r="AW38" s="37">
        <f>IF($K38="août",$CJ38,0)</f>
        <v>0</v>
      </c>
      <c r="AX38" s="37">
        <f t="shared" si="20"/>
        <v>0</v>
      </c>
      <c r="AY38" s="37">
        <f t="shared" si="21"/>
        <v>0</v>
      </c>
      <c r="AZ38" s="37">
        <f t="shared" si="41"/>
        <v>0</v>
      </c>
      <c r="BA38" s="37">
        <f t="shared" si="23"/>
        <v>0</v>
      </c>
    </row>
    <row r="39" spans="1:53" customFormat="1" x14ac:dyDescent="0.3">
      <c r="A39" s="71" t="s">
        <v>66</v>
      </c>
      <c r="B39" s="88" t="s">
        <v>134</v>
      </c>
      <c r="C39" s="90"/>
      <c r="D39" s="140">
        <v>6000</v>
      </c>
      <c r="E39" s="140">
        <v>4200</v>
      </c>
      <c r="F39" s="59">
        <f>D39-E39</f>
        <v>1800</v>
      </c>
      <c r="G39" s="60">
        <f>F39/D39</f>
        <v>0.3</v>
      </c>
      <c r="H39" s="61">
        <f>E39/4</f>
        <v>1050</v>
      </c>
      <c r="I39" s="61"/>
      <c r="J39" s="224">
        <v>44957</v>
      </c>
      <c r="K39" s="129" t="str">
        <f>TEXT(30*MONTH(J39)+30,"mmmm")</f>
        <v>février</v>
      </c>
      <c r="L39" s="241" t="s">
        <v>135</v>
      </c>
      <c r="M39" s="77" t="s">
        <v>85</v>
      </c>
      <c r="N39" s="77" t="s">
        <v>136</v>
      </c>
      <c r="O39" s="82"/>
      <c r="P39" s="75"/>
      <c r="Q39" s="80"/>
      <c r="R39" s="80"/>
      <c r="S39" s="80"/>
      <c r="T39" s="81"/>
      <c r="U39" s="81"/>
      <c r="V39" s="81"/>
      <c r="W39" s="81"/>
      <c r="X39" s="81"/>
      <c r="Y39" s="81"/>
      <c r="Z39" s="81"/>
      <c r="AA39" s="81"/>
      <c r="AB39" s="81"/>
      <c r="AC39" s="26"/>
      <c r="AD39" s="27">
        <f t="shared" si="27"/>
        <v>0</v>
      </c>
      <c r="AE39" s="27">
        <f t="shared" si="4"/>
        <v>6000</v>
      </c>
      <c r="AF39" s="27">
        <f t="shared" si="5"/>
        <v>0</v>
      </c>
      <c r="AG39" s="27">
        <f t="shared" si="28"/>
        <v>0</v>
      </c>
      <c r="AH39" s="27">
        <f t="shared" si="7"/>
        <v>0</v>
      </c>
      <c r="AI39" s="27">
        <f t="shared" si="47"/>
        <v>0</v>
      </c>
      <c r="AJ39" s="27">
        <f t="shared" si="29"/>
        <v>0</v>
      </c>
      <c r="AK39" s="27">
        <f t="shared" si="49"/>
        <v>0</v>
      </c>
      <c r="AL39" s="27">
        <f t="shared" si="10"/>
        <v>0</v>
      </c>
      <c r="AM39" s="27">
        <f t="shared" si="30"/>
        <v>0</v>
      </c>
      <c r="AN39" s="27">
        <f t="shared" si="31"/>
        <v>0</v>
      </c>
      <c r="AO39" s="27">
        <f>IF($K39="décembre",$D39,0)</f>
        <v>0</v>
      </c>
      <c r="AP39" s="37">
        <f t="shared" si="13"/>
        <v>0</v>
      </c>
      <c r="AQ39" s="37">
        <f t="shared" si="38"/>
        <v>4200</v>
      </c>
      <c r="AR39" s="37">
        <f t="shared" si="15"/>
        <v>0</v>
      </c>
      <c r="AS39" s="37">
        <f t="shared" si="16"/>
        <v>0</v>
      </c>
      <c r="AT39" s="37">
        <f t="shared" si="39"/>
        <v>0</v>
      </c>
      <c r="AU39" s="37">
        <f t="shared" si="48"/>
        <v>0</v>
      </c>
      <c r="AV39" s="37">
        <f t="shared" si="40"/>
        <v>0</v>
      </c>
      <c r="AW39" s="37">
        <f t="shared" ref="AW39:AW44" si="50">IF($K39="août",$E39,0)</f>
        <v>0</v>
      </c>
      <c r="AX39" s="37">
        <f t="shared" si="20"/>
        <v>0</v>
      </c>
      <c r="AY39" s="37">
        <f t="shared" si="21"/>
        <v>0</v>
      </c>
      <c r="AZ39" s="37">
        <f t="shared" si="41"/>
        <v>0</v>
      </c>
      <c r="BA39" s="37">
        <f t="shared" si="23"/>
        <v>0</v>
      </c>
    </row>
    <row r="40" spans="1:53" customFormat="1" x14ac:dyDescent="0.3">
      <c r="A40" s="71" t="s">
        <v>66</v>
      </c>
      <c r="B40" s="88" t="s">
        <v>137</v>
      </c>
      <c r="C40" s="90" t="s">
        <v>138</v>
      </c>
      <c r="D40" s="140">
        <f>16800+20800</f>
        <v>37600</v>
      </c>
      <c r="E40" s="140">
        <v>0</v>
      </c>
      <c r="F40" s="59">
        <f>D40-E40</f>
        <v>37600</v>
      </c>
      <c r="G40" s="60">
        <f>F40/D40</f>
        <v>1</v>
      </c>
      <c r="H40" s="61"/>
      <c r="I40" s="61"/>
      <c r="J40" s="224">
        <v>45107</v>
      </c>
      <c r="K40" s="129" t="s">
        <v>68</v>
      </c>
      <c r="L40" s="241">
        <v>44926</v>
      </c>
      <c r="M40" s="77" t="s">
        <v>138</v>
      </c>
      <c r="N40" s="71"/>
      <c r="O40" s="71"/>
      <c r="P40" s="79"/>
      <c r="Q40" s="80"/>
      <c r="R40" s="80"/>
      <c r="S40" s="80"/>
      <c r="T40" s="81"/>
      <c r="U40" s="81"/>
      <c r="V40" s="81"/>
      <c r="W40" s="81"/>
      <c r="X40" s="81"/>
      <c r="Y40" s="81"/>
      <c r="Z40" s="81"/>
      <c r="AA40" s="81"/>
      <c r="AB40" s="81"/>
      <c r="AC40" s="26"/>
      <c r="AD40" s="27">
        <f t="shared" si="27"/>
        <v>0</v>
      </c>
      <c r="AE40" s="27">
        <f t="shared" si="4"/>
        <v>0</v>
      </c>
      <c r="AF40" s="27">
        <f t="shared" si="5"/>
        <v>0</v>
      </c>
      <c r="AG40" s="27">
        <f t="shared" si="28"/>
        <v>0</v>
      </c>
      <c r="AH40" s="27">
        <f t="shared" si="7"/>
        <v>0</v>
      </c>
      <c r="AI40" s="27">
        <v>16800</v>
      </c>
      <c r="AJ40" s="27">
        <f t="shared" si="29"/>
        <v>0</v>
      </c>
      <c r="AK40" s="27">
        <f t="shared" si="49"/>
        <v>0</v>
      </c>
      <c r="AL40" s="27">
        <v>10400</v>
      </c>
      <c r="AM40" s="27">
        <v>0</v>
      </c>
      <c r="AN40" s="27">
        <v>0</v>
      </c>
      <c r="AO40" s="27">
        <v>10400</v>
      </c>
      <c r="AP40" s="37">
        <f t="shared" si="13"/>
        <v>0</v>
      </c>
      <c r="AQ40" s="37">
        <f t="shared" si="38"/>
        <v>0</v>
      </c>
      <c r="AR40" s="37">
        <f t="shared" si="15"/>
        <v>0</v>
      </c>
      <c r="AS40" s="37">
        <f t="shared" si="16"/>
        <v>0</v>
      </c>
      <c r="AT40" s="37">
        <f t="shared" si="39"/>
        <v>0</v>
      </c>
      <c r="AU40" s="37">
        <f t="shared" si="48"/>
        <v>0</v>
      </c>
      <c r="AV40" s="37">
        <f t="shared" si="40"/>
        <v>0</v>
      </c>
      <c r="AW40" s="37">
        <f t="shared" si="50"/>
        <v>0</v>
      </c>
      <c r="AX40" s="37">
        <f t="shared" si="20"/>
        <v>0</v>
      </c>
      <c r="AY40" s="37">
        <f t="shared" si="21"/>
        <v>0</v>
      </c>
      <c r="AZ40" s="37">
        <f t="shared" si="41"/>
        <v>0</v>
      </c>
      <c r="BA40" s="37">
        <f t="shared" si="23"/>
        <v>0</v>
      </c>
    </row>
    <row r="41" spans="1:53" customFormat="1" x14ac:dyDescent="0.3">
      <c r="A41" s="71" t="s">
        <v>72</v>
      </c>
      <c r="B41" s="88" t="s">
        <v>139</v>
      </c>
      <c r="C41" s="90" t="s">
        <v>85</v>
      </c>
      <c r="D41" s="149">
        <v>39316.199999999997</v>
      </c>
      <c r="E41" s="136">
        <v>33600</v>
      </c>
      <c r="F41" s="59">
        <f>D41-E41</f>
        <v>5716.1999999999971</v>
      </c>
      <c r="G41" s="60">
        <f>F41/D41</f>
        <v>0.14539044973827575</v>
      </c>
      <c r="H41" s="61">
        <f>E41/4</f>
        <v>8400</v>
      </c>
      <c r="I41" s="61"/>
      <c r="J41" s="138">
        <v>44926</v>
      </c>
      <c r="K41" s="63" t="s">
        <v>64</v>
      </c>
      <c r="L41" s="107">
        <v>45657</v>
      </c>
      <c r="M41" s="65"/>
      <c r="N41" s="82" t="s">
        <v>140</v>
      </c>
      <c r="O41" s="71" t="s">
        <v>141</v>
      </c>
      <c r="P41" s="67"/>
      <c r="Q41" s="68"/>
      <c r="R41" s="68"/>
      <c r="S41" s="68"/>
      <c r="T41" s="69"/>
      <c r="U41" s="69"/>
      <c r="V41" s="69" t="s">
        <v>83</v>
      </c>
      <c r="W41" s="69" t="s">
        <v>83</v>
      </c>
      <c r="X41" s="69" t="s">
        <v>83</v>
      </c>
      <c r="Y41" s="69" t="s">
        <v>83</v>
      </c>
      <c r="Z41" s="69" t="s">
        <v>83</v>
      </c>
      <c r="AA41" s="69"/>
      <c r="AB41" s="69"/>
      <c r="AC41" s="42"/>
      <c r="AD41" s="27">
        <f t="shared" si="27"/>
        <v>0</v>
      </c>
      <c r="AE41" s="27">
        <f t="shared" si="4"/>
        <v>0</v>
      </c>
      <c r="AF41" s="27">
        <f t="shared" si="5"/>
        <v>0</v>
      </c>
      <c r="AG41" s="27">
        <f t="shared" si="28"/>
        <v>0</v>
      </c>
      <c r="AH41" s="27">
        <f t="shared" si="7"/>
        <v>0</v>
      </c>
      <c r="AI41" s="27">
        <f t="shared" ref="AI41:AI53" si="51">IF($K41="juin",$D41,0)</f>
        <v>0</v>
      </c>
      <c r="AJ41" s="27">
        <f t="shared" si="29"/>
        <v>0</v>
      </c>
      <c r="AK41" s="27">
        <f t="shared" si="49"/>
        <v>0</v>
      </c>
      <c r="AL41" s="27">
        <f t="shared" ref="AL41:AL53" si="52">IF($K41="septembre",$D41,0)</f>
        <v>0</v>
      </c>
      <c r="AM41" s="27">
        <f t="shared" ref="AM41:AM53" si="53">IF($K41="octobre",$D41,0)</f>
        <v>0</v>
      </c>
      <c r="AN41" s="27">
        <f t="shared" ref="AN41:AN53" si="54">IF($K41="novembre",$D41,0)</f>
        <v>0</v>
      </c>
      <c r="AO41" s="27">
        <f t="shared" ref="AO41:AO53" si="55">IF($K41="décembre",$D41,0)</f>
        <v>39316.199999999997</v>
      </c>
      <c r="AP41" s="37">
        <f t="shared" si="13"/>
        <v>0</v>
      </c>
      <c r="AQ41" s="37">
        <f t="shared" si="38"/>
        <v>0</v>
      </c>
      <c r="AR41" s="37">
        <f t="shared" si="15"/>
        <v>0</v>
      </c>
      <c r="AS41" s="37">
        <f t="shared" si="16"/>
        <v>0</v>
      </c>
      <c r="AT41" s="37">
        <f t="shared" si="39"/>
        <v>0</v>
      </c>
      <c r="AU41" s="37">
        <f t="shared" si="48"/>
        <v>0</v>
      </c>
      <c r="AV41" s="37">
        <f t="shared" si="40"/>
        <v>0</v>
      </c>
      <c r="AW41" s="37">
        <f t="shared" si="50"/>
        <v>0</v>
      </c>
      <c r="AX41" s="37">
        <f t="shared" si="20"/>
        <v>0</v>
      </c>
      <c r="AY41" s="37">
        <f t="shared" si="21"/>
        <v>0</v>
      </c>
      <c r="AZ41" s="37">
        <f t="shared" si="41"/>
        <v>0</v>
      </c>
      <c r="BA41" s="37">
        <f t="shared" si="23"/>
        <v>33600</v>
      </c>
    </row>
    <row r="42" spans="1:53" customFormat="1" x14ac:dyDescent="0.3">
      <c r="A42" s="71" t="s">
        <v>72</v>
      </c>
      <c r="B42" s="88" t="s">
        <v>139</v>
      </c>
      <c r="C42" s="90" t="s">
        <v>142</v>
      </c>
      <c r="D42" s="149">
        <v>6000</v>
      </c>
      <c r="E42" s="136">
        <v>5400</v>
      </c>
      <c r="F42" s="59">
        <f>D42-E42</f>
        <v>600</v>
      </c>
      <c r="G42" s="60">
        <f>F42/D42</f>
        <v>0.1</v>
      </c>
      <c r="H42" s="61"/>
      <c r="I42" s="61"/>
      <c r="J42" s="224">
        <v>45291</v>
      </c>
      <c r="K42" s="63" t="s">
        <v>64</v>
      </c>
      <c r="L42" s="107">
        <v>45291</v>
      </c>
      <c r="M42" s="65" t="s">
        <v>142</v>
      </c>
      <c r="N42" s="82"/>
      <c r="O42" s="71"/>
      <c r="P42" s="67"/>
      <c r="Q42" s="68"/>
      <c r="R42" s="68"/>
      <c r="S42" s="68"/>
      <c r="T42" s="69"/>
      <c r="U42" s="69"/>
      <c r="V42" s="69" t="s">
        <v>83</v>
      </c>
      <c r="W42" s="69" t="s">
        <v>83</v>
      </c>
      <c r="X42" s="69" t="s">
        <v>83</v>
      </c>
      <c r="Y42" s="69" t="s">
        <v>83</v>
      </c>
      <c r="Z42" s="69" t="s">
        <v>83</v>
      </c>
      <c r="AA42" s="69"/>
      <c r="AB42" s="69"/>
      <c r="AC42" s="42"/>
      <c r="AD42" s="27">
        <f t="shared" si="27"/>
        <v>0</v>
      </c>
      <c r="AE42" s="27">
        <f t="shared" si="4"/>
        <v>0</v>
      </c>
      <c r="AF42" s="27">
        <f t="shared" si="5"/>
        <v>0</v>
      </c>
      <c r="AG42" s="27">
        <f t="shared" si="28"/>
        <v>0</v>
      </c>
      <c r="AH42" s="27">
        <f t="shared" si="7"/>
        <v>0</v>
      </c>
      <c r="AI42" s="27">
        <f t="shared" si="51"/>
        <v>0</v>
      </c>
      <c r="AJ42" s="27">
        <f t="shared" si="29"/>
        <v>0</v>
      </c>
      <c r="AK42" s="27">
        <f t="shared" si="49"/>
        <v>0</v>
      </c>
      <c r="AL42" s="27">
        <f t="shared" si="52"/>
        <v>0</v>
      </c>
      <c r="AM42" s="27">
        <f t="shared" si="53"/>
        <v>0</v>
      </c>
      <c r="AN42" s="27">
        <f t="shared" si="54"/>
        <v>0</v>
      </c>
      <c r="AO42" s="27">
        <f t="shared" si="55"/>
        <v>6000</v>
      </c>
      <c r="AP42" s="37">
        <f t="shared" si="13"/>
        <v>0</v>
      </c>
      <c r="AQ42" s="37">
        <f t="shared" si="38"/>
        <v>0</v>
      </c>
      <c r="AR42" s="37">
        <f t="shared" si="15"/>
        <v>0</v>
      </c>
      <c r="AS42" s="37">
        <f t="shared" si="16"/>
        <v>0</v>
      </c>
      <c r="AT42" s="37">
        <f t="shared" si="39"/>
        <v>0</v>
      </c>
      <c r="AU42" s="37">
        <f t="shared" si="48"/>
        <v>0</v>
      </c>
      <c r="AV42" s="37">
        <f t="shared" si="40"/>
        <v>0</v>
      </c>
      <c r="AW42" s="37">
        <f t="shared" si="50"/>
        <v>0</v>
      </c>
      <c r="AX42" s="37">
        <f t="shared" si="20"/>
        <v>0</v>
      </c>
      <c r="AY42" s="37">
        <f t="shared" si="21"/>
        <v>0</v>
      </c>
      <c r="AZ42" s="37">
        <f t="shared" si="41"/>
        <v>0</v>
      </c>
      <c r="BA42" s="37">
        <f t="shared" si="23"/>
        <v>5400</v>
      </c>
    </row>
    <row r="43" spans="1:53" customFormat="1" x14ac:dyDescent="0.3">
      <c r="A43" s="71" t="s">
        <v>66</v>
      </c>
      <c r="B43" s="86" t="s">
        <v>143</v>
      </c>
      <c r="C43" s="90"/>
      <c r="D43" s="140"/>
      <c r="E43" s="140"/>
      <c r="F43" s="59"/>
      <c r="G43" s="60"/>
      <c r="H43" s="140"/>
      <c r="I43" s="61"/>
      <c r="J43" s="224"/>
      <c r="K43" s="129"/>
      <c r="L43" s="241"/>
      <c r="M43" s="77"/>
      <c r="N43" s="71"/>
      <c r="O43" s="71"/>
      <c r="P43" s="79"/>
      <c r="Q43" s="80"/>
      <c r="R43" s="80"/>
      <c r="S43" s="80"/>
      <c r="T43" s="81"/>
      <c r="U43" s="81"/>
      <c r="V43" s="81"/>
      <c r="W43" s="81"/>
      <c r="X43" s="81"/>
      <c r="Y43" s="81"/>
      <c r="Z43" s="81"/>
      <c r="AA43" s="81"/>
      <c r="AB43" s="81"/>
      <c r="AC43" s="26"/>
      <c r="AD43" s="27">
        <f t="shared" si="27"/>
        <v>0</v>
      </c>
      <c r="AE43" s="27">
        <f t="shared" si="4"/>
        <v>0</v>
      </c>
      <c r="AF43" s="27">
        <f t="shared" si="5"/>
        <v>0</v>
      </c>
      <c r="AG43" s="27">
        <f t="shared" si="28"/>
        <v>0</v>
      </c>
      <c r="AH43" s="27">
        <f t="shared" si="7"/>
        <v>0</v>
      </c>
      <c r="AI43" s="27">
        <f t="shared" si="51"/>
        <v>0</v>
      </c>
      <c r="AJ43" s="27">
        <f t="shared" si="29"/>
        <v>0</v>
      </c>
      <c r="AK43" s="27">
        <f t="shared" si="49"/>
        <v>0</v>
      </c>
      <c r="AL43" s="27">
        <f t="shared" si="52"/>
        <v>0</v>
      </c>
      <c r="AM43" s="27">
        <f t="shared" si="53"/>
        <v>0</v>
      </c>
      <c r="AN43" s="27">
        <f t="shared" si="54"/>
        <v>0</v>
      </c>
      <c r="AO43" s="27">
        <f t="shared" si="55"/>
        <v>0</v>
      </c>
      <c r="AP43" s="37">
        <f t="shared" si="13"/>
        <v>0</v>
      </c>
      <c r="AQ43" s="37">
        <f t="shared" si="38"/>
        <v>0</v>
      </c>
      <c r="AR43" s="37">
        <f t="shared" si="15"/>
        <v>0</v>
      </c>
      <c r="AS43" s="37">
        <f t="shared" si="16"/>
        <v>0</v>
      </c>
      <c r="AT43" s="37">
        <f t="shared" si="39"/>
        <v>0</v>
      </c>
      <c r="AU43" s="37">
        <f t="shared" si="48"/>
        <v>0</v>
      </c>
      <c r="AV43" s="37">
        <f t="shared" si="40"/>
        <v>0</v>
      </c>
      <c r="AW43" s="37">
        <f t="shared" si="50"/>
        <v>0</v>
      </c>
      <c r="AX43" s="37">
        <f t="shared" si="20"/>
        <v>0</v>
      </c>
      <c r="AY43" s="37">
        <f t="shared" si="21"/>
        <v>0</v>
      </c>
      <c r="AZ43" s="37">
        <f t="shared" si="41"/>
        <v>0</v>
      </c>
      <c r="BA43" s="37">
        <f t="shared" si="23"/>
        <v>0</v>
      </c>
    </row>
    <row r="44" spans="1:53" customFormat="1" x14ac:dyDescent="0.3">
      <c r="A44" s="71" t="s">
        <v>66</v>
      </c>
      <c r="B44" s="88" t="s">
        <v>144</v>
      </c>
      <c r="C44" s="90"/>
      <c r="D44" s="149">
        <v>7200</v>
      </c>
      <c r="E44" s="149">
        <f>1344.53*4</f>
        <v>5378.12</v>
      </c>
      <c r="F44" s="59">
        <f>D44-E44</f>
        <v>1821.88</v>
      </c>
      <c r="G44" s="60">
        <f>F44/D44</f>
        <v>0.25303888888888892</v>
      </c>
      <c r="H44" s="61"/>
      <c r="I44" s="61"/>
      <c r="J44" s="237">
        <v>43888</v>
      </c>
      <c r="K44" s="129" t="s">
        <v>54</v>
      </c>
      <c r="L44" s="241">
        <v>44984</v>
      </c>
      <c r="M44" s="77"/>
      <c r="N44" s="82"/>
      <c r="O44" s="82"/>
      <c r="P44" s="75"/>
      <c r="Q44" s="80"/>
      <c r="R44" s="80"/>
      <c r="S44" s="80"/>
      <c r="T44" s="81"/>
      <c r="U44" s="81"/>
      <c r="V44" s="81"/>
      <c r="W44" s="81"/>
      <c r="X44" s="81"/>
      <c r="Y44" s="81"/>
      <c r="Z44" s="81"/>
      <c r="AA44" s="81"/>
      <c r="AB44" s="81"/>
      <c r="AC44" s="26"/>
      <c r="AD44" s="27">
        <f t="shared" si="27"/>
        <v>0</v>
      </c>
      <c r="AE44" s="27">
        <f t="shared" si="4"/>
        <v>7200</v>
      </c>
      <c r="AF44" s="27">
        <f t="shared" si="5"/>
        <v>0</v>
      </c>
      <c r="AG44" s="27">
        <f t="shared" si="28"/>
        <v>0</v>
      </c>
      <c r="AH44" s="27">
        <f t="shared" si="7"/>
        <v>0</v>
      </c>
      <c r="AI44" s="27">
        <f t="shared" si="51"/>
        <v>0</v>
      </c>
      <c r="AJ44" s="27">
        <f t="shared" si="29"/>
        <v>0</v>
      </c>
      <c r="AK44" s="27">
        <f t="shared" si="49"/>
        <v>0</v>
      </c>
      <c r="AL44" s="27">
        <f t="shared" si="52"/>
        <v>0</v>
      </c>
      <c r="AM44" s="27">
        <f t="shared" si="53"/>
        <v>0</v>
      </c>
      <c r="AN44" s="27">
        <f t="shared" si="54"/>
        <v>0</v>
      </c>
      <c r="AO44" s="27">
        <f t="shared" si="55"/>
        <v>0</v>
      </c>
      <c r="AP44" s="37">
        <f t="shared" si="13"/>
        <v>0</v>
      </c>
      <c r="AQ44" s="37">
        <f t="shared" si="38"/>
        <v>5378.12</v>
      </c>
      <c r="AR44" s="37">
        <f t="shared" si="15"/>
        <v>0</v>
      </c>
      <c r="AS44" s="37">
        <f t="shared" si="16"/>
        <v>0</v>
      </c>
      <c r="AT44" s="37">
        <f t="shared" si="39"/>
        <v>0</v>
      </c>
      <c r="AU44" s="37">
        <f t="shared" si="48"/>
        <v>0</v>
      </c>
      <c r="AV44" s="37">
        <f t="shared" si="40"/>
        <v>0</v>
      </c>
      <c r="AW44" s="37">
        <f t="shared" si="50"/>
        <v>0</v>
      </c>
      <c r="AX44" s="37">
        <f t="shared" si="20"/>
        <v>0</v>
      </c>
      <c r="AY44" s="37">
        <f t="shared" si="21"/>
        <v>0</v>
      </c>
      <c r="AZ44" s="37">
        <f t="shared" si="41"/>
        <v>0</v>
      </c>
      <c r="BA44" s="37">
        <f t="shared" si="23"/>
        <v>0</v>
      </c>
    </row>
    <row r="45" spans="1:53" customFormat="1" x14ac:dyDescent="0.3">
      <c r="A45" s="71" t="s">
        <v>66</v>
      </c>
      <c r="B45" s="86" t="s">
        <v>145</v>
      </c>
      <c r="C45" s="90" t="s">
        <v>146</v>
      </c>
      <c r="D45" s="136"/>
      <c r="E45" s="136"/>
      <c r="F45" s="59"/>
      <c r="G45" s="60"/>
      <c r="H45" s="61"/>
      <c r="I45" s="61"/>
      <c r="J45" s="232"/>
      <c r="K45" s="63"/>
      <c r="L45" s="107"/>
      <c r="M45" s="248"/>
      <c r="N45" s="250"/>
      <c r="O45" s="65"/>
      <c r="P45" s="65"/>
      <c r="Q45" s="68"/>
      <c r="R45" s="68"/>
      <c r="S45" s="68"/>
      <c r="T45" s="120"/>
      <c r="U45" s="120"/>
      <c r="V45" s="120" t="s">
        <v>83</v>
      </c>
      <c r="W45" s="120" t="s">
        <v>83</v>
      </c>
      <c r="X45" s="120"/>
      <c r="Y45" s="123"/>
      <c r="Z45" s="121"/>
      <c r="AA45" s="58"/>
      <c r="AB45" s="122"/>
      <c r="AC45" s="42"/>
      <c r="AD45" s="27">
        <f t="shared" si="27"/>
        <v>0</v>
      </c>
      <c r="AE45" s="27">
        <f t="shared" si="4"/>
        <v>0</v>
      </c>
      <c r="AF45" s="27">
        <f t="shared" si="5"/>
        <v>0</v>
      </c>
      <c r="AG45" s="27">
        <f t="shared" si="28"/>
        <v>0</v>
      </c>
      <c r="AH45" s="27">
        <f t="shared" si="7"/>
        <v>0</v>
      </c>
      <c r="AI45" s="27">
        <f t="shared" si="51"/>
        <v>0</v>
      </c>
      <c r="AJ45" s="27">
        <f t="shared" si="29"/>
        <v>0</v>
      </c>
      <c r="AK45" s="27">
        <f t="shared" si="49"/>
        <v>0</v>
      </c>
      <c r="AL45" s="27">
        <f t="shared" si="52"/>
        <v>0</v>
      </c>
      <c r="AM45" s="27">
        <f t="shared" si="53"/>
        <v>0</v>
      </c>
      <c r="AN45" s="27">
        <f t="shared" si="54"/>
        <v>0</v>
      </c>
      <c r="AO45" s="27">
        <f t="shared" si="55"/>
        <v>0</v>
      </c>
      <c r="AP45" s="37">
        <f t="shared" si="13"/>
        <v>0</v>
      </c>
      <c r="AQ45" s="37">
        <f t="shared" si="38"/>
        <v>0</v>
      </c>
      <c r="AR45" s="37">
        <f t="shared" si="15"/>
        <v>0</v>
      </c>
      <c r="AS45" s="37">
        <f t="shared" si="16"/>
        <v>0</v>
      </c>
      <c r="AT45" s="37">
        <f t="shared" si="39"/>
        <v>0</v>
      </c>
      <c r="AU45" s="37">
        <f t="shared" si="48"/>
        <v>0</v>
      </c>
      <c r="AV45" s="37">
        <f t="shared" si="40"/>
        <v>0</v>
      </c>
      <c r="AW45" s="37">
        <f t="shared" ref="AW45:AW52" si="56">IF($K45="août",$CJ45,0)</f>
        <v>0</v>
      </c>
      <c r="AX45" s="37">
        <f t="shared" si="20"/>
        <v>0</v>
      </c>
      <c r="AY45" s="37">
        <f t="shared" si="21"/>
        <v>0</v>
      </c>
      <c r="AZ45" s="37">
        <f t="shared" si="41"/>
        <v>0</v>
      </c>
      <c r="BA45" s="37">
        <f t="shared" si="23"/>
        <v>0</v>
      </c>
    </row>
    <row r="46" spans="1:53" customFormat="1" x14ac:dyDescent="0.3">
      <c r="A46" s="71" t="s">
        <v>115</v>
      </c>
      <c r="B46" s="88" t="s">
        <v>147</v>
      </c>
      <c r="C46" s="90" t="s">
        <v>148</v>
      </c>
      <c r="D46" s="149">
        <v>7137.9</v>
      </c>
      <c r="E46" s="136"/>
      <c r="F46" s="72">
        <f t="shared" ref="F46:F51" si="57">D46-E46</f>
        <v>7137.9</v>
      </c>
      <c r="G46" s="95">
        <f t="shared" ref="G46:G51" si="58">F46/D46</f>
        <v>1</v>
      </c>
      <c r="H46" s="61"/>
      <c r="I46" s="61"/>
      <c r="J46" s="138">
        <v>44926</v>
      </c>
      <c r="K46" s="63" t="s">
        <v>53</v>
      </c>
      <c r="L46" s="107"/>
      <c r="M46" s="65"/>
      <c r="N46" s="82"/>
      <c r="O46" s="71"/>
      <c r="P46" s="67"/>
      <c r="Q46" s="68"/>
      <c r="R46" s="68"/>
      <c r="S46" s="68"/>
      <c r="T46" s="69"/>
      <c r="U46" s="69"/>
      <c r="V46" s="69"/>
      <c r="W46" s="69"/>
      <c r="X46" s="69"/>
      <c r="Y46" s="69"/>
      <c r="Z46" s="69"/>
      <c r="AA46" s="69"/>
      <c r="AB46" s="69"/>
      <c r="AC46" s="42"/>
      <c r="AD46" s="27">
        <f t="shared" si="27"/>
        <v>7137.9</v>
      </c>
      <c r="AE46" s="27">
        <f t="shared" si="4"/>
        <v>0</v>
      </c>
      <c r="AF46" s="27">
        <f t="shared" si="5"/>
        <v>0</v>
      </c>
      <c r="AG46" s="27">
        <f t="shared" si="28"/>
        <v>0</v>
      </c>
      <c r="AH46" s="27">
        <f t="shared" si="7"/>
        <v>0</v>
      </c>
      <c r="AI46" s="27">
        <f t="shared" si="51"/>
        <v>0</v>
      </c>
      <c r="AJ46" s="27">
        <f t="shared" si="29"/>
        <v>0</v>
      </c>
      <c r="AK46" s="27">
        <f t="shared" si="49"/>
        <v>0</v>
      </c>
      <c r="AL46" s="27">
        <f t="shared" si="52"/>
        <v>0</v>
      </c>
      <c r="AM46" s="27">
        <f t="shared" si="53"/>
        <v>0</v>
      </c>
      <c r="AN46" s="27">
        <f t="shared" si="54"/>
        <v>0</v>
      </c>
      <c r="AO46" s="27">
        <f t="shared" si="55"/>
        <v>0</v>
      </c>
      <c r="AP46" s="37">
        <f t="shared" si="13"/>
        <v>0</v>
      </c>
      <c r="AQ46" s="37">
        <f t="shared" si="38"/>
        <v>0</v>
      </c>
      <c r="AR46" s="37">
        <f t="shared" si="15"/>
        <v>0</v>
      </c>
      <c r="AS46" s="37">
        <f t="shared" si="16"/>
        <v>0</v>
      </c>
      <c r="AT46" s="37">
        <f t="shared" si="39"/>
        <v>0</v>
      </c>
      <c r="AU46" s="37">
        <f t="shared" si="48"/>
        <v>0</v>
      </c>
      <c r="AV46" s="37">
        <f t="shared" si="40"/>
        <v>0</v>
      </c>
      <c r="AW46" s="37">
        <f t="shared" si="56"/>
        <v>0</v>
      </c>
      <c r="AX46" s="37">
        <f t="shared" si="20"/>
        <v>0</v>
      </c>
      <c r="AY46" s="37">
        <f t="shared" si="21"/>
        <v>0</v>
      </c>
      <c r="AZ46" s="37">
        <f t="shared" si="41"/>
        <v>0</v>
      </c>
      <c r="BA46" s="37">
        <f t="shared" si="23"/>
        <v>0</v>
      </c>
    </row>
    <row r="47" spans="1:53" customFormat="1" x14ac:dyDescent="0.3">
      <c r="A47" s="71" t="s">
        <v>115</v>
      </c>
      <c r="B47" s="88" t="s">
        <v>149</v>
      </c>
      <c r="C47" s="90" t="s">
        <v>150</v>
      </c>
      <c r="D47" s="149">
        <v>1187</v>
      </c>
      <c r="E47" s="136"/>
      <c r="F47" s="72">
        <f t="shared" si="57"/>
        <v>1187</v>
      </c>
      <c r="G47" s="95">
        <f t="shared" si="58"/>
        <v>1</v>
      </c>
      <c r="H47" s="61"/>
      <c r="I47" s="61"/>
      <c r="J47" s="138">
        <v>44926</v>
      </c>
      <c r="K47" s="63" t="s">
        <v>53</v>
      </c>
      <c r="L47" s="107"/>
      <c r="M47" s="65"/>
      <c r="N47" s="82"/>
      <c r="O47" s="71"/>
      <c r="P47" s="67"/>
      <c r="Q47" s="68"/>
      <c r="R47" s="68"/>
      <c r="S47" s="68"/>
      <c r="T47" s="69"/>
      <c r="U47" s="69"/>
      <c r="V47" s="69"/>
      <c r="W47" s="69"/>
      <c r="X47" s="69"/>
      <c r="Y47" s="69"/>
      <c r="Z47" s="69"/>
      <c r="AA47" s="69"/>
      <c r="AB47" s="69"/>
      <c r="AC47" s="42"/>
      <c r="AD47" s="27">
        <f>IF($K47="janvier",$D47,0)</f>
        <v>1187</v>
      </c>
      <c r="AE47" s="27">
        <f>IF($K47="février",$D47,0)</f>
        <v>0</v>
      </c>
      <c r="AF47" s="27">
        <f>IF($K47="mars",$D47,0)</f>
        <v>0</v>
      </c>
      <c r="AG47" s="27">
        <f>IF($K47="avril",$D47,0)</f>
        <v>0</v>
      </c>
      <c r="AH47" s="27">
        <f>IF($K47="mai",$D47,0)</f>
        <v>0</v>
      </c>
      <c r="AI47" s="27">
        <f>IF($K47="juin",$D47,0)</f>
        <v>0</v>
      </c>
      <c r="AJ47" s="27">
        <f>IF($K47="juillet",$D47,0)</f>
        <v>0</v>
      </c>
      <c r="AK47" s="27">
        <f>IF($K47="août",$D47,0)</f>
        <v>0</v>
      </c>
      <c r="AL47" s="27">
        <f>IF($K47="septembre",$D47,0)</f>
        <v>0</v>
      </c>
      <c r="AM47" s="27">
        <f>IF($K47="octobre",$D47,0)</f>
        <v>0</v>
      </c>
      <c r="AN47" s="27">
        <f>IF($K47="novembre",$D47,0)</f>
        <v>0</v>
      </c>
      <c r="AO47" s="27">
        <f>IF($K47="décembre",$D47,0)</f>
        <v>0</v>
      </c>
      <c r="AP47" s="37">
        <f>IF($K47="janvier",$E47,0)</f>
        <v>0</v>
      </c>
      <c r="AQ47" s="37">
        <f>IF($K47="février",$E47,0)</f>
        <v>0</v>
      </c>
      <c r="AR47" s="37">
        <f>IF($K47="mars",$E47,0)</f>
        <v>0</v>
      </c>
      <c r="AS47" s="37">
        <f>IF($K47="avril",$E47,0)</f>
        <v>0</v>
      </c>
      <c r="AT47" s="37">
        <f>IF($K47="mai",$E47,0)</f>
        <v>0</v>
      </c>
      <c r="AU47" s="37">
        <f>IF($K47="juin",$E47,0)</f>
        <v>0</v>
      </c>
      <c r="AV47" s="37">
        <f>IF($K47="juillet",$E47,0)</f>
        <v>0</v>
      </c>
      <c r="AW47" s="37">
        <f>IF($K47="août",$CJ47,0)</f>
        <v>0</v>
      </c>
      <c r="AX47" s="37">
        <f>IF($K47="septembre",$E47,0)</f>
        <v>0</v>
      </c>
      <c r="AY47" s="37">
        <f>IF($K47="octobre",$E47,0)</f>
        <v>0</v>
      </c>
      <c r="AZ47" s="37">
        <f>IF($K47="novembre",$E47,0)</f>
        <v>0</v>
      </c>
      <c r="BA47" s="37">
        <f>IF($K47="décembre",$E47,0)</f>
        <v>0</v>
      </c>
    </row>
    <row r="48" spans="1:53" customFormat="1" x14ac:dyDescent="0.3">
      <c r="A48" s="71" t="s">
        <v>111</v>
      </c>
      <c r="B48" s="88" t="s">
        <v>151</v>
      </c>
      <c r="C48" s="90" t="s">
        <v>152</v>
      </c>
      <c r="D48" s="149">
        <v>9600</v>
      </c>
      <c r="E48" s="136">
        <v>6720</v>
      </c>
      <c r="F48" s="72">
        <f t="shared" si="57"/>
        <v>2880</v>
      </c>
      <c r="G48" s="95">
        <f t="shared" si="58"/>
        <v>0.3</v>
      </c>
      <c r="H48" s="61">
        <f>E48/4</f>
        <v>1680</v>
      </c>
      <c r="I48" s="61"/>
      <c r="J48" s="138">
        <v>44956</v>
      </c>
      <c r="K48" s="63" t="s">
        <v>53</v>
      </c>
      <c r="L48" s="107"/>
      <c r="M48" s="65"/>
      <c r="N48" s="82"/>
      <c r="O48" s="71"/>
      <c r="P48" s="67"/>
      <c r="Q48" s="68"/>
      <c r="R48" s="68"/>
      <c r="S48" s="68"/>
      <c r="T48" s="69"/>
      <c r="U48" s="69"/>
      <c r="V48" s="69"/>
      <c r="W48" s="69"/>
      <c r="X48" s="69"/>
      <c r="Y48" s="69"/>
      <c r="Z48" s="69"/>
      <c r="AA48" s="69"/>
      <c r="AB48" s="69"/>
      <c r="AC48" s="42"/>
      <c r="AD48" s="27">
        <f t="shared" si="27"/>
        <v>9600</v>
      </c>
      <c r="AE48" s="27">
        <f t="shared" si="4"/>
        <v>0</v>
      </c>
      <c r="AF48" s="27">
        <f t="shared" si="5"/>
        <v>0</v>
      </c>
      <c r="AG48" s="27">
        <f t="shared" si="28"/>
        <v>0</v>
      </c>
      <c r="AH48" s="27">
        <f t="shared" si="7"/>
        <v>0</v>
      </c>
      <c r="AI48" s="27">
        <f t="shared" si="51"/>
        <v>0</v>
      </c>
      <c r="AJ48" s="27">
        <f t="shared" si="29"/>
        <v>0</v>
      </c>
      <c r="AK48" s="27">
        <f t="shared" si="49"/>
        <v>0</v>
      </c>
      <c r="AL48" s="27">
        <f t="shared" si="52"/>
        <v>0</v>
      </c>
      <c r="AM48" s="27">
        <f t="shared" si="53"/>
        <v>0</v>
      </c>
      <c r="AN48" s="27">
        <f t="shared" si="54"/>
        <v>0</v>
      </c>
      <c r="AO48" s="27">
        <f t="shared" si="55"/>
        <v>0</v>
      </c>
      <c r="AP48" s="37">
        <f t="shared" si="13"/>
        <v>6720</v>
      </c>
      <c r="AQ48" s="37">
        <f t="shared" si="38"/>
        <v>0</v>
      </c>
      <c r="AR48" s="37">
        <f t="shared" si="15"/>
        <v>0</v>
      </c>
      <c r="AS48" s="37">
        <f t="shared" si="16"/>
        <v>0</v>
      </c>
      <c r="AT48" s="37">
        <f t="shared" si="39"/>
        <v>0</v>
      </c>
      <c r="AU48" s="37">
        <f t="shared" si="48"/>
        <v>0</v>
      </c>
      <c r="AV48" s="37">
        <f t="shared" si="40"/>
        <v>0</v>
      </c>
      <c r="AW48" s="37">
        <f t="shared" si="56"/>
        <v>0</v>
      </c>
      <c r="AX48" s="37">
        <f t="shared" si="20"/>
        <v>0</v>
      </c>
      <c r="AY48" s="37">
        <f t="shared" si="21"/>
        <v>0</v>
      </c>
      <c r="AZ48" s="37">
        <f t="shared" si="41"/>
        <v>0</v>
      </c>
      <c r="BA48" s="37">
        <f t="shared" si="23"/>
        <v>0</v>
      </c>
    </row>
    <row r="49" spans="1:53" customFormat="1" x14ac:dyDescent="0.3">
      <c r="A49" s="71" t="s">
        <v>72</v>
      </c>
      <c r="B49" s="88" t="s">
        <v>153</v>
      </c>
      <c r="C49" s="90" t="s">
        <v>154</v>
      </c>
      <c r="D49" s="149">
        <v>6240</v>
      </c>
      <c r="E49" s="149">
        <v>3500</v>
      </c>
      <c r="F49" s="72">
        <f t="shared" si="57"/>
        <v>2740</v>
      </c>
      <c r="G49" s="95">
        <f t="shared" si="58"/>
        <v>0.4391025641025641</v>
      </c>
      <c r="H49" s="61"/>
      <c r="I49" s="61"/>
      <c r="J49" s="138">
        <v>45015</v>
      </c>
      <c r="K49" s="63" t="s">
        <v>94</v>
      </c>
      <c r="L49" s="107"/>
      <c r="M49" s="65"/>
      <c r="N49" s="82"/>
      <c r="O49" s="71"/>
      <c r="P49" s="67"/>
      <c r="Q49" s="68"/>
      <c r="R49" s="68"/>
      <c r="S49" s="68"/>
      <c r="T49" s="69"/>
      <c r="U49" s="69"/>
      <c r="V49" s="69"/>
      <c r="W49" s="69"/>
      <c r="X49" s="69"/>
      <c r="Y49" s="69"/>
      <c r="Z49" s="69"/>
      <c r="AA49" s="69"/>
      <c r="AB49" s="69"/>
      <c r="AC49" s="42"/>
      <c r="AD49" s="27">
        <f t="shared" si="27"/>
        <v>0</v>
      </c>
      <c r="AE49" s="27">
        <f t="shared" si="4"/>
        <v>6240</v>
      </c>
      <c r="AF49" s="27">
        <f t="shared" si="5"/>
        <v>0</v>
      </c>
      <c r="AG49" s="27">
        <f t="shared" si="28"/>
        <v>0</v>
      </c>
      <c r="AH49" s="27">
        <f t="shared" si="7"/>
        <v>0</v>
      </c>
      <c r="AI49" s="27">
        <f t="shared" si="51"/>
        <v>0</v>
      </c>
      <c r="AJ49" s="27">
        <f t="shared" si="29"/>
        <v>0</v>
      </c>
      <c r="AK49" s="27">
        <f t="shared" si="49"/>
        <v>0</v>
      </c>
      <c r="AL49" s="27">
        <f t="shared" si="52"/>
        <v>0</v>
      </c>
      <c r="AM49" s="27">
        <f t="shared" si="53"/>
        <v>0</v>
      </c>
      <c r="AN49" s="27">
        <f t="shared" si="54"/>
        <v>0</v>
      </c>
      <c r="AO49" s="27">
        <f t="shared" si="55"/>
        <v>0</v>
      </c>
      <c r="AP49" s="37">
        <f t="shared" si="13"/>
        <v>0</v>
      </c>
      <c r="AQ49" s="37">
        <f t="shared" si="38"/>
        <v>3500</v>
      </c>
      <c r="AR49" s="37">
        <f t="shared" si="15"/>
        <v>0</v>
      </c>
      <c r="AS49" s="37">
        <f t="shared" si="16"/>
        <v>0</v>
      </c>
      <c r="AT49" s="37">
        <f t="shared" si="39"/>
        <v>0</v>
      </c>
      <c r="AU49" s="37">
        <f t="shared" si="48"/>
        <v>0</v>
      </c>
      <c r="AV49" s="37">
        <f t="shared" si="40"/>
        <v>0</v>
      </c>
      <c r="AW49" s="37">
        <f t="shared" si="56"/>
        <v>0</v>
      </c>
      <c r="AX49" s="37">
        <f t="shared" si="20"/>
        <v>0</v>
      </c>
      <c r="AY49" s="37">
        <f t="shared" si="21"/>
        <v>0</v>
      </c>
      <c r="AZ49" s="37">
        <f t="shared" si="41"/>
        <v>0</v>
      </c>
      <c r="BA49" s="37">
        <f t="shared" si="23"/>
        <v>0</v>
      </c>
    </row>
    <row r="50" spans="1:53" customFormat="1" x14ac:dyDescent="0.3">
      <c r="A50" s="71"/>
      <c r="B50" s="86"/>
      <c r="C50" s="86"/>
      <c r="D50" s="87"/>
      <c r="E50" s="87"/>
      <c r="F50" s="72">
        <f t="shared" si="57"/>
        <v>0</v>
      </c>
      <c r="G50" s="95" t="e">
        <f t="shared" si="58"/>
        <v>#DIV/0!</v>
      </c>
      <c r="H50" s="96"/>
      <c r="I50" s="96"/>
      <c r="J50" s="79"/>
      <c r="K50" s="84"/>
      <c r="L50" s="76"/>
      <c r="M50" s="77"/>
      <c r="N50" s="71"/>
      <c r="O50" s="71"/>
      <c r="P50" s="79"/>
      <c r="Q50" s="80"/>
      <c r="R50" s="80"/>
      <c r="S50" s="80"/>
      <c r="T50" s="81"/>
      <c r="U50" s="81"/>
      <c r="V50" s="81"/>
      <c r="W50" s="81"/>
      <c r="X50" s="81"/>
      <c r="Y50" s="81"/>
      <c r="Z50" s="81"/>
      <c r="AA50" s="81"/>
      <c r="AB50" s="81"/>
      <c r="AC50" s="26"/>
      <c r="AD50" s="27">
        <f t="shared" si="27"/>
        <v>0</v>
      </c>
      <c r="AE50" s="27">
        <f t="shared" si="4"/>
        <v>0</v>
      </c>
      <c r="AF50" s="27">
        <f t="shared" si="5"/>
        <v>0</v>
      </c>
      <c r="AG50" s="27">
        <f t="shared" si="28"/>
        <v>0</v>
      </c>
      <c r="AH50" s="27">
        <f t="shared" si="7"/>
        <v>0</v>
      </c>
      <c r="AI50" s="27">
        <f t="shared" si="51"/>
        <v>0</v>
      </c>
      <c r="AJ50" s="27">
        <f t="shared" si="29"/>
        <v>0</v>
      </c>
      <c r="AK50" s="27">
        <f t="shared" si="49"/>
        <v>0</v>
      </c>
      <c r="AL50" s="27">
        <f t="shared" si="52"/>
        <v>0</v>
      </c>
      <c r="AM50" s="27">
        <f t="shared" si="53"/>
        <v>0</v>
      </c>
      <c r="AN50" s="27">
        <f t="shared" si="54"/>
        <v>0</v>
      </c>
      <c r="AO50" s="27">
        <f t="shared" si="55"/>
        <v>0</v>
      </c>
      <c r="AP50" s="37">
        <f t="shared" si="13"/>
        <v>0</v>
      </c>
      <c r="AQ50" s="37">
        <f t="shared" si="38"/>
        <v>0</v>
      </c>
      <c r="AR50" s="37">
        <f t="shared" si="15"/>
        <v>0</v>
      </c>
      <c r="AS50" s="37">
        <f t="shared" si="16"/>
        <v>0</v>
      </c>
      <c r="AT50" s="37">
        <f t="shared" si="39"/>
        <v>0</v>
      </c>
      <c r="AU50" s="37">
        <f t="shared" si="48"/>
        <v>0</v>
      </c>
      <c r="AV50" s="37">
        <f t="shared" si="40"/>
        <v>0</v>
      </c>
      <c r="AW50" s="37">
        <f t="shared" si="56"/>
        <v>0</v>
      </c>
      <c r="AX50" s="37">
        <f t="shared" si="20"/>
        <v>0</v>
      </c>
      <c r="AY50" s="37">
        <f t="shared" si="21"/>
        <v>0</v>
      </c>
      <c r="AZ50" s="37">
        <f t="shared" si="41"/>
        <v>0</v>
      </c>
      <c r="BA50" s="37">
        <f t="shared" si="23"/>
        <v>0</v>
      </c>
    </row>
    <row r="51" spans="1:53" customFormat="1" x14ac:dyDescent="0.3">
      <c r="A51" s="71"/>
      <c r="B51" s="86"/>
      <c r="C51" s="86"/>
      <c r="D51" s="87"/>
      <c r="E51" s="87"/>
      <c r="F51" s="72">
        <f t="shared" si="57"/>
        <v>0</v>
      </c>
      <c r="G51" s="95" t="e">
        <f t="shared" si="58"/>
        <v>#DIV/0!</v>
      </c>
      <c r="H51" s="96"/>
      <c r="I51" s="96"/>
      <c r="J51" s="79"/>
      <c r="K51" s="84"/>
      <c r="L51" s="76"/>
      <c r="M51" s="77"/>
      <c r="N51" s="71"/>
      <c r="O51" s="71"/>
      <c r="P51" s="79"/>
      <c r="Q51" s="80"/>
      <c r="R51" s="80"/>
      <c r="S51" s="80"/>
      <c r="T51" s="81"/>
      <c r="U51" s="81"/>
      <c r="V51" s="81"/>
      <c r="W51" s="81"/>
      <c r="X51" s="81"/>
      <c r="Y51" s="81"/>
      <c r="Z51" s="81"/>
      <c r="AA51" s="81"/>
      <c r="AB51" s="81"/>
      <c r="AC51" s="26"/>
      <c r="AD51" s="27">
        <f t="shared" si="27"/>
        <v>0</v>
      </c>
      <c r="AE51" s="27">
        <f t="shared" si="4"/>
        <v>0</v>
      </c>
      <c r="AF51" s="27">
        <f t="shared" si="5"/>
        <v>0</v>
      </c>
      <c r="AG51" s="27">
        <f t="shared" si="28"/>
        <v>0</v>
      </c>
      <c r="AH51" s="27">
        <f t="shared" si="7"/>
        <v>0</v>
      </c>
      <c r="AI51" s="27">
        <f t="shared" si="51"/>
        <v>0</v>
      </c>
      <c r="AJ51" s="27">
        <f t="shared" si="29"/>
        <v>0</v>
      </c>
      <c r="AK51" s="27">
        <f t="shared" si="49"/>
        <v>0</v>
      </c>
      <c r="AL51" s="27">
        <f t="shared" si="52"/>
        <v>0</v>
      </c>
      <c r="AM51" s="27">
        <f t="shared" si="53"/>
        <v>0</v>
      </c>
      <c r="AN51" s="27">
        <f t="shared" si="54"/>
        <v>0</v>
      </c>
      <c r="AO51" s="27">
        <f t="shared" si="55"/>
        <v>0</v>
      </c>
      <c r="AP51" s="37">
        <f t="shared" si="13"/>
        <v>0</v>
      </c>
      <c r="AQ51" s="37">
        <f t="shared" si="38"/>
        <v>0</v>
      </c>
      <c r="AR51" s="37">
        <f t="shared" si="15"/>
        <v>0</v>
      </c>
      <c r="AS51" s="37">
        <f t="shared" si="16"/>
        <v>0</v>
      </c>
      <c r="AT51" s="37">
        <f t="shared" si="39"/>
        <v>0</v>
      </c>
      <c r="AU51" s="37">
        <f t="shared" si="48"/>
        <v>0</v>
      </c>
      <c r="AV51" s="37">
        <f t="shared" si="40"/>
        <v>0</v>
      </c>
      <c r="AW51" s="37">
        <f t="shared" si="56"/>
        <v>0</v>
      </c>
      <c r="AX51" s="37">
        <f t="shared" si="20"/>
        <v>0</v>
      </c>
      <c r="AY51" s="37">
        <f t="shared" si="21"/>
        <v>0</v>
      </c>
      <c r="AZ51" s="37">
        <f t="shared" si="41"/>
        <v>0</v>
      </c>
      <c r="BA51" s="37">
        <f t="shared" si="23"/>
        <v>0</v>
      </c>
    </row>
    <row r="52" spans="1:53" customFormat="1" x14ac:dyDescent="0.3">
      <c r="A52" s="71"/>
      <c r="B52" s="86"/>
      <c r="C52" s="86"/>
      <c r="D52" s="87"/>
      <c r="E52" s="87"/>
      <c r="F52" s="72">
        <f t="shared" si="0"/>
        <v>0</v>
      </c>
      <c r="G52" s="73" t="e">
        <f t="shared" si="1"/>
        <v>#DIV/0!</v>
      </c>
      <c r="H52" s="74"/>
      <c r="I52" s="74"/>
      <c r="J52" s="79"/>
      <c r="K52" s="84"/>
      <c r="L52" s="76"/>
      <c r="M52" s="77"/>
      <c r="N52" s="71"/>
      <c r="O52" s="71"/>
      <c r="P52" s="79"/>
      <c r="Q52" s="80"/>
      <c r="R52" s="80"/>
      <c r="S52" s="80"/>
      <c r="T52" s="81"/>
      <c r="U52" s="81"/>
      <c r="V52" s="81"/>
      <c r="W52" s="81"/>
      <c r="X52" s="81"/>
      <c r="Y52" s="81"/>
      <c r="Z52" s="81"/>
      <c r="AA52" s="81"/>
      <c r="AB52" s="81"/>
      <c r="AC52" s="26"/>
      <c r="AD52" s="27">
        <f t="shared" si="27"/>
        <v>0</v>
      </c>
      <c r="AE52" s="27">
        <f t="shared" si="4"/>
        <v>0</v>
      </c>
      <c r="AF52" s="27">
        <f t="shared" si="5"/>
        <v>0</v>
      </c>
      <c r="AG52" s="27">
        <f t="shared" si="28"/>
        <v>0</v>
      </c>
      <c r="AH52" s="27">
        <f t="shared" si="7"/>
        <v>0</v>
      </c>
      <c r="AI52" s="27">
        <f t="shared" si="51"/>
        <v>0</v>
      </c>
      <c r="AJ52" s="27">
        <f t="shared" si="29"/>
        <v>0</v>
      </c>
      <c r="AK52" s="27">
        <f t="shared" si="49"/>
        <v>0</v>
      </c>
      <c r="AL52" s="27">
        <f t="shared" si="52"/>
        <v>0</v>
      </c>
      <c r="AM52" s="27">
        <f t="shared" si="53"/>
        <v>0</v>
      </c>
      <c r="AN52" s="27">
        <f t="shared" si="54"/>
        <v>0</v>
      </c>
      <c r="AO52" s="27">
        <f t="shared" si="55"/>
        <v>0</v>
      </c>
      <c r="AP52" s="37">
        <f t="shared" si="13"/>
        <v>0</v>
      </c>
      <c r="AQ52" s="37">
        <f t="shared" si="38"/>
        <v>0</v>
      </c>
      <c r="AR52" s="37">
        <f t="shared" si="15"/>
        <v>0</v>
      </c>
      <c r="AS52" s="37">
        <f t="shared" si="16"/>
        <v>0</v>
      </c>
      <c r="AT52" s="37">
        <f t="shared" si="39"/>
        <v>0</v>
      </c>
      <c r="AU52" s="37">
        <f t="shared" si="48"/>
        <v>0</v>
      </c>
      <c r="AV52" s="37">
        <f t="shared" si="40"/>
        <v>0</v>
      </c>
      <c r="AW52" s="37">
        <f t="shared" si="56"/>
        <v>0</v>
      </c>
      <c r="AX52" s="37">
        <f t="shared" si="20"/>
        <v>0</v>
      </c>
      <c r="AY52" s="37">
        <f t="shared" si="21"/>
        <v>0</v>
      </c>
      <c r="AZ52" s="37">
        <f t="shared" si="41"/>
        <v>0</v>
      </c>
      <c r="BA52" s="37">
        <f t="shared" si="23"/>
        <v>0</v>
      </c>
    </row>
    <row r="53" spans="1:53" customFormat="1" x14ac:dyDescent="0.3">
      <c r="A53" s="71"/>
      <c r="B53" s="86" t="s">
        <v>155</v>
      </c>
      <c r="C53" s="86"/>
      <c r="D53" s="87"/>
      <c r="E53" s="87"/>
      <c r="F53" s="72">
        <f>D53-E53</f>
        <v>0</v>
      </c>
      <c r="G53" s="95" t="e">
        <f>F53/D53</f>
        <v>#DIV/0!</v>
      </c>
      <c r="H53" s="96"/>
      <c r="I53" s="96"/>
      <c r="J53" s="79"/>
      <c r="K53" s="84"/>
      <c r="L53" s="76"/>
      <c r="M53" s="77"/>
      <c r="N53" s="71"/>
      <c r="O53" s="71"/>
      <c r="P53" s="79"/>
      <c r="Q53" s="80"/>
      <c r="R53" s="80"/>
      <c r="S53" s="80"/>
      <c r="T53" s="81"/>
      <c r="U53" s="81"/>
      <c r="V53" s="81"/>
      <c r="W53" s="81"/>
      <c r="X53" s="81"/>
      <c r="Y53" s="81"/>
      <c r="Z53" s="81"/>
      <c r="AA53" s="81"/>
      <c r="AB53" s="81"/>
      <c r="AC53" s="26"/>
      <c r="AD53" s="27">
        <f t="shared" ref="AD53:AD54" si="59">IF($K53="janvier",$D53,0)</f>
        <v>0</v>
      </c>
      <c r="AE53" s="27">
        <f t="shared" ref="AE53:AE54" si="60">IF($K53="février",$D53,0)</f>
        <v>0</v>
      </c>
      <c r="AF53" s="27">
        <f t="shared" ref="AF53:AF54" si="61">IF($K53="mars",$D53,0)</f>
        <v>0</v>
      </c>
      <c r="AG53" s="27">
        <f t="shared" ref="AG53:AG54" si="62">IF($K53="avril",$D53,0)</f>
        <v>0</v>
      </c>
      <c r="AH53" s="27">
        <f t="shared" ref="AH53:AH54" si="63">IF($K53="mai",$D53,0)</f>
        <v>0</v>
      </c>
      <c r="AI53" s="27">
        <f t="shared" si="51"/>
        <v>0</v>
      </c>
      <c r="AJ53" s="27">
        <f>IF($K53="juillet",$D53,0)</f>
        <v>0</v>
      </c>
      <c r="AK53" s="27">
        <f t="shared" ref="AK53:AK54" si="64">IF($K53="août",$D53,0)</f>
        <v>0</v>
      </c>
      <c r="AL53" s="27">
        <f t="shared" si="52"/>
        <v>0</v>
      </c>
      <c r="AM53" s="27">
        <f t="shared" si="53"/>
        <v>0</v>
      </c>
      <c r="AN53" s="27">
        <f t="shared" si="54"/>
        <v>0</v>
      </c>
      <c r="AO53" s="27">
        <f t="shared" si="55"/>
        <v>0</v>
      </c>
      <c r="AP53" s="37">
        <f>IF($K53="janvier",$E53,0)</f>
        <v>0</v>
      </c>
      <c r="AQ53" s="37">
        <f>IF($K53="février",$E53,0)</f>
        <v>0</v>
      </c>
      <c r="AR53" s="37">
        <f>IF($K53="mars",$E53,0)</f>
        <v>0</v>
      </c>
      <c r="AS53" s="37">
        <f>IF($K53="avril",$E53,0)</f>
        <v>0</v>
      </c>
      <c r="AT53" s="37">
        <f>IF($K53="mai",$E53,0)</f>
        <v>0</v>
      </c>
      <c r="AU53" s="37">
        <f t="shared" ref="AU53:AU54" si="65">IF($K53="juin",$E53,0)</f>
        <v>0</v>
      </c>
      <c r="AV53" s="37">
        <f t="shared" ref="AV53:AV54" si="66">IF($K53="juillet",$E53,0)</f>
        <v>0</v>
      </c>
      <c r="AW53" s="37">
        <f t="shared" ref="AW53:AW54" si="67">IF($K53="août",$CJ53,0)</f>
        <v>0</v>
      </c>
      <c r="AX53" s="37">
        <f t="shared" ref="AX53:AX54" si="68">IF($K53="septembre",$E53,0)</f>
        <v>0</v>
      </c>
      <c r="AY53" s="37">
        <f t="shared" ref="AY53:AY54" si="69">IF($K53="octobre",$E53,0)</f>
        <v>0</v>
      </c>
      <c r="AZ53" s="37">
        <f t="shared" ref="AZ53:AZ54" si="70">IF($K53="novembre",$E53,0)</f>
        <v>0</v>
      </c>
      <c r="BA53" s="37">
        <f t="shared" ref="BA53:BA54" si="71">IF($K53="décembre",$E53,0)</f>
        <v>0</v>
      </c>
    </row>
    <row r="54" spans="1:53" customFormat="1" ht="15.6" customHeight="1" x14ac:dyDescent="0.3">
      <c r="A54" s="71"/>
      <c r="B54" s="88"/>
      <c r="C54" s="88"/>
      <c r="D54" s="89"/>
      <c r="E54" s="89"/>
      <c r="F54" s="89"/>
      <c r="G54" s="72"/>
      <c r="H54" s="74"/>
      <c r="I54" s="74"/>
      <c r="J54" s="85"/>
      <c r="K54" s="84"/>
      <c r="L54" s="76"/>
      <c r="M54" s="76"/>
      <c r="N54" s="76"/>
      <c r="O54" s="76"/>
      <c r="P54" s="76"/>
      <c r="Q54" s="80"/>
      <c r="R54" s="80"/>
      <c r="S54" s="80"/>
      <c r="T54" s="81"/>
      <c r="U54" s="81"/>
      <c r="V54" s="81"/>
      <c r="W54" s="81"/>
      <c r="X54" s="81"/>
      <c r="Y54" s="81"/>
      <c r="Z54" s="81"/>
      <c r="AA54" s="81"/>
      <c r="AB54" s="81"/>
      <c r="AC54" s="26"/>
      <c r="AD54" s="27">
        <f t="shared" si="59"/>
        <v>0</v>
      </c>
      <c r="AE54" s="27">
        <f t="shared" si="60"/>
        <v>0</v>
      </c>
      <c r="AF54" s="27">
        <f t="shared" si="61"/>
        <v>0</v>
      </c>
      <c r="AG54" s="27">
        <f t="shared" si="62"/>
        <v>0</v>
      </c>
      <c r="AH54" s="27">
        <f t="shared" si="63"/>
        <v>0</v>
      </c>
      <c r="AI54" s="27">
        <f t="shared" ref="AI54" si="72">IF($K54="juin",$D54,0)</f>
        <v>0</v>
      </c>
      <c r="AJ54" s="27">
        <f t="shared" ref="AJ54" si="73">IF($K54="juillet",$D54,0)</f>
        <v>0</v>
      </c>
      <c r="AK54" s="27">
        <f t="shared" si="64"/>
        <v>0</v>
      </c>
      <c r="AL54" s="27">
        <f t="shared" ref="AL54" si="74">IF($K54="septembre",$D54,0)</f>
        <v>0</v>
      </c>
      <c r="AM54" s="27">
        <f t="shared" ref="AM54" si="75">IF($K54="octobre",$D54,0)</f>
        <v>0</v>
      </c>
      <c r="AN54" s="27">
        <f t="shared" ref="AN54" si="76">IF($K54="novembre",$D54,0)</f>
        <v>0</v>
      </c>
      <c r="AO54" s="27">
        <f t="shared" ref="AO54" si="77">IF($K54="décembre",$D54,0)</f>
        <v>0</v>
      </c>
      <c r="AP54" s="37">
        <f t="shared" ref="AP54" si="78">IF($K54="janvier",$E54,0)</f>
        <v>0</v>
      </c>
      <c r="AQ54" s="37">
        <f t="shared" ref="AQ54" si="79">IF($K54="février",$E54,0)</f>
        <v>0</v>
      </c>
      <c r="AR54" s="37">
        <f t="shared" ref="AR54" si="80">IF($K54="mars",$E54,0)</f>
        <v>0</v>
      </c>
      <c r="AS54" s="37">
        <f t="shared" ref="AS54" si="81">IF($K54="avril",$E54,0)</f>
        <v>0</v>
      </c>
      <c r="AT54" s="37">
        <f t="shared" ref="AT54" si="82">IF($K54="mai",$E54,0)</f>
        <v>0</v>
      </c>
      <c r="AU54" s="37">
        <f t="shared" si="65"/>
        <v>0</v>
      </c>
      <c r="AV54" s="37">
        <f t="shared" si="66"/>
        <v>0</v>
      </c>
      <c r="AW54" s="37">
        <f t="shared" si="67"/>
        <v>0</v>
      </c>
      <c r="AX54" s="37">
        <f t="shared" si="68"/>
        <v>0</v>
      </c>
      <c r="AY54" s="37">
        <f t="shared" si="69"/>
        <v>0</v>
      </c>
      <c r="AZ54" s="37">
        <f t="shared" si="70"/>
        <v>0</v>
      </c>
      <c r="BA54" s="37">
        <f t="shared" si="71"/>
        <v>0</v>
      </c>
    </row>
    <row r="55" spans="1:53" customFormat="1" x14ac:dyDescent="0.3">
      <c r="B55" s="99" t="s">
        <v>156</v>
      </c>
      <c r="C55" s="99"/>
      <c r="D55" s="100">
        <f>SUM(D6:D54)</f>
        <v>652579.34199999995</v>
      </c>
      <c r="E55" s="100">
        <f>SUM(E6:E54)</f>
        <v>497446.3980000001</v>
      </c>
      <c r="F55" s="100">
        <f>D55-E55</f>
        <v>155132.94399999984</v>
      </c>
      <c r="G55" s="101">
        <f>F55/D55</f>
        <v>0.2377227319586219</v>
      </c>
      <c r="H55" s="56"/>
      <c r="I55" s="56"/>
      <c r="J55" s="29"/>
      <c r="K55" s="29"/>
      <c r="L55" s="29"/>
      <c r="M55" s="29"/>
      <c r="N55" s="29"/>
      <c r="O55" s="29"/>
      <c r="P55" s="29"/>
      <c r="Q55" s="28">
        <f>SUM(Q6:Q54)</f>
        <v>0</v>
      </c>
      <c r="R55" s="28">
        <f>SUM(R6:R54)</f>
        <v>0</v>
      </c>
      <c r="S55" s="28">
        <f>SUM(S6:S54)</f>
        <v>0</v>
      </c>
      <c r="T55" s="30"/>
      <c r="U55" s="30"/>
      <c r="V55" s="31"/>
      <c r="W55" s="30"/>
      <c r="X55" s="30"/>
      <c r="Y55" s="8"/>
      <c r="Z55" s="19"/>
      <c r="AA55" s="30"/>
      <c r="AB55" s="31"/>
      <c r="AD55" s="28">
        <f>SUM(AD6:AD54)</f>
        <v>19124.900000000001</v>
      </c>
      <c r="AE55" s="28">
        <f>SUM(AE6:AE54)</f>
        <v>26832</v>
      </c>
      <c r="AF55" s="28">
        <f>SUM(AF6:AF54)</f>
        <v>0</v>
      </c>
      <c r="AG55" s="28">
        <f>SUM(AG6:AG54)</f>
        <v>1200</v>
      </c>
      <c r="AH55" s="28">
        <f>SUM(AH6:AH54)</f>
        <v>2400</v>
      </c>
      <c r="AI55" s="28"/>
      <c r="AJ55" s="28">
        <f t="shared" ref="AJ55:AT55" si="83">SUM(AJ6:AJ54)</f>
        <v>1200</v>
      </c>
      <c r="AK55" s="28">
        <f t="shared" si="83"/>
        <v>1212.5</v>
      </c>
      <c r="AL55" s="28">
        <f t="shared" si="83"/>
        <v>29800</v>
      </c>
      <c r="AM55" s="28">
        <f t="shared" si="83"/>
        <v>1200</v>
      </c>
      <c r="AN55" s="28">
        <f t="shared" si="83"/>
        <v>11250</v>
      </c>
      <c r="AO55" s="28">
        <f t="shared" si="83"/>
        <v>385494.38</v>
      </c>
      <c r="AP55" s="28">
        <f t="shared" si="83"/>
        <v>6720</v>
      </c>
      <c r="AQ55" s="28">
        <f t="shared" si="83"/>
        <v>19318.12</v>
      </c>
      <c r="AR55" s="28">
        <f t="shared" si="83"/>
        <v>0</v>
      </c>
      <c r="AS55" s="28">
        <f t="shared" si="83"/>
        <v>0</v>
      </c>
      <c r="AT55" s="28">
        <f t="shared" si="83"/>
        <v>3471.9340000000002</v>
      </c>
      <c r="AU55" s="28"/>
      <c r="AV55" s="28">
        <f t="shared" ref="AV55:BA55" si="84">SUM(AV6:AV54)</f>
        <v>0</v>
      </c>
      <c r="AW55" s="28">
        <f t="shared" si="84"/>
        <v>4054.96</v>
      </c>
      <c r="AX55" s="28">
        <f t="shared" si="84"/>
        <v>18381.934000000001</v>
      </c>
      <c r="AY55" s="28">
        <f t="shared" si="84"/>
        <v>3360</v>
      </c>
      <c r="AZ55" s="28">
        <f t="shared" si="84"/>
        <v>4620</v>
      </c>
      <c r="BA55" s="28">
        <f t="shared" si="84"/>
        <v>318163.66000000003</v>
      </c>
    </row>
    <row r="56" spans="1:53" x14ac:dyDescent="0.3">
      <c r="B56" s="99" t="s">
        <v>157</v>
      </c>
      <c r="C56" s="99"/>
      <c r="D56" s="100">
        <f>D55+SUM(D5:D5)</f>
        <v>852579.34199999995</v>
      </c>
      <c r="E56" s="100">
        <f>E55+SUM(E5:E5)</f>
        <v>657446.39800000004</v>
      </c>
      <c r="F56" s="100">
        <f>D56-E56</f>
        <v>195132.9439999999</v>
      </c>
      <c r="G56" s="101">
        <f>F56/D56</f>
        <v>0.2288736477501937</v>
      </c>
      <c r="H56" s="56"/>
      <c r="I56" s="56"/>
    </row>
    <row r="57" spans="1:53" x14ac:dyDescent="0.3">
      <c r="H57" s="56"/>
      <c r="I57" s="56"/>
    </row>
    <row r="58" spans="1:53" x14ac:dyDescent="0.3">
      <c r="B58" s="9"/>
      <c r="C58" s="9"/>
      <c r="H58" s="56"/>
      <c r="I58" s="56"/>
    </row>
    <row r="59" spans="1:53" x14ac:dyDescent="0.3">
      <c r="B59" s="9"/>
      <c r="C59" s="9"/>
      <c r="H59" s="56"/>
      <c r="I59" s="56"/>
    </row>
    <row r="60" spans="1:53" x14ac:dyDescent="0.3">
      <c r="H60" s="56"/>
      <c r="I60" s="56"/>
    </row>
    <row r="61" spans="1:53" x14ac:dyDescent="0.3">
      <c r="H61" s="56"/>
      <c r="I61" s="56"/>
    </row>
    <row r="62" spans="1:53" x14ac:dyDescent="0.3">
      <c r="H62" s="56"/>
      <c r="I62" s="56"/>
    </row>
    <row r="63" spans="1:53" x14ac:dyDescent="0.3">
      <c r="H63" s="56"/>
      <c r="I63" s="56"/>
    </row>
    <row r="64" spans="1:53" x14ac:dyDescent="0.3">
      <c r="H64" s="56"/>
      <c r="I64" s="56"/>
    </row>
    <row r="65" spans="8:9" x14ac:dyDescent="0.3">
      <c r="H65"/>
      <c r="I65"/>
    </row>
    <row r="66" spans="8:9" x14ac:dyDescent="0.3">
      <c r="H66"/>
      <c r="I66"/>
    </row>
    <row r="67" spans="8:9" x14ac:dyDescent="0.3">
      <c r="H67"/>
      <c r="I67"/>
    </row>
    <row r="68" spans="8:9" x14ac:dyDescent="0.3">
      <c r="H68"/>
      <c r="I68"/>
    </row>
    <row r="69" spans="8:9" x14ac:dyDescent="0.3">
      <c r="H69"/>
      <c r="I69"/>
    </row>
    <row r="70" spans="8:9" x14ac:dyDescent="0.3">
      <c r="H70"/>
      <c r="I70"/>
    </row>
    <row r="71" spans="8:9" x14ac:dyDescent="0.3">
      <c r="H71"/>
      <c r="I71"/>
    </row>
    <row r="72" spans="8:9" x14ac:dyDescent="0.3">
      <c r="H72"/>
      <c r="I72"/>
    </row>
    <row r="73" spans="8:9" x14ac:dyDescent="0.3">
      <c r="H73"/>
      <c r="I73"/>
    </row>
    <row r="74" spans="8:9" x14ac:dyDescent="0.3">
      <c r="H74"/>
      <c r="I74"/>
    </row>
    <row r="75" spans="8:9" x14ac:dyDescent="0.3">
      <c r="H75"/>
      <c r="I75"/>
    </row>
    <row r="76" spans="8:9" x14ac:dyDescent="0.3">
      <c r="H76"/>
      <c r="I76"/>
    </row>
    <row r="77" spans="8:9" x14ac:dyDescent="0.3">
      <c r="H77"/>
      <c r="I77"/>
    </row>
    <row r="78" spans="8:9" x14ac:dyDescent="0.3">
      <c r="H78"/>
      <c r="I78"/>
    </row>
    <row r="79" spans="8:9" x14ac:dyDescent="0.3">
      <c r="H79"/>
      <c r="I79"/>
    </row>
    <row r="80" spans="8:9" x14ac:dyDescent="0.3">
      <c r="H80"/>
      <c r="I80"/>
    </row>
    <row r="81" spans="8:9" x14ac:dyDescent="0.3">
      <c r="H81"/>
      <c r="I81"/>
    </row>
    <row r="82" spans="8:9" x14ac:dyDescent="0.3">
      <c r="H82"/>
      <c r="I82"/>
    </row>
    <row r="83" spans="8:9" x14ac:dyDescent="0.3">
      <c r="H83"/>
      <c r="I83"/>
    </row>
    <row r="84" spans="8:9" x14ac:dyDescent="0.3">
      <c r="H84"/>
      <c r="I84"/>
    </row>
    <row r="85" spans="8:9" x14ac:dyDescent="0.3">
      <c r="H85"/>
      <c r="I85"/>
    </row>
    <row r="86" spans="8:9" x14ac:dyDescent="0.3">
      <c r="H86"/>
      <c r="I86"/>
    </row>
    <row r="87" spans="8:9" x14ac:dyDescent="0.3">
      <c r="H87"/>
      <c r="I87"/>
    </row>
    <row r="88" spans="8:9" x14ac:dyDescent="0.3">
      <c r="H88"/>
      <c r="I88"/>
    </row>
    <row r="89" spans="8:9" x14ac:dyDescent="0.3">
      <c r="H89"/>
      <c r="I89"/>
    </row>
    <row r="90" spans="8:9" x14ac:dyDescent="0.3">
      <c r="H90"/>
      <c r="I90"/>
    </row>
    <row r="91" spans="8:9" x14ac:dyDescent="0.3">
      <c r="H91"/>
      <c r="I91"/>
    </row>
  </sheetData>
  <autoFilter ref="B4:AC56" xr:uid="{29710B0A-6754-4FAA-964C-39EED393679D}"/>
  <sortState xmlns:xlrd2="http://schemas.microsoft.com/office/spreadsheetml/2017/richdata2" ref="A6:BA45">
    <sortCondition ref="B6:B45"/>
  </sortState>
  <mergeCells count="6">
    <mergeCell ref="AP3:BA3"/>
    <mergeCell ref="D3:I3"/>
    <mergeCell ref="J3:N3"/>
    <mergeCell ref="O3:P3"/>
    <mergeCell ref="T3:AC3"/>
    <mergeCell ref="AD3:AO3"/>
  </mergeCells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8378-BB77-4B15-A360-69E71612C267}">
  <sheetPr codeName="Feuil3"/>
  <dimension ref="A1:AGV44"/>
  <sheetViews>
    <sheetView topLeftCell="A31" workbookViewId="0">
      <selection activeCell="F51" sqref="F51"/>
    </sheetView>
  </sheetViews>
  <sheetFormatPr baseColWidth="10" defaultColWidth="11.44140625" defaultRowHeight="14.4" x14ac:dyDescent="0.3"/>
  <cols>
    <col min="1" max="1" width="11.44140625" style="18"/>
    <col min="2" max="2" width="50.44140625" customWidth="1"/>
    <col min="3" max="3" width="11.44140625" style="18"/>
    <col min="8" max="8" width="11.44140625" style="7"/>
    <col min="12" max="12" width="57" customWidth="1"/>
    <col min="13" max="13" width="12.44140625" customWidth="1"/>
  </cols>
  <sheetData>
    <row r="1" spans="1:880" s="2" customFormat="1" ht="57" customHeight="1" x14ac:dyDescent="0.3">
      <c r="A1" s="18"/>
      <c r="B1" s="310"/>
      <c r="C1" s="310"/>
      <c r="D1" s="311" t="s">
        <v>158</v>
      </c>
      <c r="E1" s="311"/>
      <c r="F1" s="311"/>
      <c r="G1" s="311"/>
      <c r="H1" s="311"/>
      <c r="I1" s="311"/>
      <c r="J1" s="312"/>
      <c r="K1" s="189"/>
      <c r="L1" s="11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2"/>
      <c r="ET1" s="102"/>
      <c r="EU1" s="102"/>
      <c r="EV1" s="102"/>
      <c r="EW1" s="102"/>
      <c r="EX1" s="102"/>
      <c r="EY1" s="102"/>
      <c r="EZ1" s="102"/>
      <c r="FA1" s="102"/>
      <c r="FB1" s="102"/>
      <c r="FC1" s="102"/>
      <c r="FD1" s="102"/>
      <c r="FE1" s="102"/>
      <c r="FF1" s="102"/>
      <c r="FG1" s="102"/>
      <c r="FH1" s="102"/>
      <c r="FI1" s="102"/>
      <c r="FJ1" s="102"/>
      <c r="FK1" s="102"/>
      <c r="FL1" s="102"/>
      <c r="FM1" s="102"/>
      <c r="FN1" s="102"/>
      <c r="FO1" s="102"/>
      <c r="FP1" s="102"/>
      <c r="FQ1" s="102"/>
      <c r="FR1" s="102"/>
      <c r="FS1" s="102"/>
      <c r="FT1" s="102"/>
      <c r="FU1" s="102"/>
      <c r="FV1" s="102"/>
      <c r="FW1" s="102"/>
      <c r="FX1" s="102"/>
      <c r="FY1" s="102"/>
      <c r="FZ1" s="102"/>
      <c r="GA1" s="102"/>
      <c r="GB1" s="102"/>
      <c r="GC1" s="102"/>
      <c r="GD1" s="102"/>
      <c r="GE1" s="102"/>
      <c r="GF1" s="102"/>
      <c r="GG1" s="102"/>
      <c r="GH1" s="102"/>
      <c r="GI1" s="102"/>
      <c r="GJ1" s="102"/>
      <c r="GK1" s="102"/>
      <c r="GL1" s="102"/>
      <c r="GM1" s="102"/>
      <c r="GN1" s="102"/>
      <c r="GO1" s="102"/>
      <c r="GP1" s="102"/>
      <c r="GQ1" s="102"/>
      <c r="GR1" s="102"/>
      <c r="GS1" s="102"/>
      <c r="GT1" s="102"/>
      <c r="GU1" s="102"/>
      <c r="GV1" s="102"/>
      <c r="GW1" s="102"/>
      <c r="GX1" s="102"/>
      <c r="GY1" s="102"/>
      <c r="GZ1" s="102"/>
      <c r="HA1" s="102"/>
      <c r="HB1" s="102"/>
      <c r="HC1" s="102"/>
      <c r="HD1" s="102"/>
      <c r="HE1" s="102"/>
      <c r="HF1" s="102"/>
      <c r="HG1" s="102"/>
      <c r="HH1" s="102"/>
      <c r="HI1" s="102"/>
      <c r="HJ1" s="102"/>
      <c r="HK1" s="102"/>
      <c r="HL1" s="102"/>
      <c r="HM1" s="102"/>
      <c r="HN1" s="102"/>
      <c r="HO1" s="102"/>
      <c r="HP1" s="102"/>
      <c r="HQ1" s="102"/>
      <c r="HR1" s="102"/>
      <c r="HS1" s="102"/>
      <c r="HT1" s="102"/>
      <c r="HU1" s="102"/>
      <c r="HV1" s="102"/>
      <c r="HW1" s="102"/>
      <c r="HX1" s="102"/>
      <c r="HY1" s="102"/>
      <c r="HZ1" s="102"/>
      <c r="IA1" s="102"/>
      <c r="IB1" s="102"/>
      <c r="IC1" s="102"/>
      <c r="ID1" s="102"/>
      <c r="IE1" s="102"/>
      <c r="IF1" s="102"/>
      <c r="IG1" s="102"/>
      <c r="IH1" s="102"/>
      <c r="II1" s="102"/>
      <c r="IJ1" s="102"/>
      <c r="IK1" s="102"/>
      <c r="IL1" s="102"/>
      <c r="IM1" s="102"/>
      <c r="IN1" s="102"/>
      <c r="IO1" s="102"/>
      <c r="IP1" s="102"/>
      <c r="IQ1" s="102"/>
      <c r="IR1" s="102"/>
      <c r="IS1" s="102"/>
      <c r="IT1" s="102"/>
      <c r="IU1" s="102"/>
      <c r="IV1" s="102"/>
      <c r="IW1" s="102"/>
      <c r="IX1" s="102"/>
      <c r="IY1" s="102"/>
      <c r="IZ1" s="102"/>
      <c r="JA1" s="102"/>
      <c r="JB1" s="102"/>
      <c r="JC1" s="102"/>
      <c r="JD1" s="102"/>
      <c r="JE1" s="102"/>
      <c r="JF1" s="102"/>
      <c r="JG1" s="102"/>
      <c r="JH1" s="102"/>
      <c r="JI1" s="102"/>
      <c r="JJ1" s="102"/>
      <c r="JK1" s="102"/>
      <c r="JL1" s="102"/>
      <c r="JM1" s="102"/>
      <c r="JN1" s="102"/>
      <c r="JO1" s="102"/>
      <c r="JP1" s="102"/>
      <c r="JQ1" s="102"/>
      <c r="JR1" s="102"/>
      <c r="JS1" s="102"/>
      <c r="JT1" s="102"/>
      <c r="JU1" s="102"/>
      <c r="JV1" s="102"/>
      <c r="JW1" s="102"/>
      <c r="JX1" s="102"/>
      <c r="JY1" s="102"/>
      <c r="JZ1" s="102"/>
      <c r="KA1" s="102"/>
      <c r="KB1" s="102"/>
      <c r="KC1" s="102"/>
      <c r="KD1" s="102"/>
      <c r="KE1" s="102"/>
      <c r="KF1" s="102"/>
      <c r="KG1" s="102"/>
      <c r="KH1" s="102"/>
      <c r="KI1" s="102"/>
      <c r="KJ1" s="102"/>
      <c r="KK1" s="102"/>
      <c r="KL1" s="102"/>
      <c r="KM1" s="102"/>
      <c r="KN1" s="102"/>
      <c r="KO1" s="102"/>
      <c r="KP1" s="102"/>
      <c r="KQ1" s="102"/>
      <c r="KR1" s="102"/>
      <c r="KS1" s="102"/>
      <c r="KT1" s="102"/>
      <c r="KU1" s="102"/>
      <c r="KV1" s="102"/>
      <c r="KW1" s="102"/>
      <c r="KX1" s="102"/>
      <c r="KY1" s="102"/>
      <c r="KZ1" s="102"/>
      <c r="LA1" s="102"/>
      <c r="LB1" s="102"/>
      <c r="LC1" s="102"/>
      <c r="LD1" s="102"/>
      <c r="LE1" s="102"/>
      <c r="LF1" s="102"/>
      <c r="LG1" s="102"/>
      <c r="LH1" s="102"/>
      <c r="LI1" s="102"/>
      <c r="LJ1" s="102"/>
      <c r="LK1" s="102"/>
      <c r="LL1" s="102"/>
      <c r="LM1" s="102"/>
      <c r="LN1" s="102"/>
      <c r="LO1" s="102"/>
      <c r="LP1" s="102"/>
      <c r="LQ1" s="102"/>
      <c r="LR1" s="102"/>
      <c r="LS1" s="102"/>
      <c r="LT1" s="102"/>
      <c r="LU1" s="102"/>
      <c r="LV1" s="102"/>
      <c r="LW1" s="102"/>
      <c r="LX1" s="102"/>
      <c r="LY1" s="102"/>
      <c r="LZ1" s="102"/>
      <c r="MA1" s="102"/>
      <c r="MB1" s="102"/>
      <c r="MC1" s="102"/>
      <c r="MD1" s="102"/>
      <c r="ME1" s="102"/>
      <c r="MF1" s="102"/>
      <c r="MG1" s="102"/>
      <c r="MH1" s="102"/>
      <c r="MI1" s="102"/>
      <c r="MJ1" s="102"/>
      <c r="MK1" s="102"/>
      <c r="ML1" s="102"/>
      <c r="MM1" s="102"/>
      <c r="MN1" s="102"/>
      <c r="MO1" s="102"/>
      <c r="MP1" s="102"/>
      <c r="MQ1" s="102"/>
      <c r="MR1" s="102"/>
      <c r="MS1" s="102"/>
      <c r="MT1" s="102"/>
      <c r="MU1" s="102"/>
      <c r="MV1" s="102"/>
      <c r="MW1" s="102"/>
      <c r="MX1" s="102"/>
      <c r="MY1" s="102"/>
      <c r="MZ1" s="102"/>
      <c r="NA1" s="102"/>
      <c r="NB1" s="102"/>
      <c r="NC1" s="102"/>
      <c r="ND1" s="102"/>
      <c r="NE1" s="102"/>
      <c r="NF1" s="102"/>
      <c r="NG1" s="102"/>
      <c r="NH1" s="102"/>
      <c r="NI1" s="102"/>
      <c r="NJ1" s="102"/>
      <c r="NK1" s="102"/>
      <c r="NL1" s="102"/>
      <c r="NM1" s="102"/>
      <c r="NN1" s="102"/>
      <c r="NO1" s="102"/>
      <c r="NP1" s="102"/>
      <c r="NQ1" s="102"/>
      <c r="NR1" s="102"/>
      <c r="NS1" s="102"/>
      <c r="NT1" s="102"/>
      <c r="NU1" s="102"/>
      <c r="NV1" s="102"/>
      <c r="NW1" s="102"/>
      <c r="NX1" s="102"/>
      <c r="NY1" s="102"/>
      <c r="NZ1" s="102"/>
      <c r="OA1" s="102"/>
      <c r="OB1" s="102"/>
      <c r="OC1" s="102"/>
      <c r="OD1" s="102"/>
      <c r="OE1" s="102"/>
      <c r="OF1" s="102"/>
      <c r="OG1" s="102"/>
      <c r="OH1" s="102"/>
      <c r="OI1" s="102"/>
      <c r="OJ1" s="102"/>
      <c r="OK1" s="102"/>
      <c r="OL1" s="102"/>
      <c r="OM1" s="102"/>
      <c r="ON1" s="102"/>
      <c r="OO1" s="102"/>
      <c r="OP1" s="102"/>
      <c r="OQ1" s="102"/>
      <c r="OR1" s="102"/>
      <c r="OS1" s="102"/>
      <c r="OT1" s="102"/>
      <c r="OU1" s="102"/>
      <c r="OV1" s="102"/>
      <c r="OW1" s="102"/>
      <c r="OX1" s="102"/>
      <c r="OY1" s="102"/>
      <c r="OZ1" s="102"/>
      <c r="PA1" s="102"/>
      <c r="PB1" s="102"/>
      <c r="PC1" s="102"/>
      <c r="PD1" s="102"/>
      <c r="PE1" s="102"/>
      <c r="PF1" s="102"/>
      <c r="PG1" s="102"/>
      <c r="PH1" s="102"/>
      <c r="PI1" s="102"/>
      <c r="PJ1" s="102"/>
      <c r="PK1" s="102"/>
      <c r="PL1" s="102"/>
      <c r="PM1" s="102"/>
      <c r="PN1" s="102"/>
      <c r="PO1" s="102"/>
      <c r="PP1" s="102"/>
      <c r="PQ1" s="102"/>
      <c r="PR1" s="102"/>
      <c r="PS1" s="102"/>
      <c r="PT1" s="102"/>
      <c r="PU1" s="102"/>
      <c r="PV1" s="102"/>
      <c r="PW1" s="102"/>
      <c r="PX1" s="102"/>
      <c r="PY1" s="102"/>
      <c r="PZ1" s="102"/>
      <c r="QA1" s="102"/>
      <c r="QB1" s="102"/>
      <c r="QC1" s="102"/>
      <c r="QD1" s="102"/>
      <c r="QE1" s="102"/>
      <c r="QF1" s="102"/>
      <c r="QG1" s="102"/>
      <c r="QH1" s="102"/>
      <c r="QI1" s="102"/>
      <c r="QJ1" s="102"/>
      <c r="QK1" s="102"/>
      <c r="QL1" s="102"/>
      <c r="QM1" s="102"/>
      <c r="QN1" s="102"/>
      <c r="QO1" s="102"/>
      <c r="QP1" s="102"/>
      <c r="QQ1" s="102"/>
      <c r="QR1" s="102"/>
      <c r="QS1" s="102"/>
      <c r="QT1" s="102"/>
      <c r="QU1" s="102"/>
      <c r="QV1" s="102"/>
      <c r="QW1" s="102"/>
      <c r="QX1" s="102"/>
      <c r="QY1" s="102"/>
      <c r="QZ1" s="102"/>
      <c r="RA1" s="102"/>
      <c r="RB1" s="102"/>
      <c r="RC1" s="102"/>
      <c r="RD1" s="102"/>
      <c r="RE1" s="102"/>
      <c r="RF1" s="102"/>
      <c r="RG1" s="102"/>
      <c r="RH1" s="102"/>
      <c r="RI1" s="102"/>
      <c r="RJ1" s="102"/>
      <c r="RK1" s="102"/>
      <c r="RL1" s="102"/>
      <c r="RM1" s="102"/>
      <c r="RN1" s="102"/>
      <c r="RO1" s="102"/>
      <c r="RP1" s="102"/>
      <c r="RQ1" s="102"/>
      <c r="RR1" s="102"/>
      <c r="RS1" s="102"/>
      <c r="RT1" s="102"/>
      <c r="RU1" s="102"/>
      <c r="RV1" s="102"/>
      <c r="RW1" s="102"/>
      <c r="RX1" s="102"/>
      <c r="RY1" s="102"/>
      <c r="RZ1" s="102"/>
      <c r="SA1" s="102"/>
      <c r="SB1" s="102"/>
      <c r="SC1" s="102"/>
      <c r="SD1" s="102"/>
      <c r="SE1" s="102"/>
      <c r="SF1" s="102"/>
      <c r="SG1" s="102"/>
      <c r="SH1" s="102"/>
      <c r="SI1" s="102"/>
      <c r="SJ1" s="102"/>
      <c r="SK1" s="102"/>
      <c r="SL1" s="102"/>
      <c r="SM1" s="102"/>
      <c r="SN1" s="102"/>
      <c r="SO1" s="102"/>
      <c r="SP1" s="102"/>
      <c r="SQ1" s="102"/>
      <c r="SR1" s="102"/>
      <c r="SS1" s="102"/>
      <c r="ST1" s="102"/>
      <c r="SU1" s="102"/>
      <c r="SV1" s="102"/>
      <c r="SW1" s="102"/>
      <c r="SX1" s="102"/>
      <c r="SY1" s="102"/>
      <c r="SZ1" s="102"/>
      <c r="TA1" s="102"/>
      <c r="TB1" s="102"/>
      <c r="TC1" s="102"/>
      <c r="TD1" s="102"/>
      <c r="TE1" s="102"/>
      <c r="TF1" s="102"/>
      <c r="TG1" s="102"/>
      <c r="TH1" s="102"/>
      <c r="TI1" s="102"/>
      <c r="TJ1" s="102"/>
      <c r="TK1" s="102"/>
      <c r="TL1" s="102"/>
      <c r="TM1" s="102"/>
      <c r="TN1" s="102"/>
      <c r="TO1" s="102"/>
      <c r="TP1" s="102"/>
      <c r="TQ1" s="102"/>
      <c r="TR1" s="102"/>
      <c r="TS1" s="102"/>
      <c r="TT1" s="102"/>
      <c r="TU1" s="102"/>
      <c r="TV1" s="102"/>
      <c r="TW1" s="102"/>
      <c r="TX1" s="102"/>
      <c r="TY1" s="102"/>
      <c r="TZ1" s="102"/>
      <c r="UA1" s="102"/>
      <c r="UB1" s="102"/>
      <c r="UC1" s="102"/>
      <c r="UD1" s="102"/>
      <c r="UE1" s="102"/>
      <c r="UF1" s="102"/>
      <c r="UG1" s="102"/>
      <c r="UH1" s="102"/>
      <c r="UI1" s="102"/>
      <c r="UJ1" s="102"/>
      <c r="UK1" s="102"/>
      <c r="UL1" s="102"/>
      <c r="UM1" s="102"/>
      <c r="UN1" s="102"/>
      <c r="UO1" s="102"/>
      <c r="UP1" s="102"/>
      <c r="UQ1" s="102"/>
      <c r="UR1" s="102"/>
      <c r="US1" s="102"/>
      <c r="UT1" s="102"/>
      <c r="UU1" s="102"/>
      <c r="UV1" s="102"/>
      <c r="UW1" s="102"/>
      <c r="UX1" s="102"/>
      <c r="UY1" s="102"/>
      <c r="UZ1" s="102"/>
      <c r="VA1" s="102"/>
      <c r="VB1" s="102"/>
      <c r="VC1" s="102"/>
      <c r="VD1" s="102"/>
      <c r="VE1" s="102"/>
      <c r="VF1" s="102"/>
      <c r="VG1" s="102"/>
      <c r="VH1" s="102"/>
      <c r="VI1" s="102"/>
      <c r="VJ1" s="102"/>
      <c r="VK1" s="102"/>
      <c r="VL1" s="102"/>
      <c r="VM1" s="102"/>
      <c r="VN1" s="102"/>
      <c r="VO1" s="102"/>
      <c r="VP1" s="102"/>
      <c r="VQ1" s="102"/>
      <c r="VR1" s="102"/>
      <c r="VS1" s="102"/>
      <c r="VT1" s="102"/>
      <c r="VU1" s="102"/>
      <c r="VV1" s="102"/>
      <c r="VW1" s="102"/>
      <c r="VX1" s="102"/>
      <c r="VY1" s="102"/>
      <c r="VZ1" s="102"/>
      <c r="WA1" s="102"/>
      <c r="WB1" s="102"/>
      <c r="WC1" s="102"/>
      <c r="WD1" s="102"/>
      <c r="WE1" s="102"/>
      <c r="WF1" s="102"/>
      <c r="WG1" s="102"/>
      <c r="WH1" s="102"/>
      <c r="WI1" s="102"/>
      <c r="WJ1" s="102"/>
      <c r="WK1" s="102"/>
      <c r="WL1" s="102"/>
      <c r="WM1" s="102"/>
      <c r="WN1" s="102"/>
      <c r="WO1" s="102"/>
      <c r="WP1" s="102"/>
      <c r="WQ1" s="102"/>
      <c r="WR1" s="102"/>
      <c r="WS1" s="102"/>
      <c r="WT1" s="102"/>
      <c r="WU1" s="102"/>
      <c r="WV1" s="102"/>
      <c r="WW1" s="102"/>
      <c r="WX1" s="102"/>
      <c r="WY1" s="102"/>
      <c r="WZ1" s="102"/>
      <c r="XA1" s="102"/>
      <c r="XB1" s="102"/>
      <c r="XC1" s="102"/>
      <c r="XD1" s="102"/>
      <c r="XE1" s="102"/>
      <c r="XF1" s="102"/>
      <c r="XG1" s="102"/>
      <c r="XH1" s="102"/>
      <c r="XI1" s="102"/>
      <c r="XJ1" s="102"/>
      <c r="XK1" s="102"/>
      <c r="XL1" s="102"/>
      <c r="XM1" s="102"/>
      <c r="XN1" s="102"/>
      <c r="XO1" s="102"/>
      <c r="XP1" s="102"/>
      <c r="XQ1" s="102"/>
      <c r="XR1" s="102"/>
      <c r="XS1" s="102"/>
      <c r="XT1" s="102"/>
      <c r="XU1" s="102"/>
      <c r="XV1" s="102"/>
      <c r="XW1" s="102"/>
      <c r="XX1" s="102"/>
      <c r="XY1" s="102"/>
      <c r="XZ1" s="102"/>
      <c r="YA1" s="102"/>
      <c r="YB1" s="102"/>
      <c r="YC1" s="102"/>
      <c r="YD1" s="102"/>
      <c r="YE1" s="102"/>
      <c r="YF1" s="102"/>
      <c r="YG1" s="102"/>
      <c r="YH1" s="102"/>
      <c r="YI1" s="102"/>
      <c r="YJ1" s="102"/>
      <c r="YK1" s="102"/>
      <c r="YL1" s="102"/>
      <c r="YM1" s="102"/>
      <c r="YN1" s="102"/>
      <c r="YO1" s="102"/>
      <c r="YP1" s="102"/>
      <c r="YQ1" s="102"/>
      <c r="YR1" s="102"/>
      <c r="YS1" s="102"/>
      <c r="YT1" s="102"/>
      <c r="YU1" s="102"/>
      <c r="YV1" s="102"/>
      <c r="YW1" s="102"/>
      <c r="YX1" s="102"/>
      <c r="YY1" s="102"/>
      <c r="YZ1" s="102"/>
      <c r="ZA1" s="102"/>
      <c r="ZB1" s="102"/>
      <c r="ZC1" s="102"/>
      <c r="ZD1" s="102"/>
      <c r="ZE1" s="102"/>
      <c r="ZF1" s="102"/>
      <c r="ZG1" s="102"/>
      <c r="ZH1" s="102"/>
      <c r="ZI1" s="102"/>
      <c r="ZJ1" s="102"/>
      <c r="ZK1" s="102"/>
      <c r="ZL1" s="102"/>
      <c r="ZM1" s="102"/>
      <c r="ZN1" s="102"/>
      <c r="ZO1" s="102"/>
      <c r="ZP1" s="102"/>
      <c r="ZQ1" s="102"/>
      <c r="ZR1" s="102"/>
      <c r="ZS1" s="102"/>
      <c r="ZT1" s="102"/>
      <c r="ZU1" s="102"/>
      <c r="ZV1" s="102"/>
      <c r="ZW1" s="102"/>
      <c r="ZX1" s="102"/>
      <c r="ZY1" s="102"/>
      <c r="ZZ1" s="102"/>
      <c r="AAA1" s="102"/>
      <c r="AAB1" s="102"/>
      <c r="AAC1" s="102"/>
      <c r="AAD1" s="102"/>
      <c r="AAE1" s="102"/>
      <c r="AAF1" s="102"/>
      <c r="AAG1" s="102"/>
      <c r="AAH1" s="102"/>
      <c r="AAI1" s="102"/>
      <c r="AAJ1" s="102"/>
      <c r="AAK1" s="102"/>
      <c r="AAL1" s="102"/>
      <c r="AAM1" s="102"/>
      <c r="AAN1" s="102"/>
      <c r="AAO1" s="102"/>
      <c r="AAP1" s="102"/>
      <c r="AAQ1" s="102"/>
      <c r="AAR1" s="102"/>
      <c r="AAS1" s="102"/>
      <c r="AAT1" s="102"/>
      <c r="AAU1" s="102"/>
      <c r="AAV1" s="102"/>
      <c r="AAW1" s="102"/>
      <c r="AAX1" s="102"/>
      <c r="AAY1" s="102"/>
      <c r="AAZ1" s="102"/>
      <c r="ABA1" s="102"/>
      <c r="ABB1" s="102"/>
      <c r="ABC1" s="102"/>
      <c r="ABD1" s="102"/>
      <c r="ABE1" s="102"/>
      <c r="ABF1" s="102"/>
      <c r="ABG1" s="102"/>
      <c r="ABH1" s="102"/>
      <c r="ABI1" s="102"/>
      <c r="ABJ1" s="102"/>
      <c r="ABK1" s="102"/>
      <c r="ABL1" s="102"/>
      <c r="ABM1" s="102"/>
      <c r="ABN1" s="102"/>
      <c r="ABO1" s="102"/>
      <c r="ABP1" s="102"/>
      <c r="ABQ1" s="102"/>
      <c r="ABR1" s="102"/>
      <c r="ABS1" s="102"/>
      <c r="ABT1" s="102"/>
      <c r="ABU1" s="102"/>
      <c r="ABV1" s="102"/>
      <c r="ABW1" s="102"/>
      <c r="ABX1" s="102"/>
      <c r="ABY1" s="102"/>
      <c r="ABZ1" s="102"/>
      <c r="ACA1" s="102"/>
      <c r="ACB1" s="102"/>
      <c r="ACC1" s="102"/>
      <c r="ACD1" s="102"/>
      <c r="ACE1" s="102"/>
      <c r="ACF1" s="102"/>
      <c r="ACG1" s="102"/>
      <c r="ACH1" s="102"/>
      <c r="ACI1" s="102"/>
      <c r="ACJ1" s="102"/>
      <c r="ACK1" s="102"/>
      <c r="ACL1" s="102"/>
      <c r="ACM1" s="102"/>
      <c r="ACN1" s="102"/>
      <c r="ACO1" s="102"/>
      <c r="ACP1" s="102"/>
      <c r="ACQ1" s="102"/>
      <c r="ACR1" s="102"/>
      <c r="ACS1" s="102"/>
      <c r="ACT1" s="102"/>
      <c r="ACU1" s="102"/>
      <c r="ACV1" s="102"/>
      <c r="ACW1" s="102"/>
      <c r="ACX1" s="102"/>
      <c r="ACY1" s="102"/>
      <c r="ACZ1" s="102"/>
      <c r="ADA1" s="102"/>
      <c r="ADB1" s="102"/>
      <c r="ADC1" s="102"/>
      <c r="ADD1" s="102"/>
      <c r="ADE1" s="102"/>
      <c r="ADF1" s="102"/>
      <c r="ADG1" s="102"/>
      <c r="ADH1" s="102"/>
      <c r="ADI1" s="102"/>
      <c r="ADJ1" s="102"/>
      <c r="ADK1" s="102"/>
      <c r="ADL1" s="102"/>
      <c r="ADM1" s="102"/>
      <c r="ADN1" s="102"/>
      <c r="ADO1" s="102"/>
      <c r="ADP1" s="102"/>
      <c r="ADQ1" s="102"/>
      <c r="ADR1" s="102"/>
      <c r="ADS1" s="102"/>
      <c r="ADT1" s="102"/>
      <c r="ADU1" s="102"/>
      <c r="ADV1" s="102"/>
      <c r="ADW1" s="102"/>
      <c r="ADX1" s="102"/>
      <c r="ADY1" s="102"/>
      <c r="ADZ1" s="102"/>
      <c r="AEA1" s="102"/>
      <c r="AEB1" s="102"/>
      <c r="AEC1" s="102"/>
      <c r="AED1" s="102"/>
      <c r="AEE1" s="102"/>
      <c r="AEF1" s="102"/>
      <c r="AEG1" s="102"/>
      <c r="AEH1" s="102"/>
      <c r="AEI1" s="102"/>
      <c r="AEJ1" s="102"/>
      <c r="AEK1" s="102"/>
      <c r="AEL1" s="102"/>
      <c r="AEM1" s="102"/>
      <c r="AEN1" s="102"/>
      <c r="AEO1" s="102"/>
      <c r="AEP1" s="102"/>
      <c r="AEQ1" s="102"/>
      <c r="AER1" s="102"/>
      <c r="AES1" s="102"/>
      <c r="AET1" s="102"/>
      <c r="AEU1" s="102"/>
      <c r="AEV1" s="102"/>
      <c r="AEW1" s="102"/>
      <c r="AEX1" s="102"/>
      <c r="AEY1" s="102"/>
      <c r="AEZ1" s="102"/>
      <c r="AFA1" s="102"/>
      <c r="AFB1" s="102"/>
      <c r="AFC1" s="102"/>
      <c r="AFD1" s="102"/>
      <c r="AFE1" s="102"/>
      <c r="AFF1" s="102"/>
      <c r="AFG1" s="102"/>
      <c r="AFH1" s="102"/>
      <c r="AFI1" s="102"/>
      <c r="AFJ1" s="102"/>
      <c r="AFK1" s="102"/>
      <c r="AFL1" s="102"/>
      <c r="AFM1" s="102"/>
      <c r="AFN1" s="102"/>
      <c r="AFO1" s="102"/>
      <c r="AFP1" s="102"/>
      <c r="AFQ1" s="102"/>
      <c r="AFR1" s="102"/>
      <c r="AFS1" s="102"/>
      <c r="AFT1" s="102"/>
      <c r="AFU1" s="102"/>
      <c r="AFV1" s="102"/>
      <c r="AFW1" s="102"/>
      <c r="AFX1" s="102"/>
      <c r="AFY1" s="102"/>
      <c r="AFZ1" s="102"/>
      <c r="AGA1" s="102"/>
      <c r="AGB1" s="102"/>
      <c r="AGC1" s="102"/>
      <c r="AGD1" s="102"/>
      <c r="AGE1" s="102"/>
      <c r="AGF1" s="102"/>
      <c r="AGG1" s="102"/>
      <c r="AGH1" s="102"/>
      <c r="AGI1" s="102"/>
      <c r="AGJ1" s="102"/>
      <c r="AGK1" s="102"/>
      <c r="AGL1" s="102"/>
      <c r="AGM1" s="102"/>
      <c r="AGN1" s="102"/>
      <c r="AGO1" s="102"/>
      <c r="AGP1" s="102"/>
      <c r="AGQ1" s="102"/>
      <c r="AGR1" s="102"/>
      <c r="AGS1" s="102"/>
      <c r="AGT1" s="102"/>
      <c r="AGU1" s="102"/>
      <c r="AGV1" s="102"/>
    </row>
    <row r="2" spans="1:880" s="162" customFormat="1" ht="22.5" customHeight="1" x14ac:dyDescent="0.3">
      <c r="A2" s="313"/>
      <c r="B2" s="313"/>
      <c r="C2" s="313"/>
      <c r="D2" s="314" t="s">
        <v>19</v>
      </c>
      <c r="E2" s="314"/>
      <c r="F2" s="314"/>
      <c r="G2" s="314"/>
      <c r="H2" s="315" t="s">
        <v>20</v>
      </c>
      <c r="I2" s="315"/>
      <c r="J2" s="316"/>
      <c r="K2" s="192"/>
      <c r="L2" s="194"/>
      <c r="M2" s="161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  <c r="CU2" s="217"/>
      <c r="CV2" s="217"/>
      <c r="CW2" s="217"/>
      <c r="CX2" s="217"/>
      <c r="CY2" s="217"/>
      <c r="CZ2" s="217"/>
      <c r="DA2" s="217"/>
      <c r="DB2" s="217"/>
      <c r="DC2" s="217"/>
      <c r="DD2" s="217"/>
      <c r="DE2" s="217"/>
      <c r="DF2" s="217"/>
      <c r="DG2" s="217"/>
      <c r="DH2" s="217"/>
      <c r="DI2" s="217"/>
      <c r="DJ2" s="217"/>
      <c r="DK2" s="217"/>
      <c r="DL2" s="217"/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/>
      <c r="DZ2" s="217"/>
      <c r="EA2" s="217"/>
      <c r="EB2" s="217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17"/>
      <c r="FJ2" s="217"/>
      <c r="FK2" s="217"/>
      <c r="FL2" s="217"/>
      <c r="FM2" s="217"/>
      <c r="FN2" s="217"/>
      <c r="FO2" s="217"/>
      <c r="FP2" s="217"/>
      <c r="FQ2" s="217"/>
      <c r="FR2" s="217"/>
      <c r="FS2" s="217"/>
      <c r="FT2" s="217"/>
      <c r="FU2" s="217"/>
      <c r="FV2" s="217"/>
      <c r="FW2" s="217"/>
      <c r="FX2" s="217"/>
      <c r="FY2" s="217"/>
      <c r="FZ2" s="217"/>
      <c r="GA2" s="217"/>
      <c r="GB2" s="217"/>
      <c r="GC2" s="217"/>
      <c r="GD2" s="217"/>
      <c r="GE2" s="217"/>
      <c r="GF2" s="217"/>
      <c r="GG2" s="217"/>
      <c r="GH2" s="217"/>
      <c r="GI2" s="217"/>
      <c r="GJ2" s="217"/>
      <c r="GK2" s="217"/>
      <c r="GL2" s="217"/>
      <c r="GM2" s="217"/>
      <c r="GN2" s="217"/>
      <c r="GO2" s="217"/>
      <c r="GP2" s="217"/>
      <c r="GQ2" s="217"/>
      <c r="GR2" s="217"/>
      <c r="GS2" s="217"/>
      <c r="GT2" s="217"/>
      <c r="GU2" s="217"/>
      <c r="GV2" s="217"/>
      <c r="GW2" s="217"/>
      <c r="GX2" s="217"/>
      <c r="GY2" s="217"/>
      <c r="GZ2" s="217"/>
      <c r="HA2" s="217"/>
      <c r="HB2" s="217"/>
      <c r="HC2" s="217"/>
      <c r="HD2" s="217"/>
      <c r="HE2" s="217"/>
      <c r="HF2" s="217"/>
      <c r="HG2" s="217"/>
      <c r="HH2" s="217"/>
      <c r="HI2" s="217"/>
      <c r="HJ2" s="217"/>
      <c r="HK2" s="217"/>
      <c r="HL2" s="217"/>
      <c r="HM2" s="217"/>
      <c r="HN2" s="217"/>
      <c r="HO2" s="217"/>
      <c r="HP2" s="217"/>
      <c r="HQ2" s="217"/>
      <c r="HR2" s="217"/>
      <c r="HS2" s="217"/>
      <c r="HT2" s="217"/>
      <c r="HU2" s="217"/>
      <c r="HV2" s="217"/>
      <c r="HW2" s="217"/>
      <c r="HX2" s="217"/>
      <c r="HY2" s="217"/>
      <c r="HZ2" s="217"/>
      <c r="IA2" s="217"/>
      <c r="IB2" s="217"/>
      <c r="IC2" s="217"/>
      <c r="ID2" s="217"/>
      <c r="IE2" s="217"/>
      <c r="IF2" s="217"/>
      <c r="IG2" s="217"/>
      <c r="IH2" s="217"/>
      <c r="II2" s="217"/>
      <c r="IJ2" s="217"/>
      <c r="IK2" s="217"/>
      <c r="IL2" s="217"/>
      <c r="IM2" s="217"/>
      <c r="IN2" s="217"/>
      <c r="IO2" s="217"/>
      <c r="IP2" s="217"/>
      <c r="IQ2" s="217"/>
      <c r="IR2" s="217"/>
      <c r="IS2" s="217"/>
      <c r="IT2" s="217"/>
      <c r="IU2" s="217"/>
      <c r="IV2" s="217"/>
      <c r="IW2" s="217"/>
      <c r="IX2" s="217"/>
      <c r="IY2" s="217"/>
      <c r="IZ2" s="217"/>
      <c r="JA2" s="217"/>
      <c r="JB2" s="217"/>
      <c r="JC2" s="217"/>
      <c r="JD2" s="217"/>
      <c r="JE2" s="217"/>
      <c r="JF2" s="217"/>
      <c r="JG2" s="217"/>
      <c r="JH2" s="217"/>
      <c r="JI2" s="217"/>
      <c r="JJ2" s="217"/>
      <c r="JK2" s="217"/>
      <c r="JL2" s="217"/>
      <c r="JM2" s="217"/>
      <c r="JN2" s="217"/>
      <c r="JO2" s="217"/>
      <c r="JP2" s="217"/>
      <c r="JQ2" s="217"/>
      <c r="JR2" s="217"/>
      <c r="JS2" s="217"/>
      <c r="JT2" s="217"/>
      <c r="JU2" s="217"/>
      <c r="JV2" s="217"/>
      <c r="JW2" s="217"/>
      <c r="JX2" s="217"/>
      <c r="JY2" s="217"/>
      <c r="JZ2" s="217"/>
      <c r="KA2" s="217"/>
      <c r="KB2" s="217"/>
      <c r="KC2" s="217"/>
      <c r="KD2" s="217"/>
      <c r="KE2" s="217"/>
      <c r="KF2" s="217"/>
      <c r="KG2" s="217"/>
      <c r="KH2" s="217"/>
      <c r="KI2" s="217"/>
      <c r="KJ2" s="217"/>
      <c r="KK2" s="217"/>
      <c r="KL2" s="217"/>
      <c r="KM2" s="217"/>
      <c r="KN2" s="217"/>
      <c r="KO2" s="217"/>
      <c r="KP2" s="217"/>
      <c r="KQ2" s="217"/>
      <c r="KR2" s="217"/>
      <c r="KS2" s="217"/>
      <c r="KT2" s="217"/>
      <c r="KU2" s="217"/>
      <c r="KV2" s="217"/>
      <c r="KW2" s="217"/>
      <c r="KX2" s="217"/>
      <c r="KY2" s="217"/>
      <c r="KZ2" s="217"/>
      <c r="LA2" s="217"/>
      <c r="LB2" s="217"/>
      <c r="LC2" s="217"/>
      <c r="LD2" s="217"/>
      <c r="LE2" s="217"/>
      <c r="LF2" s="217"/>
      <c r="LG2" s="217"/>
      <c r="LH2" s="217"/>
      <c r="LI2" s="217"/>
      <c r="LJ2" s="217"/>
      <c r="LK2" s="217"/>
      <c r="LL2" s="217"/>
      <c r="LM2" s="217"/>
      <c r="LN2" s="217"/>
      <c r="LO2" s="217"/>
      <c r="LP2" s="217"/>
      <c r="LQ2" s="217"/>
      <c r="LR2" s="217"/>
      <c r="LS2" s="217"/>
      <c r="LT2" s="217"/>
      <c r="LU2" s="217"/>
      <c r="LV2" s="217"/>
      <c r="LW2" s="217"/>
      <c r="LX2" s="217"/>
      <c r="LY2" s="217"/>
      <c r="LZ2" s="217"/>
      <c r="MA2" s="217"/>
      <c r="MB2" s="217"/>
      <c r="MC2" s="217"/>
      <c r="MD2" s="217"/>
      <c r="ME2" s="217"/>
      <c r="MF2" s="217"/>
      <c r="MG2" s="217"/>
      <c r="MH2" s="217"/>
      <c r="MI2" s="217"/>
      <c r="MJ2" s="217"/>
      <c r="MK2" s="217"/>
      <c r="ML2" s="217"/>
      <c r="MM2" s="217"/>
      <c r="MN2" s="217"/>
      <c r="MO2" s="217"/>
      <c r="MP2" s="217"/>
      <c r="MQ2" s="217"/>
      <c r="MR2" s="217"/>
      <c r="MS2" s="217"/>
      <c r="MT2" s="217"/>
      <c r="MU2" s="217"/>
      <c r="MV2" s="217"/>
      <c r="MW2" s="217"/>
      <c r="MX2" s="217"/>
      <c r="MY2" s="217"/>
      <c r="MZ2" s="217"/>
      <c r="NA2" s="217"/>
      <c r="NB2" s="217"/>
      <c r="NC2" s="217"/>
      <c r="ND2" s="217"/>
      <c r="NE2" s="217"/>
      <c r="NF2" s="217"/>
      <c r="NG2" s="217"/>
      <c r="NH2" s="217"/>
      <c r="NI2" s="217"/>
      <c r="NJ2" s="217"/>
      <c r="NK2" s="217"/>
      <c r="NL2" s="217"/>
      <c r="NM2" s="217"/>
      <c r="NN2" s="217"/>
      <c r="NO2" s="217"/>
      <c r="NP2" s="217"/>
      <c r="NQ2" s="217"/>
      <c r="NR2" s="217"/>
      <c r="NS2" s="217"/>
      <c r="NT2" s="217"/>
      <c r="NU2" s="217"/>
      <c r="NV2" s="217"/>
      <c r="NW2" s="217"/>
      <c r="NX2" s="217"/>
      <c r="NY2" s="217"/>
      <c r="NZ2" s="217"/>
      <c r="OA2" s="217"/>
      <c r="OB2" s="217"/>
      <c r="OC2" s="217"/>
      <c r="OD2" s="217"/>
      <c r="OE2" s="217"/>
      <c r="OF2" s="217"/>
      <c r="OG2" s="217"/>
      <c r="OH2" s="217"/>
      <c r="OI2" s="217"/>
      <c r="OJ2" s="217"/>
      <c r="OK2" s="217"/>
      <c r="OL2" s="217"/>
      <c r="OM2" s="217"/>
      <c r="ON2" s="217"/>
      <c r="OO2" s="217"/>
      <c r="OP2" s="217"/>
      <c r="OQ2" s="217"/>
      <c r="OR2" s="217"/>
      <c r="OS2" s="217"/>
      <c r="OT2" s="217"/>
      <c r="OU2" s="217"/>
      <c r="OV2" s="217"/>
      <c r="OW2" s="217"/>
      <c r="OX2" s="217"/>
      <c r="OY2" s="217"/>
      <c r="OZ2" s="217"/>
      <c r="PA2" s="217"/>
      <c r="PB2" s="217"/>
      <c r="PC2" s="217"/>
      <c r="PD2" s="217"/>
      <c r="PE2" s="217"/>
      <c r="PF2" s="217"/>
      <c r="PG2" s="217"/>
      <c r="PH2" s="217"/>
      <c r="PI2" s="217"/>
      <c r="PJ2" s="217"/>
      <c r="PK2" s="217"/>
      <c r="PL2" s="217"/>
      <c r="PM2" s="217"/>
      <c r="PN2" s="217"/>
      <c r="PO2" s="217"/>
      <c r="PP2" s="217"/>
      <c r="PQ2" s="217"/>
      <c r="PR2" s="217"/>
      <c r="PS2" s="217"/>
      <c r="PT2" s="217"/>
      <c r="PU2" s="217"/>
      <c r="PV2" s="217"/>
      <c r="PW2" s="217"/>
      <c r="PX2" s="217"/>
      <c r="PY2" s="217"/>
      <c r="PZ2" s="217"/>
      <c r="QA2" s="217"/>
      <c r="QB2" s="217"/>
      <c r="QC2" s="217"/>
      <c r="QD2" s="217"/>
      <c r="QE2" s="217"/>
      <c r="QF2" s="217"/>
      <c r="QG2" s="217"/>
      <c r="QH2" s="217"/>
      <c r="QI2" s="217"/>
      <c r="QJ2" s="217"/>
      <c r="QK2" s="217"/>
      <c r="QL2" s="217"/>
      <c r="QM2" s="217"/>
      <c r="QN2" s="217"/>
      <c r="QO2" s="217"/>
      <c r="QP2" s="217"/>
      <c r="QQ2" s="217"/>
      <c r="QR2" s="217"/>
      <c r="QS2" s="217"/>
      <c r="QT2" s="217"/>
      <c r="QU2" s="217"/>
      <c r="QV2" s="217"/>
      <c r="QW2" s="217"/>
      <c r="QX2" s="217"/>
      <c r="QY2" s="217"/>
      <c r="QZ2" s="217"/>
      <c r="RA2" s="217"/>
      <c r="RB2" s="217"/>
      <c r="RC2" s="217"/>
      <c r="RD2" s="217"/>
      <c r="RE2" s="217"/>
      <c r="RF2" s="217"/>
      <c r="RG2" s="217"/>
      <c r="RH2" s="217"/>
      <c r="RI2" s="217"/>
      <c r="RJ2" s="217"/>
      <c r="RK2" s="217"/>
      <c r="RL2" s="217"/>
      <c r="RM2" s="217"/>
      <c r="RN2" s="217"/>
      <c r="RO2" s="217"/>
      <c r="RP2" s="217"/>
      <c r="RQ2" s="217"/>
      <c r="RR2" s="217"/>
      <c r="RS2" s="217"/>
      <c r="RT2" s="217"/>
      <c r="RU2" s="217"/>
      <c r="RV2" s="217"/>
      <c r="RW2" s="217"/>
      <c r="RX2" s="217"/>
      <c r="RY2" s="217"/>
      <c r="RZ2" s="217"/>
      <c r="SA2" s="217"/>
      <c r="SB2" s="217"/>
      <c r="SC2" s="217"/>
      <c r="SD2" s="217"/>
      <c r="SE2" s="217"/>
      <c r="SF2" s="217"/>
      <c r="SG2" s="217"/>
      <c r="SH2" s="217"/>
      <c r="SI2" s="217"/>
      <c r="SJ2" s="217"/>
      <c r="SK2" s="217"/>
      <c r="SL2" s="217"/>
      <c r="SM2" s="217"/>
      <c r="SN2" s="217"/>
      <c r="SO2" s="217"/>
      <c r="SP2" s="217"/>
      <c r="SQ2" s="217"/>
      <c r="SR2" s="217"/>
      <c r="SS2" s="217"/>
      <c r="ST2" s="217"/>
      <c r="SU2" s="217"/>
      <c r="SV2" s="217"/>
      <c r="SW2" s="217"/>
      <c r="SX2" s="217"/>
      <c r="SY2" s="217"/>
      <c r="SZ2" s="217"/>
      <c r="TA2" s="217"/>
      <c r="TB2" s="217"/>
      <c r="TC2" s="217"/>
      <c r="TD2" s="217"/>
      <c r="TE2" s="217"/>
      <c r="TF2" s="217"/>
      <c r="TG2" s="217"/>
      <c r="TH2" s="217"/>
      <c r="TI2" s="217"/>
      <c r="TJ2" s="217"/>
      <c r="TK2" s="217"/>
      <c r="TL2" s="217"/>
      <c r="TM2" s="217"/>
      <c r="TN2" s="217"/>
      <c r="TO2" s="217"/>
      <c r="TP2" s="217"/>
      <c r="TQ2" s="217"/>
      <c r="TR2" s="217"/>
      <c r="TS2" s="217"/>
      <c r="TT2" s="217"/>
      <c r="TU2" s="217"/>
      <c r="TV2" s="217"/>
      <c r="TW2" s="217"/>
      <c r="TX2" s="217"/>
      <c r="TY2" s="217"/>
      <c r="TZ2" s="217"/>
      <c r="UA2" s="217"/>
      <c r="UB2" s="217"/>
      <c r="UC2" s="217"/>
      <c r="UD2" s="217"/>
      <c r="UE2" s="217"/>
      <c r="UF2" s="217"/>
      <c r="UG2" s="217"/>
      <c r="UH2" s="217"/>
      <c r="UI2" s="217"/>
      <c r="UJ2" s="217"/>
      <c r="UK2" s="217"/>
      <c r="UL2" s="217"/>
      <c r="UM2" s="217"/>
      <c r="UN2" s="217"/>
      <c r="UO2" s="217"/>
      <c r="UP2" s="217"/>
      <c r="UQ2" s="217"/>
      <c r="UR2" s="217"/>
      <c r="US2" s="217"/>
      <c r="UT2" s="217"/>
      <c r="UU2" s="217"/>
      <c r="UV2" s="217"/>
      <c r="UW2" s="217"/>
      <c r="UX2" s="217"/>
      <c r="UY2" s="217"/>
      <c r="UZ2" s="217"/>
      <c r="VA2" s="217"/>
      <c r="VB2" s="217"/>
      <c r="VC2" s="217"/>
      <c r="VD2" s="217"/>
      <c r="VE2" s="217"/>
      <c r="VF2" s="217"/>
      <c r="VG2" s="217"/>
      <c r="VH2" s="217"/>
      <c r="VI2" s="217"/>
      <c r="VJ2" s="217"/>
      <c r="VK2" s="217"/>
      <c r="VL2" s="217"/>
      <c r="VM2" s="217"/>
      <c r="VN2" s="217"/>
      <c r="VO2" s="217"/>
      <c r="VP2" s="217"/>
      <c r="VQ2" s="217"/>
      <c r="VR2" s="217"/>
      <c r="VS2" s="217"/>
      <c r="VT2" s="217"/>
      <c r="VU2" s="217"/>
      <c r="VV2" s="217"/>
      <c r="VW2" s="217"/>
      <c r="VX2" s="217"/>
      <c r="VY2" s="217"/>
      <c r="VZ2" s="217"/>
      <c r="WA2" s="217"/>
      <c r="WB2" s="217"/>
      <c r="WC2" s="217"/>
      <c r="WD2" s="217"/>
      <c r="WE2" s="217"/>
      <c r="WF2" s="217"/>
      <c r="WG2" s="217"/>
      <c r="WH2" s="217"/>
      <c r="WI2" s="217"/>
      <c r="WJ2" s="217"/>
      <c r="WK2" s="217"/>
      <c r="WL2" s="217"/>
      <c r="WM2" s="217"/>
      <c r="WN2" s="217"/>
      <c r="WO2" s="217"/>
      <c r="WP2" s="217"/>
      <c r="WQ2" s="217"/>
      <c r="WR2" s="217"/>
      <c r="WS2" s="217"/>
      <c r="WT2" s="217"/>
      <c r="WU2" s="217"/>
      <c r="WV2" s="217"/>
      <c r="WW2" s="217"/>
      <c r="WX2" s="217"/>
      <c r="WY2" s="217"/>
      <c r="WZ2" s="217"/>
      <c r="XA2" s="217"/>
      <c r="XB2" s="217"/>
      <c r="XC2" s="217"/>
      <c r="XD2" s="217"/>
      <c r="XE2" s="217"/>
      <c r="XF2" s="217"/>
      <c r="XG2" s="217"/>
      <c r="XH2" s="217"/>
      <c r="XI2" s="217"/>
      <c r="XJ2" s="217"/>
      <c r="XK2" s="217"/>
      <c r="XL2" s="217"/>
      <c r="XM2" s="217"/>
      <c r="XN2" s="217"/>
      <c r="XO2" s="217"/>
      <c r="XP2" s="217"/>
      <c r="XQ2" s="217"/>
      <c r="XR2" s="217"/>
      <c r="XS2" s="217"/>
      <c r="XT2" s="217"/>
      <c r="XU2" s="217"/>
      <c r="XV2" s="217"/>
      <c r="XW2" s="217"/>
      <c r="XX2" s="217"/>
      <c r="XY2" s="217"/>
      <c r="XZ2" s="217"/>
      <c r="YA2" s="217"/>
      <c r="YB2" s="217"/>
      <c r="YC2" s="217"/>
      <c r="YD2" s="217"/>
      <c r="YE2" s="217"/>
      <c r="YF2" s="217"/>
      <c r="YG2" s="217"/>
      <c r="YH2" s="217"/>
      <c r="YI2" s="217"/>
      <c r="YJ2" s="217"/>
      <c r="YK2" s="217"/>
      <c r="YL2" s="217"/>
      <c r="YM2" s="217"/>
      <c r="YN2" s="217"/>
      <c r="YO2" s="217"/>
      <c r="YP2" s="217"/>
      <c r="YQ2" s="217"/>
      <c r="YR2" s="217"/>
      <c r="YS2" s="217"/>
      <c r="YT2" s="217"/>
      <c r="YU2" s="217"/>
      <c r="YV2" s="217"/>
      <c r="YW2" s="217"/>
      <c r="YX2" s="217"/>
      <c r="YY2" s="217"/>
      <c r="YZ2" s="217"/>
      <c r="ZA2" s="217"/>
      <c r="ZB2" s="217"/>
      <c r="ZC2" s="217"/>
      <c r="ZD2" s="217"/>
      <c r="ZE2" s="217"/>
      <c r="ZF2" s="217"/>
      <c r="ZG2" s="217"/>
      <c r="ZH2" s="217"/>
      <c r="ZI2" s="217"/>
      <c r="ZJ2" s="217"/>
      <c r="ZK2" s="217"/>
      <c r="ZL2" s="217"/>
      <c r="ZM2" s="217"/>
      <c r="ZN2" s="217"/>
      <c r="ZO2" s="217"/>
      <c r="ZP2" s="217"/>
      <c r="ZQ2" s="217"/>
      <c r="ZR2" s="217"/>
      <c r="ZS2" s="217"/>
      <c r="ZT2" s="217"/>
      <c r="ZU2" s="217"/>
      <c r="ZV2" s="217"/>
      <c r="ZW2" s="217"/>
      <c r="ZX2" s="217"/>
      <c r="ZY2" s="217"/>
      <c r="ZZ2" s="217"/>
      <c r="AAA2" s="217"/>
      <c r="AAB2" s="217"/>
      <c r="AAC2" s="217"/>
      <c r="AAD2" s="217"/>
      <c r="AAE2" s="217"/>
      <c r="AAF2" s="217"/>
      <c r="AAG2" s="217"/>
      <c r="AAH2" s="217"/>
      <c r="AAI2" s="217"/>
      <c r="AAJ2" s="217"/>
      <c r="AAK2" s="217"/>
      <c r="AAL2" s="217"/>
      <c r="AAM2" s="217"/>
      <c r="AAN2" s="217"/>
      <c r="AAO2" s="217"/>
      <c r="AAP2" s="217"/>
      <c r="AAQ2" s="217"/>
      <c r="AAR2" s="217"/>
      <c r="AAS2" s="217"/>
      <c r="AAT2" s="217"/>
      <c r="AAU2" s="217"/>
      <c r="AAV2" s="217"/>
      <c r="AAW2" s="217"/>
      <c r="AAX2" s="217"/>
      <c r="AAY2" s="217"/>
      <c r="AAZ2" s="217"/>
      <c r="ABA2" s="217"/>
      <c r="ABB2" s="217"/>
      <c r="ABC2" s="217"/>
      <c r="ABD2" s="217"/>
      <c r="ABE2" s="217"/>
      <c r="ABF2" s="217"/>
      <c r="ABG2" s="217"/>
      <c r="ABH2" s="217"/>
      <c r="ABI2" s="217"/>
      <c r="ABJ2" s="217"/>
      <c r="ABK2" s="217"/>
      <c r="ABL2" s="217"/>
      <c r="ABM2" s="217"/>
      <c r="ABN2" s="217"/>
      <c r="ABO2" s="217"/>
      <c r="ABP2" s="217"/>
      <c r="ABQ2" s="217"/>
      <c r="ABR2" s="217"/>
      <c r="ABS2" s="217"/>
      <c r="ABT2" s="217"/>
      <c r="ABU2" s="217"/>
      <c r="ABV2" s="217"/>
      <c r="ABW2" s="217"/>
      <c r="ABX2" s="217"/>
      <c r="ABY2" s="217"/>
      <c r="ABZ2" s="217"/>
      <c r="ACA2" s="217"/>
      <c r="ACB2" s="217"/>
      <c r="ACC2" s="217"/>
      <c r="ACD2" s="217"/>
      <c r="ACE2" s="217"/>
      <c r="ACF2" s="217"/>
      <c r="ACG2" s="217"/>
      <c r="ACH2" s="217"/>
      <c r="ACI2" s="217"/>
      <c r="ACJ2" s="217"/>
      <c r="ACK2" s="217"/>
      <c r="ACL2" s="217"/>
      <c r="ACM2" s="217"/>
      <c r="ACN2" s="217"/>
      <c r="ACO2" s="217"/>
      <c r="ACP2" s="217"/>
      <c r="ACQ2" s="217"/>
      <c r="ACR2" s="217"/>
      <c r="ACS2" s="217"/>
      <c r="ACT2" s="217"/>
      <c r="ACU2" s="217"/>
      <c r="ACV2" s="217"/>
      <c r="ACW2" s="217"/>
      <c r="ACX2" s="217"/>
      <c r="ACY2" s="217"/>
      <c r="ACZ2" s="217"/>
      <c r="ADA2" s="217"/>
      <c r="ADB2" s="217"/>
      <c r="ADC2" s="217"/>
      <c r="ADD2" s="217"/>
      <c r="ADE2" s="217"/>
      <c r="ADF2" s="217"/>
      <c r="ADG2" s="217"/>
      <c r="ADH2" s="217"/>
      <c r="ADI2" s="217"/>
      <c r="ADJ2" s="217"/>
      <c r="ADK2" s="217"/>
      <c r="ADL2" s="217"/>
      <c r="ADM2" s="217"/>
      <c r="ADN2" s="217"/>
      <c r="ADO2" s="217"/>
      <c r="ADP2" s="217"/>
      <c r="ADQ2" s="217"/>
      <c r="ADR2" s="217"/>
      <c r="ADS2" s="217"/>
      <c r="ADT2" s="217"/>
      <c r="ADU2" s="217"/>
      <c r="ADV2" s="217"/>
      <c r="ADW2" s="217"/>
      <c r="ADX2" s="217"/>
      <c r="ADY2" s="217"/>
      <c r="ADZ2" s="217"/>
      <c r="AEA2" s="217"/>
      <c r="AEB2" s="217"/>
      <c r="AEC2" s="217"/>
      <c r="AED2" s="217"/>
      <c r="AEE2" s="217"/>
      <c r="AEF2" s="217"/>
      <c r="AEG2" s="217"/>
      <c r="AEH2" s="217"/>
      <c r="AEI2" s="217"/>
      <c r="AEJ2" s="217"/>
      <c r="AEK2" s="217"/>
      <c r="AEL2" s="217"/>
      <c r="AEM2" s="217"/>
      <c r="AEN2" s="217"/>
      <c r="AEO2" s="217"/>
      <c r="AEP2" s="217"/>
      <c r="AEQ2" s="217"/>
      <c r="AER2" s="217"/>
      <c r="AES2" s="217"/>
      <c r="AET2" s="217"/>
      <c r="AEU2" s="217"/>
      <c r="AEV2" s="217"/>
      <c r="AEW2" s="217"/>
      <c r="AEX2" s="217"/>
      <c r="AEY2" s="217"/>
      <c r="AEZ2" s="217"/>
      <c r="AFA2" s="217"/>
      <c r="AFB2" s="217"/>
      <c r="AFC2" s="217"/>
      <c r="AFD2" s="217"/>
      <c r="AFE2" s="217"/>
      <c r="AFF2" s="217"/>
      <c r="AFG2" s="217"/>
      <c r="AFH2" s="217"/>
      <c r="AFI2" s="217"/>
      <c r="AFJ2" s="217"/>
      <c r="AFK2" s="217"/>
      <c r="AFL2" s="217"/>
      <c r="AFM2" s="217"/>
      <c r="AFN2" s="217"/>
      <c r="AFO2" s="217"/>
      <c r="AFP2" s="217"/>
      <c r="AFQ2" s="217"/>
      <c r="AFR2" s="217"/>
      <c r="AFS2" s="217"/>
      <c r="AFT2" s="217"/>
      <c r="AFU2" s="217"/>
      <c r="AFV2" s="217"/>
      <c r="AFW2" s="217"/>
      <c r="AFX2" s="217"/>
      <c r="AFY2" s="217"/>
      <c r="AFZ2" s="217"/>
      <c r="AGA2" s="217"/>
      <c r="AGB2" s="217"/>
      <c r="AGC2" s="217"/>
      <c r="AGD2" s="217"/>
      <c r="AGE2" s="217"/>
      <c r="AGF2" s="217"/>
      <c r="AGG2" s="217"/>
      <c r="AGH2" s="217"/>
      <c r="AGI2" s="217"/>
      <c r="AGJ2" s="217"/>
      <c r="AGK2" s="217"/>
      <c r="AGL2" s="217"/>
      <c r="AGM2" s="217"/>
      <c r="AGN2" s="217"/>
      <c r="AGO2" s="217"/>
      <c r="AGP2" s="217"/>
      <c r="AGQ2" s="217"/>
      <c r="AGR2" s="217"/>
      <c r="AGS2" s="217"/>
      <c r="AGT2" s="217"/>
      <c r="AGU2" s="217"/>
      <c r="AGV2" s="218"/>
    </row>
    <row r="3" spans="1:880" s="168" customFormat="1" ht="57.6" customHeight="1" x14ac:dyDescent="0.3">
      <c r="A3" s="163" t="s">
        <v>25</v>
      </c>
      <c r="B3" s="163" t="s">
        <v>26</v>
      </c>
      <c r="C3" s="163" t="s">
        <v>159</v>
      </c>
      <c r="D3" s="164" t="s">
        <v>160</v>
      </c>
      <c r="E3" s="164" t="s">
        <v>161</v>
      </c>
      <c r="F3" s="164" t="s">
        <v>162</v>
      </c>
      <c r="G3" s="164" t="s">
        <v>31</v>
      </c>
      <c r="H3" s="165" t="s">
        <v>34</v>
      </c>
      <c r="I3" s="165" t="s">
        <v>163</v>
      </c>
      <c r="J3" s="179" t="s">
        <v>164</v>
      </c>
      <c r="K3" s="193" t="s">
        <v>165</v>
      </c>
      <c r="L3" s="198" t="s">
        <v>52</v>
      </c>
      <c r="M3" s="166" t="s">
        <v>166</v>
      </c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7"/>
      <c r="EB3" s="207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7"/>
      <c r="FR3" s="207"/>
      <c r="FS3" s="207"/>
      <c r="FT3" s="207"/>
      <c r="FU3" s="207"/>
      <c r="FV3" s="207"/>
      <c r="FW3" s="207"/>
      <c r="FX3" s="207"/>
      <c r="FY3" s="207"/>
      <c r="FZ3" s="207"/>
      <c r="GA3" s="207"/>
      <c r="GB3" s="207"/>
      <c r="GC3" s="207"/>
      <c r="GD3" s="207"/>
      <c r="GE3" s="207"/>
      <c r="GF3" s="207"/>
      <c r="GG3" s="207"/>
      <c r="GH3" s="207"/>
      <c r="GI3" s="207"/>
      <c r="GJ3" s="207"/>
      <c r="GK3" s="207"/>
      <c r="GL3" s="207"/>
      <c r="GM3" s="207"/>
      <c r="GN3" s="207"/>
      <c r="GO3" s="207"/>
      <c r="GP3" s="207"/>
      <c r="GQ3" s="207"/>
      <c r="GR3" s="207"/>
      <c r="GS3" s="207"/>
      <c r="GT3" s="207"/>
      <c r="GU3" s="207"/>
      <c r="GV3" s="207"/>
      <c r="GW3" s="207"/>
      <c r="GX3" s="207"/>
      <c r="GY3" s="207"/>
      <c r="GZ3" s="207"/>
      <c r="HA3" s="207"/>
      <c r="HB3" s="207"/>
      <c r="HC3" s="207"/>
      <c r="HD3" s="207"/>
      <c r="HE3" s="207"/>
      <c r="HF3" s="207"/>
      <c r="HG3" s="207"/>
      <c r="HH3" s="207"/>
      <c r="HI3" s="207"/>
      <c r="HJ3" s="207"/>
      <c r="HK3" s="207"/>
      <c r="HL3" s="207"/>
      <c r="HM3" s="207"/>
      <c r="HN3" s="207"/>
      <c r="HO3" s="207"/>
      <c r="HP3" s="207"/>
      <c r="HQ3" s="207"/>
      <c r="HR3" s="207"/>
      <c r="HS3" s="207"/>
      <c r="HT3" s="207"/>
      <c r="HU3" s="207"/>
      <c r="HV3" s="207"/>
      <c r="HW3" s="207"/>
      <c r="HX3" s="207"/>
      <c r="HY3" s="207"/>
      <c r="HZ3" s="207"/>
      <c r="IA3" s="207"/>
      <c r="IB3" s="207"/>
      <c r="IC3" s="207"/>
      <c r="ID3" s="207"/>
      <c r="IE3" s="207"/>
      <c r="IF3" s="207"/>
      <c r="IG3" s="207"/>
      <c r="IH3" s="207"/>
      <c r="II3" s="207"/>
      <c r="IJ3" s="207"/>
      <c r="IK3" s="207"/>
      <c r="IL3" s="207"/>
      <c r="IM3" s="207"/>
      <c r="IN3" s="207"/>
      <c r="IO3" s="207"/>
      <c r="IP3" s="207"/>
      <c r="IQ3" s="207"/>
      <c r="IR3" s="207"/>
      <c r="IS3" s="207"/>
      <c r="IT3" s="207"/>
      <c r="IU3" s="207"/>
      <c r="IV3" s="207"/>
      <c r="IW3" s="207"/>
      <c r="IX3" s="207"/>
      <c r="IY3" s="207"/>
      <c r="IZ3" s="207"/>
      <c r="JA3" s="207"/>
      <c r="JB3" s="207"/>
      <c r="JC3" s="207"/>
      <c r="JD3" s="207"/>
      <c r="JE3" s="207"/>
      <c r="JF3" s="207"/>
      <c r="JG3" s="207"/>
      <c r="JH3" s="207"/>
      <c r="JI3" s="207"/>
      <c r="JJ3" s="207"/>
      <c r="JK3" s="207"/>
      <c r="JL3" s="207"/>
      <c r="JM3" s="207"/>
      <c r="JN3" s="207"/>
      <c r="JO3" s="207"/>
      <c r="JP3" s="207"/>
      <c r="JQ3" s="207"/>
      <c r="JR3" s="207"/>
      <c r="JS3" s="207"/>
      <c r="JT3" s="207"/>
      <c r="JU3" s="207"/>
      <c r="JV3" s="207"/>
      <c r="JW3" s="207"/>
      <c r="JX3" s="207"/>
      <c r="JY3" s="207"/>
      <c r="JZ3" s="207"/>
      <c r="KA3" s="207"/>
      <c r="KB3" s="207"/>
      <c r="KC3" s="207"/>
      <c r="KD3" s="207"/>
      <c r="KE3" s="207"/>
      <c r="KF3" s="207"/>
      <c r="KG3" s="207"/>
      <c r="KH3" s="207"/>
      <c r="KI3" s="207"/>
      <c r="KJ3" s="207"/>
      <c r="KK3" s="207"/>
      <c r="KL3" s="207"/>
      <c r="KM3" s="207"/>
      <c r="KN3" s="207"/>
      <c r="KO3" s="207"/>
      <c r="KP3" s="207"/>
      <c r="KQ3" s="207"/>
      <c r="KR3" s="207"/>
      <c r="KS3" s="207"/>
      <c r="KT3" s="207"/>
      <c r="KU3" s="207"/>
      <c r="KV3" s="207"/>
      <c r="KW3" s="207"/>
      <c r="KX3" s="207"/>
      <c r="KY3" s="207"/>
      <c r="KZ3" s="207"/>
      <c r="LA3" s="207"/>
      <c r="LB3" s="207"/>
      <c r="LC3" s="207"/>
      <c r="LD3" s="207"/>
      <c r="LE3" s="207"/>
      <c r="LF3" s="207"/>
      <c r="LG3" s="207"/>
      <c r="LH3" s="207"/>
      <c r="LI3" s="207"/>
      <c r="LJ3" s="207"/>
      <c r="LK3" s="207"/>
      <c r="LL3" s="207"/>
      <c r="LM3" s="207"/>
      <c r="LN3" s="207"/>
      <c r="LO3" s="207"/>
      <c r="LP3" s="207"/>
      <c r="LQ3" s="207"/>
      <c r="LR3" s="207"/>
      <c r="LS3" s="207"/>
      <c r="LT3" s="207"/>
      <c r="LU3" s="207"/>
      <c r="LV3" s="207"/>
      <c r="LW3" s="207"/>
      <c r="LX3" s="207"/>
      <c r="LY3" s="207"/>
      <c r="LZ3" s="207"/>
      <c r="MA3" s="207"/>
      <c r="MB3" s="207"/>
      <c r="MC3" s="207"/>
      <c r="MD3" s="207"/>
      <c r="ME3" s="207"/>
      <c r="MF3" s="207"/>
      <c r="MG3" s="207"/>
      <c r="MH3" s="207"/>
      <c r="MI3" s="207"/>
      <c r="MJ3" s="207"/>
      <c r="MK3" s="207"/>
      <c r="ML3" s="207"/>
      <c r="MM3" s="207"/>
      <c r="MN3" s="207"/>
      <c r="MO3" s="207"/>
      <c r="MP3" s="207"/>
      <c r="MQ3" s="207"/>
      <c r="MR3" s="207"/>
      <c r="MS3" s="207"/>
      <c r="MT3" s="207"/>
      <c r="MU3" s="207"/>
      <c r="MV3" s="207"/>
      <c r="MW3" s="207"/>
      <c r="MX3" s="207"/>
      <c r="MY3" s="207"/>
      <c r="MZ3" s="207"/>
      <c r="NA3" s="207"/>
      <c r="NB3" s="207"/>
      <c r="NC3" s="207"/>
      <c r="ND3" s="207"/>
      <c r="NE3" s="207"/>
      <c r="NF3" s="207"/>
      <c r="NG3" s="207"/>
      <c r="NH3" s="207"/>
      <c r="NI3" s="207"/>
      <c r="NJ3" s="207"/>
      <c r="NK3" s="207"/>
      <c r="NL3" s="207"/>
      <c r="NM3" s="207"/>
      <c r="NN3" s="207"/>
      <c r="NO3" s="207"/>
      <c r="NP3" s="207"/>
      <c r="NQ3" s="207"/>
      <c r="NR3" s="207"/>
      <c r="NS3" s="207"/>
      <c r="NT3" s="207"/>
      <c r="NU3" s="207"/>
      <c r="NV3" s="207"/>
      <c r="NW3" s="207"/>
      <c r="NX3" s="207"/>
      <c r="NY3" s="207"/>
      <c r="NZ3" s="207"/>
      <c r="OA3" s="207"/>
      <c r="OB3" s="207"/>
      <c r="OC3" s="207"/>
      <c r="OD3" s="207"/>
      <c r="OE3" s="207"/>
      <c r="OF3" s="207"/>
      <c r="OG3" s="207"/>
      <c r="OH3" s="207"/>
      <c r="OI3" s="207"/>
      <c r="OJ3" s="207"/>
      <c r="OK3" s="207"/>
      <c r="OL3" s="207"/>
      <c r="OM3" s="207"/>
      <c r="ON3" s="207"/>
      <c r="OO3" s="207"/>
      <c r="OP3" s="207"/>
      <c r="OQ3" s="207"/>
      <c r="OR3" s="207"/>
      <c r="OS3" s="207"/>
      <c r="OT3" s="207"/>
      <c r="OU3" s="207"/>
      <c r="OV3" s="207"/>
      <c r="OW3" s="207"/>
      <c r="OX3" s="207"/>
      <c r="OY3" s="207"/>
      <c r="OZ3" s="207"/>
      <c r="PA3" s="207"/>
      <c r="PB3" s="207"/>
      <c r="PC3" s="207"/>
      <c r="PD3" s="207"/>
      <c r="PE3" s="207"/>
      <c r="PF3" s="207"/>
      <c r="PG3" s="207"/>
      <c r="PH3" s="207"/>
      <c r="PI3" s="207"/>
      <c r="PJ3" s="207"/>
      <c r="PK3" s="207"/>
      <c r="PL3" s="207"/>
      <c r="PM3" s="207"/>
      <c r="PN3" s="207"/>
      <c r="PO3" s="207"/>
      <c r="PP3" s="207"/>
      <c r="PQ3" s="207"/>
      <c r="PR3" s="207"/>
      <c r="PS3" s="207"/>
      <c r="PT3" s="207"/>
      <c r="PU3" s="207"/>
      <c r="PV3" s="207"/>
      <c r="PW3" s="207"/>
      <c r="PX3" s="207"/>
      <c r="PY3" s="207"/>
      <c r="PZ3" s="207"/>
      <c r="QA3" s="207"/>
      <c r="QB3" s="207"/>
      <c r="QC3" s="207"/>
      <c r="QD3" s="207"/>
      <c r="QE3" s="207"/>
      <c r="QF3" s="207"/>
      <c r="QG3" s="207"/>
      <c r="QH3" s="207"/>
      <c r="QI3" s="207"/>
      <c r="QJ3" s="207"/>
      <c r="QK3" s="207"/>
      <c r="QL3" s="207"/>
      <c r="QM3" s="207"/>
      <c r="QN3" s="207"/>
      <c r="QO3" s="207"/>
      <c r="QP3" s="207"/>
      <c r="QQ3" s="207"/>
      <c r="QR3" s="207"/>
      <c r="QS3" s="207"/>
      <c r="QT3" s="207"/>
      <c r="QU3" s="207"/>
      <c r="QV3" s="207"/>
      <c r="QW3" s="207"/>
      <c r="QX3" s="207"/>
      <c r="QY3" s="207"/>
      <c r="QZ3" s="207"/>
      <c r="RA3" s="207"/>
      <c r="RB3" s="207"/>
      <c r="RC3" s="207"/>
      <c r="RD3" s="207"/>
      <c r="RE3" s="207"/>
      <c r="RF3" s="207"/>
      <c r="RG3" s="207"/>
      <c r="RH3" s="207"/>
      <c r="RI3" s="207"/>
      <c r="RJ3" s="207"/>
      <c r="RK3" s="207"/>
      <c r="RL3" s="207"/>
      <c r="RM3" s="207"/>
      <c r="RN3" s="207"/>
      <c r="RO3" s="207"/>
      <c r="RP3" s="207"/>
      <c r="RQ3" s="207"/>
      <c r="RR3" s="207"/>
      <c r="RS3" s="207"/>
      <c r="RT3" s="207"/>
      <c r="RU3" s="207"/>
      <c r="RV3" s="207"/>
      <c r="RW3" s="207"/>
      <c r="RX3" s="207"/>
      <c r="RY3" s="207"/>
      <c r="RZ3" s="207"/>
      <c r="SA3" s="207"/>
      <c r="SB3" s="207"/>
      <c r="SC3" s="207"/>
      <c r="SD3" s="207"/>
      <c r="SE3" s="207"/>
      <c r="SF3" s="207"/>
      <c r="SG3" s="207"/>
      <c r="SH3" s="207"/>
      <c r="SI3" s="207"/>
      <c r="SJ3" s="207"/>
      <c r="SK3" s="207"/>
      <c r="SL3" s="207"/>
      <c r="SM3" s="207"/>
      <c r="SN3" s="207"/>
      <c r="SO3" s="207"/>
      <c r="SP3" s="207"/>
      <c r="SQ3" s="207"/>
      <c r="SR3" s="207"/>
      <c r="SS3" s="207"/>
      <c r="ST3" s="207"/>
      <c r="SU3" s="207"/>
      <c r="SV3" s="207"/>
      <c r="SW3" s="207"/>
      <c r="SX3" s="207"/>
      <c r="SY3" s="207"/>
      <c r="SZ3" s="207"/>
      <c r="TA3" s="207"/>
      <c r="TB3" s="207"/>
      <c r="TC3" s="207"/>
      <c r="TD3" s="207"/>
      <c r="TE3" s="207"/>
      <c r="TF3" s="207"/>
      <c r="TG3" s="207"/>
      <c r="TH3" s="207"/>
      <c r="TI3" s="207"/>
      <c r="TJ3" s="207"/>
      <c r="TK3" s="207"/>
      <c r="TL3" s="207"/>
      <c r="TM3" s="207"/>
      <c r="TN3" s="207"/>
      <c r="TO3" s="207"/>
      <c r="TP3" s="207"/>
      <c r="TQ3" s="207"/>
      <c r="TR3" s="207"/>
      <c r="TS3" s="207"/>
      <c r="TT3" s="207"/>
      <c r="TU3" s="207"/>
      <c r="TV3" s="207"/>
      <c r="TW3" s="207"/>
      <c r="TX3" s="207"/>
      <c r="TY3" s="207"/>
      <c r="TZ3" s="207"/>
      <c r="UA3" s="207"/>
      <c r="UB3" s="207"/>
      <c r="UC3" s="207"/>
      <c r="UD3" s="207"/>
      <c r="UE3" s="207"/>
      <c r="UF3" s="207"/>
      <c r="UG3" s="207"/>
      <c r="UH3" s="207"/>
      <c r="UI3" s="207"/>
      <c r="UJ3" s="207"/>
      <c r="UK3" s="207"/>
      <c r="UL3" s="207"/>
      <c r="UM3" s="207"/>
      <c r="UN3" s="207"/>
      <c r="UO3" s="207"/>
      <c r="UP3" s="207"/>
      <c r="UQ3" s="207"/>
      <c r="UR3" s="207"/>
      <c r="US3" s="207"/>
      <c r="UT3" s="207"/>
      <c r="UU3" s="207"/>
      <c r="UV3" s="207"/>
      <c r="UW3" s="207"/>
      <c r="UX3" s="207"/>
      <c r="UY3" s="207"/>
      <c r="UZ3" s="207"/>
      <c r="VA3" s="207"/>
      <c r="VB3" s="207"/>
      <c r="VC3" s="207"/>
      <c r="VD3" s="207"/>
      <c r="VE3" s="207"/>
      <c r="VF3" s="207"/>
      <c r="VG3" s="207"/>
      <c r="VH3" s="207"/>
      <c r="VI3" s="207"/>
      <c r="VJ3" s="207"/>
      <c r="VK3" s="207"/>
      <c r="VL3" s="207"/>
      <c r="VM3" s="207"/>
      <c r="VN3" s="207"/>
      <c r="VO3" s="207"/>
      <c r="VP3" s="207"/>
      <c r="VQ3" s="207"/>
      <c r="VR3" s="207"/>
      <c r="VS3" s="207"/>
      <c r="VT3" s="207"/>
      <c r="VU3" s="207"/>
      <c r="VV3" s="207"/>
      <c r="VW3" s="207"/>
      <c r="VX3" s="207"/>
      <c r="VY3" s="207"/>
      <c r="VZ3" s="207"/>
      <c r="WA3" s="207"/>
      <c r="WB3" s="207"/>
      <c r="WC3" s="207"/>
      <c r="WD3" s="207"/>
      <c r="WE3" s="207"/>
      <c r="WF3" s="207"/>
      <c r="WG3" s="207"/>
      <c r="WH3" s="207"/>
      <c r="WI3" s="207"/>
      <c r="WJ3" s="207"/>
      <c r="WK3" s="207"/>
      <c r="WL3" s="207"/>
      <c r="WM3" s="207"/>
      <c r="WN3" s="207"/>
      <c r="WO3" s="207"/>
      <c r="WP3" s="207"/>
      <c r="WQ3" s="207"/>
      <c r="WR3" s="207"/>
      <c r="WS3" s="207"/>
      <c r="WT3" s="207"/>
      <c r="WU3" s="207"/>
      <c r="WV3" s="207"/>
      <c r="WW3" s="207"/>
      <c r="WX3" s="207"/>
      <c r="WY3" s="207"/>
      <c r="WZ3" s="207"/>
      <c r="XA3" s="207"/>
      <c r="XB3" s="207"/>
      <c r="XC3" s="207"/>
      <c r="XD3" s="207"/>
      <c r="XE3" s="207"/>
      <c r="XF3" s="207"/>
      <c r="XG3" s="207"/>
      <c r="XH3" s="207"/>
      <c r="XI3" s="207"/>
      <c r="XJ3" s="207"/>
      <c r="XK3" s="207"/>
      <c r="XL3" s="207"/>
      <c r="XM3" s="207"/>
      <c r="XN3" s="207"/>
      <c r="XO3" s="207"/>
      <c r="XP3" s="207"/>
      <c r="XQ3" s="207"/>
      <c r="XR3" s="207"/>
      <c r="XS3" s="207"/>
      <c r="XT3" s="207"/>
      <c r="XU3" s="207"/>
      <c r="XV3" s="207"/>
      <c r="XW3" s="207"/>
      <c r="XX3" s="207"/>
      <c r="XY3" s="207"/>
      <c r="XZ3" s="207"/>
      <c r="YA3" s="207"/>
      <c r="YB3" s="207"/>
      <c r="YC3" s="207"/>
      <c r="YD3" s="207"/>
      <c r="YE3" s="207"/>
      <c r="YF3" s="207"/>
      <c r="YG3" s="207"/>
      <c r="YH3" s="207"/>
      <c r="YI3" s="207"/>
      <c r="YJ3" s="207"/>
      <c r="YK3" s="207"/>
      <c r="YL3" s="207"/>
      <c r="YM3" s="207"/>
      <c r="YN3" s="207"/>
      <c r="YO3" s="207"/>
      <c r="YP3" s="207"/>
      <c r="YQ3" s="207"/>
      <c r="YR3" s="207"/>
      <c r="YS3" s="207"/>
      <c r="YT3" s="207"/>
      <c r="YU3" s="207"/>
      <c r="YV3" s="207"/>
      <c r="YW3" s="207"/>
      <c r="YX3" s="207"/>
      <c r="YY3" s="207"/>
      <c r="YZ3" s="207"/>
      <c r="ZA3" s="207"/>
      <c r="ZB3" s="207"/>
      <c r="ZC3" s="207"/>
      <c r="ZD3" s="207"/>
      <c r="ZE3" s="207"/>
      <c r="ZF3" s="207"/>
      <c r="ZG3" s="207"/>
      <c r="ZH3" s="207"/>
      <c r="ZI3" s="207"/>
      <c r="ZJ3" s="207"/>
      <c r="ZK3" s="207"/>
      <c r="ZL3" s="207"/>
      <c r="ZM3" s="207"/>
      <c r="ZN3" s="207"/>
      <c r="ZO3" s="207"/>
      <c r="ZP3" s="207"/>
      <c r="ZQ3" s="207"/>
      <c r="ZR3" s="207"/>
      <c r="ZS3" s="207"/>
      <c r="ZT3" s="207"/>
      <c r="ZU3" s="207"/>
      <c r="ZV3" s="207"/>
      <c r="ZW3" s="207"/>
      <c r="ZX3" s="207"/>
      <c r="ZY3" s="207"/>
      <c r="ZZ3" s="207"/>
      <c r="AAA3" s="207"/>
      <c r="AAB3" s="207"/>
      <c r="AAC3" s="207"/>
      <c r="AAD3" s="207"/>
      <c r="AAE3" s="207"/>
      <c r="AAF3" s="207"/>
      <c r="AAG3" s="207"/>
      <c r="AAH3" s="207"/>
      <c r="AAI3" s="207"/>
      <c r="AAJ3" s="207"/>
      <c r="AAK3" s="207"/>
      <c r="AAL3" s="207"/>
      <c r="AAM3" s="207"/>
      <c r="AAN3" s="207"/>
      <c r="AAO3" s="207"/>
      <c r="AAP3" s="207"/>
      <c r="AAQ3" s="207"/>
      <c r="AAR3" s="207"/>
      <c r="AAS3" s="207"/>
      <c r="AAT3" s="207"/>
      <c r="AAU3" s="207"/>
      <c r="AAV3" s="207"/>
      <c r="AAW3" s="207"/>
      <c r="AAX3" s="207"/>
      <c r="AAY3" s="207"/>
      <c r="AAZ3" s="207"/>
      <c r="ABA3" s="207"/>
      <c r="ABB3" s="207"/>
      <c r="ABC3" s="207"/>
      <c r="ABD3" s="207"/>
      <c r="ABE3" s="207"/>
      <c r="ABF3" s="207"/>
      <c r="ABG3" s="207"/>
      <c r="ABH3" s="207"/>
      <c r="ABI3" s="207"/>
      <c r="ABJ3" s="207"/>
      <c r="ABK3" s="207"/>
      <c r="ABL3" s="207"/>
      <c r="ABM3" s="207"/>
      <c r="ABN3" s="207"/>
      <c r="ABO3" s="207"/>
      <c r="ABP3" s="207"/>
      <c r="ABQ3" s="207"/>
      <c r="ABR3" s="207"/>
      <c r="ABS3" s="207"/>
      <c r="ABT3" s="207"/>
      <c r="ABU3" s="207"/>
      <c r="ABV3" s="207"/>
      <c r="ABW3" s="207"/>
      <c r="ABX3" s="207"/>
      <c r="ABY3" s="207"/>
      <c r="ABZ3" s="207"/>
      <c r="ACA3" s="207"/>
      <c r="ACB3" s="207"/>
      <c r="ACC3" s="207"/>
      <c r="ACD3" s="207"/>
      <c r="ACE3" s="207"/>
      <c r="ACF3" s="207"/>
      <c r="ACG3" s="207"/>
      <c r="ACH3" s="207"/>
      <c r="ACI3" s="207"/>
      <c r="ACJ3" s="207"/>
      <c r="ACK3" s="207"/>
      <c r="ACL3" s="207"/>
      <c r="ACM3" s="207"/>
      <c r="ACN3" s="207"/>
      <c r="ACO3" s="207"/>
      <c r="ACP3" s="207"/>
      <c r="ACQ3" s="207"/>
      <c r="ACR3" s="207"/>
      <c r="ACS3" s="207"/>
      <c r="ACT3" s="207"/>
      <c r="ACU3" s="207"/>
      <c r="ACV3" s="207"/>
      <c r="ACW3" s="207"/>
      <c r="ACX3" s="207"/>
      <c r="ACY3" s="207"/>
      <c r="ACZ3" s="207"/>
      <c r="ADA3" s="207"/>
      <c r="ADB3" s="207"/>
      <c r="ADC3" s="207"/>
      <c r="ADD3" s="207"/>
      <c r="ADE3" s="207"/>
      <c r="ADF3" s="207"/>
      <c r="ADG3" s="207"/>
      <c r="ADH3" s="207"/>
      <c r="ADI3" s="207"/>
      <c r="ADJ3" s="207"/>
      <c r="ADK3" s="207"/>
      <c r="ADL3" s="207"/>
      <c r="ADM3" s="207"/>
      <c r="ADN3" s="207"/>
      <c r="ADO3" s="207"/>
      <c r="ADP3" s="207"/>
      <c r="ADQ3" s="207"/>
      <c r="ADR3" s="207"/>
      <c r="ADS3" s="207"/>
      <c r="ADT3" s="207"/>
      <c r="ADU3" s="207"/>
      <c r="ADV3" s="207"/>
      <c r="ADW3" s="207"/>
      <c r="ADX3" s="207"/>
      <c r="ADY3" s="207"/>
      <c r="ADZ3" s="207"/>
      <c r="AEA3" s="207"/>
      <c r="AEB3" s="207"/>
      <c r="AEC3" s="207"/>
      <c r="AED3" s="207"/>
      <c r="AEE3" s="207"/>
      <c r="AEF3" s="207"/>
      <c r="AEG3" s="207"/>
      <c r="AEH3" s="207"/>
      <c r="AEI3" s="207"/>
      <c r="AEJ3" s="207"/>
      <c r="AEK3" s="207"/>
      <c r="AEL3" s="207"/>
      <c r="AEM3" s="207"/>
      <c r="AEN3" s="207"/>
      <c r="AEO3" s="207"/>
      <c r="AEP3" s="207"/>
      <c r="AEQ3" s="207"/>
      <c r="AER3" s="207"/>
      <c r="AES3" s="207"/>
      <c r="AET3" s="207"/>
      <c r="AEU3" s="207"/>
      <c r="AEV3" s="207"/>
      <c r="AEW3" s="207"/>
      <c r="AEX3" s="207"/>
      <c r="AEY3" s="207"/>
      <c r="AEZ3" s="207"/>
      <c r="AFA3" s="207"/>
      <c r="AFB3" s="207"/>
      <c r="AFC3" s="207"/>
      <c r="AFD3" s="207"/>
      <c r="AFE3" s="207"/>
      <c r="AFF3" s="207"/>
      <c r="AFG3" s="207"/>
      <c r="AFH3" s="207"/>
      <c r="AFI3" s="207"/>
      <c r="AFJ3" s="207"/>
      <c r="AFK3" s="207"/>
      <c r="AFL3" s="207"/>
      <c r="AFM3" s="207"/>
      <c r="AFN3" s="207"/>
      <c r="AFO3" s="207"/>
      <c r="AFP3" s="207"/>
      <c r="AFQ3" s="207"/>
      <c r="AFR3" s="207"/>
      <c r="AFS3" s="207"/>
      <c r="AFT3" s="207"/>
      <c r="AFU3" s="207"/>
      <c r="AFV3" s="207"/>
      <c r="AFW3" s="207"/>
      <c r="AFX3" s="207"/>
      <c r="AFY3" s="207"/>
      <c r="AFZ3" s="207"/>
      <c r="AGA3" s="207"/>
      <c r="AGB3" s="207"/>
      <c r="AGC3" s="207"/>
      <c r="AGD3" s="207"/>
      <c r="AGE3" s="207"/>
      <c r="AGF3" s="207"/>
      <c r="AGG3" s="207"/>
      <c r="AGH3" s="207"/>
      <c r="AGI3" s="207"/>
      <c r="AGJ3" s="207"/>
      <c r="AGK3" s="207"/>
      <c r="AGL3" s="207"/>
      <c r="AGM3" s="207"/>
      <c r="AGN3" s="207"/>
      <c r="AGO3" s="207"/>
      <c r="AGP3" s="207"/>
      <c r="AGQ3" s="207"/>
      <c r="AGR3" s="207"/>
      <c r="AGS3" s="207"/>
      <c r="AGT3" s="207"/>
      <c r="AGU3" s="207"/>
      <c r="AGV3" s="205"/>
    </row>
    <row r="4" spans="1:880" ht="15.6" x14ac:dyDescent="0.3">
      <c r="A4" s="82" t="s">
        <v>111</v>
      </c>
      <c r="B4" s="88" t="s">
        <v>167</v>
      </c>
      <c r="C4" s="148">
        <v>1090424</v>
      </c>
      <c r="D4" s="182"/>
      <c r="E4" s="113"/>
      <c r="F4" s="59">
        <f>D4-E4</f>
        <v>0</v>
      </c>
      <c r="G4" s="60"/>
      <c r="H4" s="191"/>
      <c r="I4" s="65" t="s">
        <v>168</v>
      </c>
      <c r="J4" s="65"/>
      <c r="K4" s="195"/>
      <c r="L4" s="199"/>
      <c r="M4" s="150"/>
    </row>
    <row r="5" spans="1:880" ht="15.6" x14ac:dyDescent="0.3">
      <c r="A5" s="82" t="s">
        <v>66</v>
      </c>
      <c r="B5" s="88" t="s">
        <v>169</v>
      </c>
      <c r="C5" s="148">
        <v>928805</v>
      </c>
      <c r="D5" s="131">
        <v>27993</v>
      </c>
      <c r="E5" s="142">
        <v>17586</v>
      </c>
      <c r="F5" s="59">
        <f>D5-E5</f>
        <v>10407</v>
      </c>
      <c r="G5" s="60">
        <f>F5/D5</f>
        <v>0.37177151430714822</v>
      </c>
      <c r="H5" s="191">
        <v>44926</v>
      </c>
      <c r="I5" s="76" t="s">
        <v>170</v>
      </c>
      <c r="J5" s="65" t="s">
        <v>171</v>
      </c>
      <c r="K5" s="195">
        <v>2022</v>
      </c>
      <c r="L5" s="200"/>
      <c r="M5" s="150"/>
    </row>
    <row r="6" spans="1:880" ht="15.6" x14ac:dyDescent="0.3">
      <c r="A6" s="82" t="s">
        <v>66</v>
      </c>
      <c r="B6" s="88" t="s">
        <v>172</v>
      </c>
      <c r="C6" s="145">
        <v>963383</v>
      </c>
      <c r="D6" s="128"/>
      <c r="E6" s="128"/>
      <c r="F6" s="59"/>
      <c r="G6" s="183"/>
      <c r="H6" s="191"/>
      <c r="I6" s="76" t="s">
        <v>170</v>
      </c>
      <c r="J6" s="65" t="s">
        <v>171</v>
      </c>
      <c r="K6" s="195"/>
      <c r="L6" s="200"/>
      <c r="M6" s="150"/>
    </row>
    <row r="7" spans="1:880" s="13" customFormat="1" ht="15.6" x14ac:dyDescent="0.3">
      <c r="A7" s="82" t="s">
        <v>111</v>
      </c>
      <c r="B7" s="88" t="s">
        <v>173</v>
      </c>
      <c r="C7" s="145"/>
      <c r="D7" s="113"/>
      <c r="E7" s="113"/>
      <c r="F7" s="59">
        <f t="shared" ref="F7:F14" si="0">D7-E7</f>
        <v>0</v>
      </c>
      <c r="G7" s="60" t="e">
        <f>F7/D7</f>
        <v>#DIV/0!</v>
      </c>
      <c r="H7" s="191"/>
      <c r="I7" s="65" t="s">
        <v>168</v>
      </c>
      <c r="J7" s="65" t="s">
        <v>171</v>
      </c>
      <c r="K7" s="195">
        <v>2021</v>
      </c>
      <c r="L7" s="199"/>
      <c r="M7" s="15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</row>
    <row r="8" spans="1:880" ht="15.6" x14ac:dyDescent="0.3">
      <c r="A8" s="82" t="s">
        <v>72</v>
      </c>
      <c r="B8" s="190" t="s">
        <v>174</v>
      </c>
      <c r="C8" s="145"/>
      <c r="D8" s="131"/>
      <c r="E8" s="152"/>
      <c r="F8" s="59">
        <f t="shared" si="0"/>
        <v>0</v>
      </c>
      <c r="G8" s="60" t="e">
        <f>F8/D8</f>
        <v>#DIV/0!</v>
      </c>
      <c r="H8" s="191">
        <v>44926</v>
      </c>
      <c r="I8" s="76" t="s">
        <v>175</v>
      </c>
      <c r="J8" s="77" t="s">
        <v>176</v>
      </c>
      <c r="K8" s="197">
        <v>2022</v>
      </c>
      <c r="L8" s="200" t="s">
        <v>177</v>
      </c>
      <c r="M8" s="150"/>
    </row>
    <row r="9" spans="1:880" s="13" customFormat="1" ht="15.6" x14ac:dyDescent="0.3">
      <c r="A9" s="82" t="s">
        <v>72</v>
      </c>
      <c r="B9" s="88" t="s">
        <v>178</v>
      </c>
      <c r="C9" s="145"/>
      <c r="D9" s="130"/>
      <c r="E9" s="113"/>
      <c r="F9" s="59">
        <f t="shared" si="0"/>
        <v>0</v>
      </c>
      <c r="G9" s="60"/>
      <c r="H9" s="191"/>
      <c r="I9" s="65"/>
      <c r="J9" s="65"/>
      <c r="K9" s="195"/>
      <c r="L9" s="201"/>
      <c r="M9" s="150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</row>
    <row r="10" spans="1:880" s="13" customFormat="1" ht="15.6" x14ac:dyDescent="0.3">
      <c r="A10" s="82" t="s">
        <v>111</v>
      </c>
      <c r="B10" s="88" t="s">
        <v>179</v>
      </c>
      <c r="C10" s="145"/>
      <c r="D10" s="113"/>
      <c r="E10" s="113"/>
      <c r="F10" s="59">
        <f t="shared" si="0"/>
        <v>0</v>
      </c>
      <c r="G10" s="60"/>
      <c r="H10" s="191"/>
      <c r="I10" s="65"/>
      <c r="J10" s="65"/>
      <c r="K10" s="195">
        <v>2020</v>
      </c>
      <c r="L10" s="199"/>
      <c r="M10" s="15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</row>
    <row r="11" spans="1:880" s="13" customFormat="1" ht="15.6" x14ac:dyDescent="0.3">
      <c r="A11" s="82" t="s">
        <v>72</v>
      </c>
      <c r="B11" s="88" t="s">
        <v>180</v>
      </c>
      <c r="C11" s="148"/>
      <c r="D11" s="113"/>
      <c r="E11" s="113"/>
      <c r="F11" s="59">
        <f t="shared" si="0"/>
        <v>0</v>
      </c>
      <c r="G11" s="60"/>
      <c r="H11" s="191"/>
      <c r="I11" s="76"/>
      <c r="J11" s="65"/>
      <c r="K11" s="195"/>
      <c r="L11" s="202"/>
      <c r="M11" s="150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</row>
    <row r="12" spans="1:880" s="13" customFormat="1" ht="15.6" x14ac:dyDescent="0.3">
      <c r="A12" s="82" t="s">
        <v>72</v>
      </c>
      <c r="B12" s="88" t="s">
        <v>180</v>
      </c>
      <c r="C12" s="148"/>
      <c r="D12" s="113"/>
      <c r="E12" s="113"/>
      <c r="F12" s="59">
        <f t="shared" si="0"/>
        <v>0</v>
      </c>
      <c r="G12" s="60"/>
      <c r="H12" s="191"/>
      <c r="I12" s="76"/>
      <c r="J12" s="65"/>
      <c r="K12" s="195"/>
      <c r="L12" s="202"/>
      <c r="M12" s="150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</row>
    <row r="13" spans="1:880" ht="15.6" x14ac:dyDescent="0.3">
      <c r="A13" s="82" t="s">
        <v>72</v>
      </c>
      <c r="B13" s="88" t="s">
        <v>181</v>
      </c>
      <c r="C13" s="145"/>
      <c r="D13" s="158"/>
      <c r="E13" s="152"/>
      <c r="F13" s="59">
        <f t="shared" si="0"/>
        <v>0</v>
      </c>
      <c r="G13" s="60" t="e">
        <f>F13/D13</f>
        <v>#DIV/0!</v>
      </c>
      <c r="H13" s="191">
        <v>45291</v>
      </c>
      <c r="I13" s="117"/>
      <c r="J13" s="117"/>
      <c r="K13" s="195"/>
      <c r="L13" s="201"/>
      <c r="M13" s="150"/>
    </row>
    <row r="14" spans="1:880" ht="15.6" x14ac:dyDescent="0.3">
      <c r="A14" s="204"/>
      <c r="B14" s="88" t="s">
        <v>182</v>
      </c>
      <c r="C14" s="145"/>
      <c r="D14" s="113"/>
      <c r="E14" s="113"/>
      <c r="F14" s="59">
        <f t="shared" si="0"/>
        <v>0</v>
      </c>
      <c r="G14" s="60"/>
      <c r="H14" s="191"/>
      <c r="I14" s="76"/>
      <c r="J14" s="172" t="s">
        <v>183</v>
      </c>
      <c r="K14" s="196"/>
      <c r="L14" s="199"/>
      <c r="M14" s="150"/>
    </row>
    <row r="15" spans="1:880" ht="15.6" x14ac:dyDescent="0.3">
      <c r="A15" s="82" t="s">
        <v>72</v>
      </c>
      <c r="B15" s="88" t="s">
        <v>184</v>
      </c>
      <c r="C15" s="148">
        <v>1823380</v>
      </c>
      <c r="D15" s="113"/>
      <c r="E15" s="113"/>
      <c r="F15" s="59"/>
      <c r="G15" s="60"/>
      <c r="H15" s="191"/>
      <c r="I15" s="65" t="s">
        <v>168</v>
      </c>
      <c r="J15" s="65" t="s">
        <v>176</v>
      </c>
      <c r="K15" s="195"/>
      <c r="L15" s="200"/>
      <c r="M15" s="150"/>
    </row>
    <row r="16" spans="1:880" ht="15.6" x14ac:dyDescent="0.3">
      <c r="A16" s="82" t="s">
        <v>72</v>
      </c>
      <c r="B16" s="88" t="s">
        <v>185</v>
      </c>
      <c r="C16" s="145"/>
      <c r="D16" s="130"/>
      <c r="E16" s="208"/>
      <c r="F16" s="59">
        <f t="shared" ref="F16:F24" si="1">D16-E16</f>
        <v>0</v>
      </c>
      <c r="G16" s="60" t="e">
        <f>F16/D16</f>
        <v>#DIV/0!</v>
      </c>
      <c r="H16" s="191"/>
      <c r="I16" s="65"/>
      <c r="J16" s="65"/>
      <c r="K16" s="195"/>
      <c r="L16" s="200"/>
      <c r="M16" s="150"/>
    </row>
    <row r="17" spans="1:13" ht="15.6" x14ac:dyDescent="0.3">
      <c r="A17" s="82" t="s">
        <v>66</v>
      </c>
      <c r="B17" s="88" t="s">
        <v>186</v>
      </c>
      <c r="C17" s="145">
        <v>1122295</v>
      </c>
      <c r="D17" s="113"/>
      <c r="E17" s="113"/>
      <c r="F17" s="59">
        <f t="shared" si="1"/>
        <v>0</v>
      </c>
      <c r="G17" s="60" t="e">
        <f>F17/D17</f>
        <v>#DIV/0!</v>
      </c>
      <c r="H17" s="191">
        <v>44926</v>
      </c>
      <c r="I17" s="65" t="s">
        <v>168</v>
      </c>
      <c r="J17" s="117" t="s">
        <v>176</v>
      </c>
      <c r="K17" s="195"/>
      <c r="L17" s="203"/>
      <c r="M17" s="150"/>
    </row>
    <row r="18" spans="1:13" ht="15.6" x14ac:dyDescent="0.3">
      <c r="A18" s="82" t="s">
        <v>66</v>
      </c>
      <c r="B18" s="88" t="s">
        <v>187</v>
      </c>
      <c r="C18" s="145"/>
      <c r="D18" s="113"/>
      <c r="E18" s="113"/>
      <c r="F18" s="59">
        <f t="shared" si="1"/>
        <v>0</v>
      </c>
      <c r="G18" s="60"/>
      <c r="H18" s="191"/>
      <c r="I18" s="65"/>
      <c r="J18" s="65"/>
      <c r="K18" s="195"/>
      <c r="L18" s="199" t="s">
        <v>188</v>
      </c>
      <c r="M18" s="150"/>
    </row>
    <row r="19" spans="1:13" ht="15.6" x14ac:dyDescent="0.3">
      <c r="A19" s="82" t="s">
        <v>72</v>
      </c>
      <c r="B19" s="88" t="s">
        <v>189</v>
      </c>
      <c r="C19" s="145">
        <v>974230</v>
      </c>
      <c r="D19" s="113"/>
      <c r="E19" s="113"/>
      <c r="F19" s="59">
        <f t="shared" si="1"/>
        <v>0</v>
      </c>
      <c r="G19" s="60" t="e">
        <f>F19/D19</f>
        <v>#DIV/0!</v>
      </c>
      <c r="H19" s="191"/>
      <c r="I19" s="65" t="s">
        <v>168</v>
      </c>
      <c r="J19" s="117" t="s">
        <v>190</v>
      </c>
      <c r="K19" s="195"/>
      <c r="L19" s="200"/>
      <c r="M19" s="150"/>
    </row>
    <row r="20" spans="1:13" ht="15.6" x14ac:dyDescent="0.3">
      <c r="A20" s="82" t="s">
        <v>66</v>
      </c>
      <c r="B20" s="88" t="s">
        <v>191</v>
      </c>
      <c r="C20" s="145"/>
      <c r="D20" s="113"/>
      <c r="E20" s="113"/>
      <c r="F20" s="59">
        <f t="shared" si="1"/>
        <v>0</v>
      </c>
      <c r="G20" s="60"/>
      <c r="H20" s="191"/>
      <c r="I20" s="65"/>
      <c r="J20" s="117"/>
      <c r="K20" s="195">
        <v>2020</v>
      </c>
      <c r="L20" s="203" t="s">
        <v>192</v>
      </c>
      <c r="M20" s="150"/>
    </row>
    <row r="21" spans="1:13" ht="15.6" x14ac:dyDescent="0.3">
      <c r="A21" s="82" t="s">
        <v>111</v>
      </c>
      <c r="B21" s="88" t="s">
        <v>193</v>
      </c>
      <c r="C21" s="145"/>
      <c r="D21" s="113"/>
      <c r="E21" s="113"/>
      <c r="F21" s="59">
        <f t="shared" si="1"/>
        <v>0</v>
      </c>
      <c r="G21" s="60"/>
      <c r="H21" s="191"/>
      <c r="I21" s="65"/>
      <c r="J21" s="65"/>
      <c r="K21" s="195">
        <v>2020</v>
      </c>
      <c r="L21" s="199"/>
      <c r="M21" s="150"/>
    </row>
    <row r="22" spans="1:13" ht="15.6" x14ac:dyDescent="0.3">
      <c r="A22" s="204" t="s">
        <v>66</v>
      </c>
      <c r="B22" s="88" t="s">
        <v>194</v>
      </c>
      <c r="C22" s="145"/>
      <c r="D22" s="113"/>
      <c r="E22" s="113"/>
      <c r="F22" s="59">
        <f t="shared" si="1"/>
        <v>0</v>
      </c>
      <c r="G22" s="60"/>
      <c r="H22" s="191"/>
      <c r="I22" s="65" t="s">
        <v>168</v>
      </c>
      <c r="J22" s="65" t="s">
        <v>195</v>
      </c>
      <c r="K22" s="195"/>
      <c r="L22" s="199"/>
      <c r="M22" s="150"/>
    </row>
    <row r="23" spans="1:13" ht="15.6" x14ac:dyDescent="0.3">
      <c r="A23" s="204" t="s">
        <v>72</v>
      </c>
      <c r="B23" s="88" t="s">
        <v>196</v>
      </c>
      <c r="C23" s="145"/>
      <c r="D23" s="113"/>
      <c r="E23" s="113"/>
      <c r="F23" s="59">
        <f t="shared" si="1"/>
        <v>0</v>
      </c>
      <c r="G23" s="60"/>
      <c r="H23" s="191"/>
      <c r="I23" s="65"/>
      <c r="J23" s="65"/>
      <c r="K23" s="195"/>
      <c r="L23" s="200"/>
      <c r="M23" s="150"/>
    </row>
    <row r="24" spans="1:13" ht="15.6" x14ac:dyDescent="0.3">
      <c r="A24" s="82" t="s">
        <v>72</v>
      </c>
      <c r="B24" s="88" t="s">
        <v>196</v>
      </c>
      <c r="C24" s="145"/>
      <c r="D24" s="113"/>
      <c r="E24" s="113"/>
      <c r="F24" s="59">
        <f t="shared" si="1"/>
        <v>0</v>
      </c>
      <c r="G24" s="60"/>
      <c r="H24" s="191"/>
      <c r="I24" s="76"/>
      <c r="J24" s="141">
        <v>360</v>
      </c>
      <c r="K24" s="197"/>
      <c r="L24" s="200"/>
      <c r="M24" s="150"/>
    </row>
    <row r="25" spans="1:13" ht="15.6" x14ac:dyDescent="0.3">
      <c r="A25" s="204" t="s">
        <v>72</v>
      </c>
      <c r="B25" s="88" t="s">
        <v>197</v>
      </c>
      <c r="C25" s="145"/>
      <c r="D25" s="132"/>
      <c r="E25" s="132"/>
      <c r="F25" s="133"/>
      <c r="G25" s="134"/>
      <c r="H25" s="191"/>
      <c r="I25" s="65"/>
      <c r="J25" s="65"/>
      <c r="K25" s="195">
        <v>2021</v>
      </c>
      <c r="L25" s="199" t="s">
        <v>198</v>
      </c>
      <c r="M25" s="150"/>
    </row>
    <row r="26" spans="1:13" ht="15.6" x14ac:dyDescent="0.3">
      <c r="A26" s="82" t="s">
        <v>66</v>
      </c>
      <c r="B26" s="88" t="s">
        <v>199</v>
      </c>
      <c r="C26" s="148">
        <v>935521</v>
      </c>
      <c r="D26" s="113"/>
      <c r="E26" s="113"/>
      <c r="F26" s="59"/>
      <c r="G26" s="60"/>
      <c r="H26" s="191"/>
      <c r="I26" s="65"/>
      <c r="J26" s="65" t="s">
        <v>200</v>
      </c>
      <c r="K26" s="195"/>
      <c r="L26" s="199"/>
      <c r="M26" s="150"/>
    </row>
    <row r="27" spans="1:13" ht="15.6" x14ac:dyDescent="0.3">
      <c r="A27" s="82" t="s">
        <v>111</v>
      </c>
      <c r="B27" s="88" t="s">
        <v>201</v>
      </c>
      <c r="C27" s="148">
        <v>457302</v>
      </c>
      <c r="D27" s="113"/>
      <c r="E27" s="113"/>
      <c r="F27" s="59"/>
      <c r="G27" s="60"/>
      <c r="H27" s="191">
        <v>44926</v>
      </c>
      <c r="I27" s="65" t="s">
        <v>168</v>
      </c>
      <c r="J27" s="65" t="s">
        <v>176</v>
      </c>
      <c r="K27" s="195">
        <v>2021</v>
      </c>
      <c r="L27" s="199"/>
      <c r="M27" s="150"/>
    </row>
    <row r="28" spans="1:13" ht="15.6" x14ac:dyDescent="0.3">
      <c r="A28" s="82" t="s">
        <v>72</v>
      </c>
      <c r="B28" s="88" t="s">
        <v>202</v>
      </c>
      <c r="C28" s="145"/>
      <c r="D28" s="113"/>
      <c r="E28" s="113"/>
      <c r="F28" s="59"/>
      <c r="G28" s="60"/>
      <c r="H28" s="191">
        <v>44926</v>
      </c>
      <c r="I28" s="65"/>
      <c r="J28" s="65"/>
      <c r="K28" s="195">
        <v>2020</v>
      </c>
      <c r="L28" s="200"/>
      <c r="M28" s="150"/>
    </row>
    <row r="29" spans="1:13" ht="15.6" x14ac:dyDescent="0.3">
      <c r="A29" s="82" t="s">
        <v>66</v>
      </c>
      <c r="B29" s="88" t="s">
        <v>203</v>
      </c>
      <c r="C29" s="145"/>
      <c r="D29" s="113"/>
      <c r="E29" s="113"/>
      <c r="F29" s="59">
        <f>D29-E29</f>
        <v>0</v>
      </c>
      <c r="G29" s="60" t="e">
        <f>F29/D29</f>
        <v>#DIV/0!</v>
      </c>
      <c r="H29" s="191"/>
      <c r="I29" s="65"/>
      <c r="J29" s="126" t="s">
        <v>183</v>
      </c>
      <c r="K29" s="196"/>
      <c r="L29" s="203"/>
      <c r="M29" s="150"/>
    </row>
    <row r="30" spans="1:13" ht="15.6" x14ac:dyDescent="0.3">
      <c r="A30" s="82" t="s">
        <v>72</v>
      </c>
      <c r="B30" s="88" t="s">
        <v>204</v>
      </c>
      <c r="C30" s="148">
        <v>991111</v>
      </c>
      <c r="D30" s="131"/>
      <c r="E30" s="131"/>
      <c r="F30" s="59"/>
      <c r="G30" s="60"/>
      <c r="H30" s="191"/>
      <c r="I30" s="76" t="s">
        <v>170</v>
      </c>
      <c r="J30" s="77" t="s">
        <v>171</v>
      </c>
      <c r="K30" s="197">
        <v>2021</v>
      </c>
      <c r="L30" s="200"/>
      <c r="M30" s="150"/>
    </row>
    <row r="31" spans="1:13" ht="15.6" x14ac:dyDescent="0.3">
      <c r="A31" s="82" t="s">
        <v>111</v>
      </c>
      <c r="B31" s="88" t="s">
        <v>205</v>
      </c>
      <c r="C31" s="145"/>
      <c r="D31" s="113"/>
      <c r="E31" s="113"/>
      <c r="F31" s="59"/>
      <c r="G31" s="60"/>
      <c r="H31" s="191"/>
      <c r="I31" s="65"/>
      <c r="J31" s="65"/>
      <c r="K31" s="195">
        <v>2020</v>
      </c>
      <c r="L31" s="199"/>
      <c r="M31" s="150"/>
    </row>
    <row r="32" spans="1:13" ht="15.6" x14ac:dyDescent="0.3">
      <c r="A32" s="204" t="s">
        <v>66</v>
      </c>
      <c r="B32" s="88" t="s">
        <v>206</v>
      </c>
      <c r="C32" s="145"/>
      <c r="D32" s="113"/>
      <c r="E32" s="113"/>
      <c r="F32" s="59"/>
      <c r="G32" s="60"/>
      <c r="H32" s="191"/>
      <c r="I32" s="65"/>
      <c r="J32" s="65"/>
      <c r="K32" s="195">
        <v>2021</v>
      </c>
      <c r="L32" s="199"/>
      <c r="M32" s="150"/>
    </row>
    <row r="33" spans="1:880" ht="15.6" x14ac:dyDescent="0.3">
      <c r="A33" s="204" t="s">
        <v>66</v>
      </c>
      <c r="B33" s="88" t="s">
        <v>207</v>
      </c>
      <c r="C33" s="145"/>
      <c r="D33" s="113"/>
      <c r="E33" s="113"/>
      <c r="F33" s="59">
        <f>D33-E33</f>
        <v>0</v>
      </c>
      <c r="G33" s="60"/>
      <c r="H33" s="191"/>
      <c r="I33" s="65"/>
      <c r="J33" s="65"/>
      <c r="K33" s="195">
        <v>2020</v>
      </c>
      <c r="L33" s="199"/>
      <c r="M33" s="150"/>
    </row>
    <row r="34" spans="1:880" ht="15.6" x14ac:dyDescent="0.3">
      <c r="A34" s="82" t="s">
        <v>66</v>
      </c>
      <c r="B34" s="88" t="s">
        <v>208</v>
      </c>
      <c r="C34" s="145">
        <v>1620105</v>
      </c>
      <c r="D34" s="113"/>
      <c r="E34" s="113"/>
      <c r="F34" s="59"/>
      <c r="G34" s="60"/>
      <c r="H34" s="191"/>
      <c r="I34" s="65" t="s">
        <v>168</v>
      </c>
      <c r="J34" s="65" t="s">
        <v>209</v>
      </c>
      <c r="K34" s="195"/>
      <c r="L34" s="199"/>
      <c r="M34" s="150"/>
    </row>
    <row r="35" spans="1:880" ht="15.6" x14ac:dyDescent="0.3">
      <c r="A35" s="82" t="s">
        <v>72</v>
      </c>
      <c r="B35" s="88" t="s">
        <v>210</v>
      </c>
      <c r="C35" s="145">
        <v>769200</v>
      </c>
      <c r="D35" s="113"/>
      <c r="E35" s="113"/>
      <c r="F35" s="59">
        <f>D35-E35</f>
        <v>0</v>
      </c>
      <c r="G35" s="60" t="e">
        <f>F35/D35</f>
        <v>#DIV/0!</v>
      </c>
      <c r="H35" s="191">
        <v>44649</v>
      </c>
      <c r="I35" s="65" t="s">
        <v>168</v>
      </c>
      <c r="J35" s="65" t="s">
        <v>209</v>
      </c>
      <c r="K35" s="195"/>
      <c r="L35" s="200"/>
      <c r="M35" s="150"/>
    </row>
    <row r="36" spans="1:880" ht="15.6" x14ac:dyDescent="0.3">
      <c r="A36" s="82" t="s">
        <v>72</v>
      </c>
      <c r="B36" s="88" t="s">
        <v>211</v>
      </c>
      <c r="C36" s="145">
        <v>948776</v>
      </c>
      <c r="D36" s="130"/>
      <c r="E36" s="113"/>
      <c r="F36" s="59">
        <f>D36-E36</f>
        <v>0</v>
      </c>
      <c r="G36" s="60" t="e">
        <f>F36/D36</f>
        <v>#DIV/0!</v>
      </c>
      <c r="H36" s="191">
        <v>44813</v>
      </c>
      <c r="I36" s="65" t="s">
        <v>168</v>
      </c>
      <c r="J36" s="65" t="s">
        <v>171</v>
      </c>
      <c r="K36" s="195"/>
      <c r="L36" s="200"/>
      <c r="M36" s="150"/>
    </row>
    <row r="37" spans="1:880" ht="15.6" x14ac:dyDescent="0.3">
      <c r="A37" s="82" t="s">
        <v>72</v>
      </c>
      <c r="B37" s="88" t="s">
        <v>212</v>
      </c>
      <c r="C37" s="145"/>
      <c r="D37" s="130"/>
      <c r="E37" s="113"/>
      <c r="F37" s="59"/>
      <c r="G37" s="60"/>
      <c r="H37" s="191"/>
      <c r="I37" s="76"/>
      <c r="J37" s="77" t="s">
        <v>213</v>
      </c>
      <c r="K37" s="197"/>
      <c r="L37" s="200"/>
      <c r="M37" s="150"/>
    </row>
    <row r="38" spans="1:880" ht="15.6" x14ac:dyDescent="0.3">
      <c r="A38" s="82" t="s">
        <v>72</v>
      </c>
      <c r="B38" s="88" t="s">
        <v>214</v>
      </c>
      <c r="C38" s="145">
        <v>1173190</v>
      </c>
      <c r="D38" s="113"/>
      <c r="E38" s="113"/>
      <c r="F38" s="59">
        <f>D38-E38</f>
        <v>0</v>
      </c>
      <c r="G38" s="60" t="e">
        <f>F38/D38</f>
        <v>#DIV/0!</v>
      </c>
      <c r="H38" s="191"/>
      <c r="I38" s="76" t="s">
        <v>170</v>
      </c>
      <c r="J38" s="77" t="s">
        <v>176</v>
      </c>
      <c r="K38" s="197"/>
      <c r="L38" s="200"/>
      <c r="M38" s="150"/>
    </row>
    <row r="39" spans="1:880" ht="17.100000000000001" customHeight="1" x14ac:dyDescent="0.3">
      <c r="A39" s="82" t="s">
        <v>72</v>
      </c>
      <c r="B39" s="88" t="s">
        <v>215</v>
      </c>
      <c r="C39" s="145"/>
      <c r="D39" s="128"/>
      <c r="E39" s="128"/>
      <c r="F39" s="59"/>
      <c r="G39" s="60"/>
      <c r="H39" s="191"/>
      <c r="I39" s="76" t="s">
        <v>170</v>
      </c>
      <c r="J39" s="77" t="s">
        <v>171</v>
      </c>
      <c r="K39" s="197">
        <v>2021</v>
      </c>
      <c r="L39" s="200"/>
      <c r="M39" s="150"/>
    </row>
    <row r="40" spans="1:880" ht="15.6" x14ac:dyDescent="0.3">
      <c r="A40" s="82" t="s">
        <v>72</v>
      </c>
      <c r="B40" s="88" t="s">
        <v>216</v>
      </c>
      <c r="C40" s="145"/>
      <c r="D40" s="113"/>
      <c r="E40" s="113"/>
      <c r="F40" s="59">
        <f>D40-E40</f>
        <v>0</v>
      </c>
      <c r="G40" s="60"/>
      <c r="H40" s="191"/>
      <c r="I40" s="65"/>
      <c r="J40" s="117"/>
      <c r="K40" s="195"/>
      <c r="L40" s="202"/>
      <c r="M40" s="150"/>
    </row>
    <row r="41" spans="1:880" s="71" customFormat="1" ht="15.6" x14ac:dyDescent="0.3">
      <c r="A41" s="82" t="s">
        <v>66</v>
      </c>
      <c r="B41" s="88" t="s">
        <v>217</v>
      </c>
      <c r="C41" s="145"/>
      <c r="D41" s="113"/>
      <c r="E41" s="113"/>
      <c r="F41" s="59">
        <f>D41-E41</f>
        <v>0</v>
      </c>
      <c r="G41" s="60"/>
      <c r="H41" s="191"/>
      <c r="I41" s="65"/>
      <c r="J41" s="117"/>
      <c r="K41" s="195">
        <v>2021</v>
      </c>
      <c r="L41" s="201" t="s">
        <v>188</v>
      </c>
      <c r="M41" s="150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 s="206"/>
    </row>
    <row r="42" spans="1:880" s="71" customFormat="1" ht="15.6" x14ac:dyDescent="0.3">
      <c r="A42" s="71" t="s">
        <v>111</v>
      </c>
      <c r="B42" s="86" t="s">
        <v>218</v>
      </c>
      <c r="C42" s="143">
        <v>947045</v>
      </c>
      <c r="D42" s="131">
        <f>1.0212*3395</f>
        <v>3466.9740000000002</v>
      </c>
      <c r="E42" s="142">
        <v>2401.98</v>
      </c>
      <c r="F42" s="59">
        <f>D42-E42</f>
        <v>1064.9940000000001</v>
      </c>
      <c r="G42" s="60">
        <f>F42/D42</f>
        <v>0.30718257477558242</v>
      </c>
      <c r="H42" s="61"/>
      <c r="I42" s="61"/>
      <c r="J42" s="115">
        <v>44926</v>
      </c>
      <c r="K42" s="63" t="str">
        <f>TEXT(30*MONTH(J42)+30,"mmmm")</f>
        <v>janvier</v>
      </c>
      <c r="L42" s="65" t="s">
        <v>168</v>
      </c>
      <c r="M42" s="180" t="s">
        <v>219</v>
      </c>
      <c r="N42" s="118"/>
      <c r="O42" s="117"/>
      <c r="P42" s="117"/>
      <c r="Q42" s="150" t="s">
        <v>220</v>
      </c>
      <c r="R42" s="120" t="s">
        <v>221</v>
      </c>
      <c r="S42" s="120"/>
      <c r="T42" s="120" t="s">
        <v>221</v>
      </c>
      <c r="U42" s="215"/>
      <c r="V42" s="215"/>
      <c r="W42" s="123"/>
      <c r="X42" s="123"/>
      <c r="Y42" s="64"/>
      <c r="Z42" s="122"/>
      <c r="AA42" s="70"/>
      <c r="AB42" s="27">
        <f>IF($K42="janvier",$D42,0)</f>
        <v>3466.9740000000002</v>
      </c>
      <c r="AC42" s="27">
        <f>IF($K42="février",$D42,0)</f>
        <v>0</v>
      </c>
      <c r="AD42" s="27">
        <f>IF($K42="mars",$D42,0)</f>
        <v>0</v>
      </c>
      <c r="AE42" s="27">
        <f>IF($K42="avril",$D42,0)</f>
        <v>0</v>
      </c>
      <c r="AF42" s="27">
        <f>IF($K42="mai",$D42,0)</f>
        <v>0</v>
      </c>
      <c r="AG42" s="27">
        <f>IF($K42="juin",$D42,0)</f>
        <v>0</v>
      </c>
      <c r="AH42" s="27">
        <f>IF($K42="juillet",$D42,0)</f>
        <v>0</v>
      </c>
      <c r="AI42" s="27">
        <f>IF($K42="août",$D42,0)</f>
        <v>0</v>
      </c>
      <c r="AJ42" s="27">
        <f>IF($K42="septembre",$D42,0)</f>
        <v>0</v>
      </c>
      <c r="AK42" s="27">
        <f>IF($K42="octobre",$D42,0)</f>
        <v>0</v>
      </c>
      <c r="AL42" s="27">
        <f>IF($K42="novembre",$D42,0)</f>
        <v>0</v>
      </c>
      <c r="AM42" s="27">
        <f>IF($K42="décembre",$D42,0)</f>
        <v>0</v>
      </c>
      <c r="AN42" s="37">
        <f>IF($K42="janvier",$E42,0)</f>
        <v>2401.98</v>
      </c>
      <c r="AO42" s="37">
        <f>IF($K42="février",$E42,0)</f>
        <v>0</v>
      </c>
      <c r="AP42" s="37">
        <f>IF($K42="mars",$E42,0)</f>
        <v>0</v>
      </c>
      <c r="AQ42" s="37">
        <f>IF($K42="avril",$E42,0)</f>
        <v>0</v>
      </c>
      <c r="AR42" s="37">
        <f>IF($K42="mai",$E42,0)</f>
        <v>0</v>
      </c>
      <c r="AS42" s="37">
        <f>IF($K42="juin",$E42,0)</f>
        <v>0</v>
      </c>
      <c r="AT42" s="37">
        <f>IF($K42="juillet",$E42,0)</f>
        <v>0</v>
      </c>
      <c r="AU42" s="37">
        <f>IF($K42="août",$CH42,0)</f>
        <v>0</v>
      </c>
      <c r="AV42" s="37">
        <f>IF($K42="septembre",$E42,0)</f>
        <v>0</v>
      </c>
      <c r="AW42" s="37">
        <f>IF($K42="octobre",$E42,0)</f>
        <v>0</v>
      </c>
      <c r="AX42" s="37">
        <f>IF($K42="novembre",$E42,0)</f>
        <v>0</v>
      </c>
      <c r="AY42" s="37">
        <f>IF($K42="décembre",$E42,0)</f>
        <v>0</v>
      </c>
    </row>
    <row r="43" spans="1:880" s="71" customFormat="1" ht="15.6" x14ac:dyDescent="0.3">
      <c r="A43" s="71" t="s">
        <v>72</v>
      </c>
      <c r="B43" s="86" t="s">
        <v>222</v>
      </c>
      <c r="C43" s="143">
        <v>946940</v>
      </c>
      <c r="D43" s="131">
        <f>1.0212*3520</f>
        <v>3594.6240000000003</v>
      </c>
      <c r="E43" s="152">
        <v>2772</v>
      </c>
      <c r="F43" s="59">
        <f>D43-E43</f>
        <v>822.62400000000025</v>
      </c>
      <c r="G43" s="60">
        <f>F43/D43</f>
        <v>0.22884841363102237</v>
      </c>
      <c r="H43" s="61"/>
      <c r="I43" s="61"/>
      <c r="J43" s="115">
        <v>45291</v>
      </c>
      <c r="K43" s="63" t="str">
        <f>TEXT(30*MONTH(J43)+30,"mmmm")</f>
        <v>janvier</v>
      </c>
      <c r="L43" s="65" t="s">
        <v>168</v>
      </c>
      <c r="M43" s="117" t="s">
        <v>176</v>
      </c>
      <c r="N43" s="83"/>
      <c r="O43" s="82"/>
      <c r="P43" s="75"/>
      <c r="Q43" s="150" t="s">
        <v>223</v>
      </c>
      <c r="R43" s="81"/>
      <c r="S43" s="81"/>
      <c r="T43" s="120" t="s">
        <v>221</v>
      </c>
      <c r="U43" s="214"/>
      <c r="V43" s="214"/>
      <c r="W43" s="81"/>
      <c r="X43" s="81"/>
      <c r="Y43" s="81"/>
      <c r="Z43" s="81"/>
      <c r="AA43" s="78"/>
      <c r="AB43" s="27">
        <f>IF($K43="janvier",$D43,0)</f>
        <v>3594.6240000000003</v>
      </c>
      <c r="AC43" s="27">
        <f>IF($K43="février",$D43,0)</f>
        <v>0</v>
      </c>
      <c r="AD43" s="27">
        <f>IF($K43="mars",$D43,0)</f>
        <v>0</v>
      </c>
      <c r="AE43" s="27">
        <f>IF($K43="avril",$D43,0)</f>
        <v>0</v>
      </c>
      <c r="AF43" s="27">
        <f>IF($K43="mai",$D43,0)</f>
        <v>0</v>
      </c>
      <c r="AG43" s="27">
        <f>IF($K43="juin",$D43,0)</f>
        <v>0</v>
      </c>
      <c r="AH43" s="27">
        <f>IF($K43="juillet",$D43,0)</f>
        <v>0</v>
      </c>
      <c r="AI43" s="27">
        <f>IF($K43="août",$D43,0)</f>
        <v>0</v>
      </c>
      <c r="AJ43" s="27">
        <f>IF($K43="septembre",$D43,0)</f>
        <v>0</v>
      </c>
      <c r="AK43" s="27">
        <f>IF($K43="octobre",$D43,0)</f>
        <v>0</v>
      </c>
      <c r="AL43" s="27">
        <f>IF($K43="novembre",$D43,0)</f>
        <v>0</v>
      </c>
      <c r="AM43" s="27">
        <f>IF($K43="décembre",$D43,0)</f>
        <v>0</v>
      </c>
      <c r="AN43" s="37">
        <f>IF($K43="janvier",$E43,0)</f>
        <v>2772</v>
      </c>
      <c r="AO43" s="37">
        <f>IF($K43="février",$E43,0)</f>
        <v>0</v>
      </c>
      <c r="AP43" s="37">
        <f>IF($K43="mars",$E43,0)</f>
        <v>0</v>
      </c>
      <c r="AQ43" s="37">
        <f>IF($K43="avril",$E43,0)</f>
        <v>0</v>
      </c>
      <c r="AR43" s="37">
        <f>IF($K43="mai",$E43,0)</f>
        <v>0</v>
      </c>
      <c r="AS43" s="37">
        <f>IF($K43="juin",$E43,0)</f>
        <v>0</v>
      </c>
      <c r="AT43" s="37">
        <f>IF($K43="juillet",$E43,0)</f>
        <v>0</v>
      </c>
      <c r="AU43" s="37">
        <f>IF($K43="août",$CH43,0)</f>
        <v>0</v>
      </c>
      <c r="AV43" s="37">
        <f>IF($K43="septembre",$E43,0)</f>
        <v>0</v>
      </c>
      <c r="AW43" s="37">
        <f>IF($K43="octobre",$E43,0)</f>
        <v>0</v>
      </c>
      <c r="AX43" s="37">
        <f>IF($K43="novembre",$E43,0)</f>
        <v>0</v>
      </c>
      <c r="AY43" s="37">
        <f>IF($K43="décembre",$E43,0)</f>
        <v>0</v>
      </c>
    </row>
    <row r="44" spans="1:880" s="87" customFormat="1" ht="15.6" x14ac:dyDescent="0.3">
      <c r="A44" s="82" t="s">
        <v>72</v>
      </c>
      <c r="B44" s="86" t="s">
        <v>224</v>
      </c>
      <c r="C44" s="157"/>
      <c r="D44" s="160">
        <f>1.0212*1958</f>
        <v>1999.5096000000003</v>
      </c>
      <c r="E44" s="160">
        <v>1076.9000000000001</v>
      </c>
      <c r="F44" s="184">
        <f>D44-E44</f>
        <v>922.60960000000023</v>
      </c>
      <c r="G44" s="185">
        <f>F44/D44</f>
        <v>0.46141793967880929</v>
      </c>
      <c r="H44" s="160"/>
      <c r="I44" s="160"/>
      <c r="J44" s="116">
        <v>45291</v>
      </c>
      <c r="K44" s="85" t="s">
        <v>68</v>
      </c>
      <c r="L44" s="157" t="s">
        <v>168</v>
      </c>
      <c r="M44" s="157" t="s">
        <v>176</v>
      </c>
      <c r="P44" s="85"/>
      <c r="Q44" s="150" t="s">
        <v>223</v>
      </c>
      <c r="R44" s="186"/>
      <c r="S44" s="186"/>
      <c r="T44" s="186"/>
      <c r="U44" s="216"/>
      <c r="V44" s="216"/>
      <c r="W44" s="186"/>
      <c r="X44" s="186"/>
      <c r="Y44" s="186"/>
      <c r="Z44" s="186"/>
      <c r="AA44" s="187"/>
      <c r="AB44" s="188">
        <f>IF($K44="janvier",$D44,0)</f>
        <v>0</v>
      </c>
      <c r="AC44" s="188">
        <f>IF($K44="février",$D44,0)</f>
        <v>0</v>
      </c>
      <c r="AD44" s="188">
        <f>IF($K44="mars",$D44,0)</f>
        <v>0</v>
      </c>
      <c r="AE44" s="188">
        <f>IF($K44="avril",$D44,0)</f>
        <v>0</v>
      </c>
      <c r="AF44" s="188">
        <f>IF($K44="mai",$D44,0)</f>
        <v>0</v>
      </c>
      <c r="AG44" s="188">
        <f>IF($K44="juin",$D44,0)</f>
        <v>1999.5096000000003</v>
      </c>
      <c r="AH44" s="188">
        <f>IF($K44="juillet",$D44,0)</f>
        <v>0</v>
      </c>
      <c r="AI44" s="188">
        <f>IF($K44="août",$D44,0)</f>
        <v>0</v>
      </c>
      <c r="AJ44" s="188">
        <f>IF($K44="septembre",$D44,0)</f>
        <v>0</v>
      </c>
      <c r="AK44" s="188">
        <f>IF($K44="octobre",$D44,0)</f>
        <v>0</v>
      </c>
      <c r="AL44" s="188">
        <f>IF($K44="novembre",$D44,0)</f>
        <v>0</v>
      </c>
      <c r="AM44" s="188">
        <f>IF($K44="décembre",$D44,0)</f>
        <v>0</v>
      </c>
      <c r="AN44" s="91">
        <f>IF($K44="janvier",$E44,0)</f>
        <v>0</v>
      </c>
      <c r="AO44" s="91">
        <f>IF($K44="février",$E44,0)</f>
        <v>0</v>
      </c>
      <c r="AP44" s="91">
        <f>IF($K44="mars",$E44,0)</f>
        <v>0</v>
      </c>
      <c r="AQ44" s="91">
        <f>IF($K44="avril",$E44,0)</f>
        <v>0</v>
      </c>
      <c r="AR44" s="91">
        <f>IF($K44="mai",$E44,0)</f>
        <v>0</v>
      </c>
      <c r="AS44" s="91">
        <f>IF($K44="juin",$E44,0)</f>
        <v>1076.9000000000001</v>
      </c>
      <c r="AT44" s="91">
        <f>IF($K44="juillet",$E44,0)</f>
        <v>0</v>
      </c>
      <c r="AU44" s="91">
        <f>IF($K44="août",$CH44,0)</f>
        <v>0</v>
      </c>
      <c r="AV44" s="91">
        <f>IF($K44="septembre",$E44,0)</f>
        <v>0</v>
      </c>
      <c r="AW44" s="91">
        <f>IF($K44="octobre",$E44,0)</f>
        <v>0</v>
      </c>
      <c r="AX44" s="91">
        <f>IF($K44="novembre",$E44,0)</f>
        <v>0</v>
      </c>
      <c r="AY44" s="91">
        <f>IF($K44="décembre",$E44,0)</f>
        <v>0</v>
      </c>
    </row>
  </sheetData>
  <autoFilter ref="A3:M3" xr:uid="{E9328378-BB77-4B15-A360-69E71612C267}">
    <sortState xmlns:xlrd2="http://schemas.microsoft.com/office/spreadsheetml/2017/richdata2" ref="A4:M41">
      <sortCondition ref="B3"/>
    </sortState>
  </autoFilter>
  <sortState xmlns:xlrd2="http://schemas.microsoft.com/office/spreadsheetml/2017/richdata2" ref="A4:M41">
    <sortCondition descending="1" ref="K4:K41"/>
    <sortCondition ref="B4:B41"/>
  </sortState>
  <mergeCells count="5">
    <mergeCell ref="B1:C1"/>
    <mergeCell ref="D1:J1"/>
    <mergeCell ref="A2:C2"/>
    <mergeCell ref="D2:G2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>
    <tabColor theme="4" tint="-0.249977111117893"/>
  </sheetPr>
  <dimension ref="A1:BB61"/>
  <sheetViews>
    <sheetView tabSelected="1" zoomScale="90" zoomScaleNormal="90" zoomScaleSheetLayoutView="80" workbookViewId="0">
      <pane xSplit="3" ySplit="1" topLeftCell="J2" activePane="bottomRight" state="frozen"/>
      <selection pane="topRight" activeCell="D1" sqref="D1"/>
      <selection pane="bottomLeft" activeCell="A5" sqref="A5"/>
      <selection pane="bottomRight" activeCell="R2" sqref="R2"/>
    </sheetView>
  </sheetViews>
  <sheetFormatPr baseColWidth="10" defaultColWidth="10.44140625" defaultRowHeight="15" customHeight="1" x14ac:dyDescent="0.3"/>
  <cols>
    <col min="1" max="1" width="14.44140625" style="2" customWidth="1"/>
    <col min="2" max="2" width="42.44140625" style="10" customWidth="1"/>
    <col min="3" max="4" width="13.44140625" style="144" customWidth="1"/>
    <col min="5" max="5" width="13.33203125" style="2" customWidth="1"/>
    <col min="6" max="8" width="14.44140625" style="2" customWidth="1"/>
    <col min="9" max="11" width="13.44140625" style="2" customWidth="1"/>
    <col min="12" max="13" width="12.44140625" style="2" customWidth="1"/>
    <col min="14" max="14" width="18.44140625" style="181" customWidth="1"/>
    <col min="15" max="15" width="24.44140625" style="12" customWidth="1"/>
    <col min="16" max="18" width="11.44140625" style="2" customWidth="1"/>
    <col min="19" max="19" width="14.44140625" style="2" customWidth="1"/>
    <col min="20" max="20" width="13" style="2" customWidth="1"/>
    <col min="21" max="21" width="13.44140625" style="3" customWidth="1"/>
    <col min="22" max="22" width="14.44140625" style="2" customWidth="1"/>
    <col min="23" max="23" width="17.44140625" style="2" customWidth="1"/>
    <col min="24" max="24" width="17.109375" style="7" customWidth="1"/>
    <col min="25" max="25" width="12.44140625" style="18" customWidth="1"/>
    <col min="26" max="26" width="13" style="2" customWidth="1"/>
    <col min="27" max="27" width="13" style="3" customWidth="1"/>
    <col min="28" max="28" width="47.44140625" style="2" customWidth="1"/>
    <col min="29" max="29" width="12.44140625" style="4" bestFit="1" customWidth="1"/>
    <col min="30" max="30" width="15.5546875" style="4" customWidth="1"/>
    <col min="31" max="31" width="13.88671875" style="2" customWidth="1"/>
    <col min="32" max="32" width="12" style="2" customWidth="1"/>
    <col min="33" max="33" width="10.6640625" style="2" customWidth="1"/>
    <col min="34" max="34" width="17.6640625" style="2" customWidth="1"/>
    <col min="35" max="35" width="12.6640625" style="2" customWidth="1"/>
    <col min="36" max="36" width="18.88671875" style="2" customWidth="1"/>
    <col min="37" max="37" width="19.88671875" style="2" customWidth="1"/>
    <col min="38" max="38" width="10.44140625" style="2"/>
    <col min="39" max="39" width="18.109375" style="2" customWidth="1"/>
    <col min="40" max="40" width="10.44140625" style="2"/>
    <col min="41" max="42" width="11.44140625" style="2" bestFit="1" customWidth="1"/>
    <col min="43" max="16384" width="10.44140625" style="2"/>
  </cols>
  <sheetData>
    <row r="1" spans="1:52" s="168" customFormat="1" ht="57.6" customHeight="1" x14ac:dyDescent="0.3">
      <c r="A1" s="163" t="s">
        <v>25</v>
      </c>
      <c r="B1" s="163" t="s">
        <v>26</v>
      </c>
      <c r="C1" s="163" t="s">
        <v>225</v>
      </c>
      <c r="D1" s="163" t="s">
        <v>226</v>
      </c>
      <c r="E1" s="165" t="s">
        <v>34</v>
      </c>
      <c r="F1" s="164" t="s">
        <v>160</v>
      </c>
      <c r="G1" s="164" t="s">
        <v>161</v>
      </c>
      <c r="H1" s="164" t="s">
        <v>162</v>
      </c>
      <c r="I1" s="164" t="s">
        <v>31</v>
      </c>
      <c r="J1" s="164" t="s">
        <v>227</v>
      </c>
      <c r="K1" s="164" t="s">
        <v>228</v>
      </c>
      <c r="L1" s="165" t="s">
        <v>35</v>
      </c>
      <c r="M1" s="165" t="s">
        <v>163</v>
      </c>
      <c r="N1" s="179" t="s">
        <v>164</v>
      </c>
      <c r="O1" s="165" t="s">
        <v>229</v>
      </c>
      <c r="P1" s="166" t="s">
        <v>166</v>
      </c>
      <c r="Q1" s="166" t="s">
        <v>287</v>
      </c>
      <c r="R1" s="166" t="s">
        <v>288</v>
      </c>
      <c r="S1" s="167" t="s">
        <v>43</v>
      </c>
      <c r="T1" s="167" t="s">
        <v>230</v>
      </c>
      <c r="U1" s="167" t="s">
        <v>45</v>
      </c>
      <c r="V1" s="167" t="s">
        <v>46</v>
      </c>
      <c r="W1" s="167" t="s">
        <v>47</v>
      </c>
      <c r="X1" s="167" t="s">
        <v>48</v>
      </c>
      <c r="Y1" s="167" t="s">
        <v>49</v>
      </c>
      <c r="Z1" s="167" t="s">
        <v>50</v>
      </c>
      <c r="AA1" s="167" t="s">
        <v>51</v>
      </c>
      <c r="AB1" s="153" t="s">
        <v>52</v>
      </c>
      <c r="AC1" s="154" t="s">
        <v>231</v>
      </c>
      <c r="AD1" s="154" t="s">
        <v>232</v>
      </c>
      <c r="AE1" s="154" t="s">
        <v>233</v>
      </c>
      <c r="AF1" s="154" t="s">
        <v>234</v>
      </c>
      <c r="AG1" s="154" t="s">
        <v>235</v>
      </c>
      <c r="AH1" s="154" t="s">
        <v>236</v>
      </c>
      <c r="AI1" s="154" t="s">
        <v>237</v>
      </c>
      <c r="AJ1" s="154" t="s">
        <v>238</v>
      </c>
      <c r="AK1" s="154" t="s">
        <v>239</v>
      </c>
      <c r="AL1" s="154" t="s">
        <v>240</v>
      </c>
      <c r="AM1" s="154" t="s">
        <v>241</v>
      </c>
      <c r="AN1" s="154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</row>
    <row r="2" spans="1:52" s="177" customFormat="1" ht="16.350000000000001" customHeight="1" x14ac:dyDescent="0.3">
      <c r="A2" s="71" t="s">
        <v>72</v>
      </c>
      <c r="B2" s="114" t="s">
        <v>242</v>
      </c>
      <c r="C2" s="143">
        <v>944708</v>
      </c>
      <c r="D2" s="143">
        <v>1</v>
      </c>
      <c r="E2" s="62">
        <v>45291</v>
      </c>
      <c r="F2" s="219">
        <f>1405*1.0212</f>
        <v>1434.7860000000001</v>
      </c>
      <c r="G2" s="267">
        <v>1117.08</v>
      </c>
      <c r="H2" s="59">
        <f t="shared" ref="H2:H22" si="0">F2-G2</f>
        <v>317.70600000000013</v>
      </c>
      <c r="I2" s="60">
        <f t="shared" ref="I2:I22" si="1">H2/F2</f>
        <v>0.22143093116325369</v>
      </c>
      <c r="J2" s="61" t="s">
        <v>243</v>
      </c>
      <c r="K2" s="61" t="s">
        <v>244</v>
      </c>
      <c r="L2" s="129" t="str">
        <f t="shared" ref="L2:L12" si="2">TEXT(30*MONTH(E2)+30,"mmmm")</f>
        <v>janvier</v>
      </c>
      <c r="M2" s="65" t="s">
        <v>168</v>
      </c>
      <c r="N2" s="180" t="s">
        <v>219</v>
      </c>
      <c r="O2" s="119" t="s">
        <v>245</v>
      </c>
      <c r="P2" s="150" t="s">
        <v>223</v>
      </c>
      <c r="Q2" s="150" t="s">
        <v>289</v>
      </c>
      <c r="R2" s="150" t="s">
        <v>289</v>
      </c>
      <c r="S2" s="120" t="s">
        <v>221</v>
      </c>
      <c r="T2" s="302">
        <v>44197</v>
      </c>
      <c r="U2" s="120" t="s">
        <v>221</v>
      </c>
      <c r="V2" s="212">
        <v>44900</v>
      </c>
      <c r="W2" s="212">
        <v>44565</v>
      </c>
      <c r="X2" s="69" t="s">
        <v>246</v>
      </c>
      <c r="Y2" s="303">
        <v>44197</v>
      </c>
      <c r="Z2" s="120" t="s">
        <v>247</v>
      </c>
      <c r="AA2" s="120" t="s">
        <v>248</v>
      </c>
      <c r="AB2" s="70" t="s">
        <v>249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</row>
    <row r="3" spans="1:52" s="71" customFormat="1" ht="15.6" x14ac:dyDescent="0.3">
      <c r="A3" s="71" t="s">
        <v>66</v>
      </c>
      <c r="B3" s="5" t="s">
        <v>250</v>
      </c>
      <c r="C3" s="143">
        <v>940167</v>
      </c>
      <c r="D3" s="143">
        <v>2</v>
      </c>
      <c r="E3" s="62">
        <v>45291</v>
      </c>
      <c r="F3" s="219">
        <f>1.0212*836</f>
        <v>853.72320000000013</v>
      </c>
      <c r="G3" s="267">
        <v>339.8</v>
      </c>
      <c r="H3" s="59">
        <f t="shared" si="0"/>
        <v>513.92320000000018</v>
      </c>
      <c r="I3" s="60">
        <f t="shared" si="1"/>
        <v>0.60197872097185612</v>
      </c>
      <c r="J3" s="61"/>
      <c r="K3" s="61"/>
      <c r="L3" s="129" t="str">
        <f t="shared" si="2"/>
        <v>janvier</v>
      </c>
      <c r="M3" s="65" t="s">
        <v>168</v>
      </c>
      <c r="N3" s="65" t="s">
        <v>176</v>
      </c>
      <c r="O3" s="119"/>
      <c r="P3" s="150" t="s">
        <v>223</v>
      </c>
      <c r="Q3" s="150"/>
      <c r="R3" s="150"/>
      <c r="S3" s="69"/>
      <c r="T3" s="69"/>
      <c r="U3" s="120" t="s">
        <v>221</v>
      </c>
      <c r="V3" s="213">
        <v>44902</v>
      </c>
      <c r="W3" s="213">
        <v>44902</v>
      </c>
      <c r="X3" s="69"/>
      <c r="Y3" s="69"/>
      <c r="Z3" s="69"/>
      <c r="AA3" s="69"/>
      <c r="AB3" s="7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</row>
    <row r="4" spans="1:52" s="170" customFormat="1" ht="15.6" x14ac:dyDescent="0.3">
      <c r="A4" s="71" t="s">
        <v>72</v>
      </c>
      <c r="B4" s="114" t="s">
        <v>251</v>
      </c>
      <c r="C4" s="143">
        <v>1670070</v>
      </c>
      <c r="D4" s="143">
        <v>3</v>
      </c>
      <c r="E4" s="62">
        <v>45291</v>
      </c>
      <c r="F4" s="219">
        <f>1.0212*16940</f>
        <v>17299.128000000001</v>
      </c>
      <c r="G4" s="267">
        <v>15187.47</v>
      </c>
      <c r="H4" s="59">
        <f t="shared" si="0"/>
        <v>2111.6580000000013</v>
      </c>
      <c r="I4" s="60">
        <f t="shared" si="1"/>
        <v>0.12206730882620218</v>
      </c>
      <c r="J4" s="61"/>
      <c r="K4" s="61"/>
      <c r="L4" s="63" t="str">
        <f t="shared" si="2"/>
        <v>janvier</v>
      </c>
      <c r="M4" s="65" t="s">
        <v>168</v>
      </c>
      <c r="N4" s="65" t="s">
        <v>176</v>
      </c>
      <c r="O4" s="78"/>
      <c r="P4" s="150" t="s">
        <v>223</v>
      </c>
      <c r="Q4" s="150"/>
      <c r="R4" s="150"/>
      <c r="S4" s="81"/>
      <c r="T4" s="81"/>
      <c r="U4" s="120" t="s">
        <v>221</v>
      </c>
      <c r="V4" s="212">
        <v>44900</v>
      </c>
      <c r="W4" s="212">
        <v>44900</v>
      </c>
      <c r="X4" s="81"/>
      <c r="Y4" s="81"/>
      <c r="Z4" s="81"/>
      <c r="AA4" s="81"/>
      <c r="AB4" s="78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</row>
    <row r="5" spans="1:52" s="71" customFormat="1" ht="15.6" x14ac:dyDescent="0.3">
      <c r="A5" s="71" t="s">
        <v>111</v>
      </c>
      <c r="B5" s="114" t="s">
        <v>252</v>
      </c>
      <c r="C5" s="143">
        <v>1252853</v>
      </c>
      <c r="D5" s="143">
        <v>4</v>
      </c>
      <c r="E5" s="62">
        <v>45291</v>
      </c>
      <c r="F5" s="219">
        <f>1.0212*4570</f>
        <v>4666.8840000000009</v>
      </c>
      <c r="G5" s="267">
        <v>2401.89</v>
      </c>
      <c r="H5" s="59">
        <f t="shared" si="0"/>
        <v>2264.9940000000011</v>
      </c>
      <c r="I5" s="60">
        <f t="shared" si="1"/>
        <v>0.48533325447986292</v>
      </c>
      <c r="J5" s="61"/>
      <c r="K5" s="61"/>
      <c r="L5" s="129" t="str">
        <f t="shared" si="2"/>
        <v>janvier</v>
      </c>
      <c r="M5" s="65" t="s">
        <v>168</v>
      </c>
      <c r="N5" s="180" t="s">
        <v>219</v>
      </c>
      <c r="O5" s="119"/>
      <c r="P5" s="150" t="s">
        <v>220</v>
      </c>
      <c r="Q5" s="150"/>
      <c r="R5" s="150"/>
      <c r="S5" s="120" t="s">
        <v>221</v>
      </c>
      <c r="T5" s="120"/>
      <c r="U5" s="120" t="s">
        <v>221</v>
      </c>
      <c r="V5" s="215">
        <v>44895</v>
      </c>
      <c r="W5" s="215">
        <v>44915</v>
      </c>
      <c r="X5" s="121"/>
      <c r="Y5" s="121"/>
      <c r="Z5" s="64"/>
      <c r="AA5" s="122"/>
      <c r="AB5" s="70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1:52" s="170" customFormat="1" ht="15.6" x14ac:dyDescent="0.3">
      <c r="A6" s="71" t="s">
        <v>72</v>
      </c>
      <c r="B6" s="5" t="s">
        <v>253</v>
      </c>
      <c r="C6" s="143">
        <v>977755</v>
      </c>
      <c r="D6" s="143">
        <v>5</v>
      </c>
      <c r="E6" s="62">
        <v>45291</v>
      </c>
      <c r="F6" s="221">
        <f>1.0212*24062.78</f>
        <v>24572.910936</v>
      </c>
      <c r="G6" s="267">
        <v>20365.14</v>
      </c>
      <c r="H6" s="59">
        <f t="shared" si="0"/>
        <v>4207.7709360000008</v>
      </c>
      <c r="I6" s="60">
        <f t="shared" si="1"/>
        <v>0.17123616111087184</v>
      </c>
      <c r="J6" s="61"/>
      <c r="K6" s="61"/>
      <c r="L6" s="63" t="str">
        <f t="shared" si="2"/>
        <v>janvier</v>
      </c>
      <c r="M6" s="65" t="s">
        <v>168</v>
      </c>
      <c r="N6" s="180" t="s">
        <v>219</v>
      </c>
      <c r="O6" s="83"/>
      <c r="P6" s="150" t="s">
        <v>223</v>
      </c>
      <c r="Q6" s="150"/>
      <c r="R6" s="150"/>
      <c r="S6" s="120" t="s">
        <v>221</v>
      </c>
      <c r="T6" s="81"/>
      <c r="U6" s="120" t="s">
        <v>221</v>
      </c>
      <c r="V6" s="212">
        <v>44900</v>
      </c>
      <c r="W6" s="214"/>
      <c r="X6" s="81"/>
      <c r="Y6" s="81"/>
      <c r="Z6" s="81"/>
      <c r="AA6" s="81"/>
      <c r="AB6" s="78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 spans="1:52" s="71" customFormat="1" ht="15.6" x14ac:dyDescent="0.3">
      <c r="A7" s="71" t="s">
        <v>72</v>
      </c>
      <c r="B7" s="114" t="s">
        <v>254</v>
      </c>
      <c r="C7" s="143">
        <v>853442</v>
      </c>
      <c r="D7" s="143">
        <v>6</v>
      </c>
      <c r="E7" s="62">
        <v>45291</v>
      </c>
      <c r="F7" s="221">
        <f>1.0212*(37543)-1477.01</f>
        <v>36861.901600000005</v>
      </c>
      <c r="G7" s="267">
        <v>26185.78</v>
      </c>
      <c r="H7" s="59">
        <f t="shared" si="0"/>
        <v>10676.121600000006</v>
      </c>
      <c r="I7" s="60">
        <f t="shared" si="1"/>
        <v>0.28962481957252051</v>
      </c>
      <c r="J7" s="61"/>
      <c r="K7" s="61"/>
      <c r="L7" s="63" t="str">
        <f t="shared" si="2"/>
        <v>janvier</v>
      </c>
      <c r="M7" s="65" t="s">
        <v>168</v>
      </c>
      <c r="N7" s="180" t="s">
        <v>219</v>
      </c>
      <c r="O7" s="78"/>
      <c r="P7" s="150" t="s">
        <v>223</v>
      </c>
      <c r="Q7" s="150"/>
      <c r="R7" s="150"/>
      <c r="S7" s="120" t="s">
        <v>221</v>
      </c>
      <c r="T7" s="81"/>
      <c r="U7" s="120" t="s">
        <v>221</v>
      </c>
      <c r="V7" s="212">
        <v>44900</v>
      </c>
      <c r="W7" s="214">
        <v>44902</v>
      </c>
      <c r="X7" s="81"/>
      <c r="Y7" s="81"/>
      <c r="Z7" s="81"/>
      <c r="AA7" s="81"/>
      <c r="AB7" s="78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spans="1:52" s="171" customFormat="1" ht="17.100000000000001" customHeight="1" x14ac:dyDescent="0.3">
      <c r="A8" s="71" t="s">
        <v>72</v>
      </c>
      <c r="B8" s="114" t="s">
        <v>254</v>
      </c>
      <c r="C8" s="301" t="e">
        <f>-#REF!</f>
        <v>#REF!</v>
      </c>
      <c r="D8" s="143">
        <v>7</v>
      </c>
      <c r="E8" s="62">
        <v>45291</v>
      </c>
      <c r="F8" s="265">
        <v>1477.1</v>
      </c>
      <c r="G8" s="267">
        <v>1039.53</v>
      </c>
      <c r="H8" s="59">
        <f t="shared" si="0"/>
        <v>437.56999999999994</v>
      </c>
      <c r="I8" s="60">
        <f t="shared" si="1"/>
        <v>0.29623586757836301</v>
      </c>
      <c r="J8" s="74"/>
      <c r="K8" s="74"/>
      <c r="L8" s="63" t="str">
        <f t="shared" si="2"/>
        <v>janvier</v>
      </c>
      <c r="M8" s="65" t="s">
        <v>255</v>
      </c>
      <c r="N8" s="117">
        <v>360</v>
      </c>
      <c r="O8" s="78" t="s">
        <v>256</v>
      </c>
      <c r="P8" s="150" t="s">
        <v>223</v>
      </c>
      <c r="Q8" s="150"/>
      <c r="R8" s="150"/>
      <c r="S8" s="81"/>
      <c r="T8" s="81"/>
      <c r="U8" s="120" t="s">
        <v>221</v>
      </c>
      <c r="V8" s="214">
        <v>44900</v>
      </c>
      <c r="W8" s="214">
        <v>44902</v>
      </c>
      <c r="X8" s="81"/>
      <c r="Y8" s="81"/>
      <c r="Z8" s="81"/>
      <c r="AA8" s="81"/>
      <c r="AB8" s="78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2" s="171" customFormat="1" ht="17.100000000000001" customHeight="1" x14ac:dyDescent="0.3">
      <c r="A9" s="71" t="s">
        <v>72</v>
      </c>
      <c r="B9" s="114" t="s">
        <v>257</v>
      </c>
      <c r="C9" s="143">
        <v>1010883</v>
      </c>
      <c r="D9" s="143">
        <v>8</v>
      </c>
      <c r="E9" s="62">
        <v>45291</v>
      </c>
      <c r="F9" s="221">
        <f>1.0212*2984.52</f>
        <v>3047.7918240000004</v>
      </c>
      <c r="G9" s="272">
        <v>2165.06</v>
      </c>
      <c r="H9" s="59">
        <f t="shared" si="0"/>
        <v>882.73182400000042</v>
      </c>
      <c r="I9" s="60">
        <f t="shared" si="1"/>
        <v>0.28962995997590169</v>
      </c>
      <c r="J9" s="61"/>
      <c r="K9" s="61"/>
      <c r="L9" s="63" t="str">
        <f t="shared" si="2"/>
        <v>janvier</v>
      </c>
      <c r="M9" s="65" t="s">
        <v>168</v>
      </c>
      <c r="N9" s="180" t="s">
        <v>219</v>
      </c>
      <c r="O9" s="66"/>
      <c r="P9" s="150" t="s">
        <v>223</v>
      </c>
      <c r="Q9" s="150"/>
      <c r="R9" s="150"/>
      <c r="S9" s="120" t="s">
        <v>221</v>
      </c>
      <c r="T9" s="69"/>
      <c r="U9" s="120" t="s">
        <v>221</v>
      </c>
      <c r="V9" s="212">
        <v>44900</v>
      </c>
      <c r="W9" s="213">
        <v>44956</v>
      </c>
      <c r="X9" s="69"/>
      <c r="Y9" s="69"/>
      <c r="Z9" s="69"/>
      <c r="AA9" s="69"/>
      <c r="AB9" s="70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 spans="1:52" s="170" customFormat="1" ht="17.850000000000001" customHeight="1" x14ac:dyDescent="0.3">
      <c r="A10" s="71" t="s">
        <v>72</v>
      </c>
      <c r="B10" s="5" t="s">
        <v>258</v>
      </c>
      <c r="C10" s="143">
        <v>932150</v>
      </c>
      <c r="D10" s="143">
        <v>9</v>
      </c>
      <c r="E10" s="62">
        <v>45291</v>
      </c>
      <c r="F10" s="219">
        <f>1.0212*52343</f>
        <v>53452.671600000009</v>
      </c>
      <c r="G10" s="267">
        <v>42642.33</v>
      </c>
      <c r="H10" s="59">
        <f t="shared" si="0"/>
        <v>10810.341600000007</v>
      </c>
      <c r="I10" s="60">
        <f t="shared" si="1"/>
        <v>0.20224137122455832</v>
      </c>
      <c r="J10" s="61"/>
      <c r="K10" s="61"/>
      <c r="L10" s="63" t="str">
        <f t="shared" si="2"/>
        <v>janvier</v>
      </c>
      <c r="M10" s="65" t="s">
        <v>168</v>
      </c>
      <c r="N10" s="65" t="s">
        <v>176</v>
      </c>
      <c r="O10" s="70"/>
      <c r="P10" s="150" t="s">
        <v>223</v>
      </c>
      <c r="Q10" s="150"/>
      <c r="R10" s="150"/>
      <c r="S10" s="69"/>
      <c r="T10" s="69"/>
      <c r="U10" s="120" t="s">
        <v>221</v>
      </c>
      <c r="V10" s="213">
        <v>44907</v>
      </c>
      <c r="W10" s="213">
        <v>44910</v>
      </c>
      <c r="X10" s="69"/>
      <c r="Y10" s="69"/>
      <c r="Z10" s="69"/>
      <c r="AA10" s="69"/>
      <c r="AB10" s="70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2" s="71" customFormat="1" ht="15.6" x14ac:dyDescent="0.3">
      <c r="A11" s="71" t="s">
        <v>72</v>
      </c>
      <c r="B11" s="5" t="s">
        <v>258</v>
      </c>
      <c r="C11" s="123" t="s">
        <v>255</v>
      </c>
      <c r="D11" s="143">
        <v>10</v>
      </c>
      <c r="E11" s="62">
        <v>45291</v>
      </c>
      <c r="F11" s="219">
        <f>1.0459*4063</f>
        <v>4249.4917000000005</v>
      </c>
      <c r="G11" s="273">
        <v>3780.12</v>
      </c>
      <c r="H11" s="59">
        <f t="shared" si="0"/>
        <v>469.3717000000006</v>
      </c>
      <c r="I11" s="60">
        <f t="shared" si="1"/>
        <v>0.11045361025178624</v>
      </c>
      <c r="J11" s="61"/>
      <c r="K11" s="61"/>
      <c r="L11" s="63" t="str">
        <f t="shared" si="2"/>
        <v>janvier</v>
      </c>
      <c r="M11" s="65" t="s">
        <v>255</v>
      </c>
      <c r="N11" s="117">
        <v>360</v>
      </c>
      <c r="O11" s="70"/>
      <c r="P11" s="150" t="s">
        <v>223</v>
      </c>
      <c r="Q11" s="150"/>
      <c r="R11" s="150"/>
      <c r="S11" s="69"/>
      <c r="T11" s="69"/>
      <c r="U11" s="120" t="s">
        <v>221</v>
      </c>
      <c r="V11" s="213">
        <v>44907</v>
      </c>
      <c r="W11" s="213">
        <v>44910</v>
      </c>
      <c r="X11" s="69"/>
      <c r="Y11" s="69"/>
      <c r="Z11" s="69"/>
      <c r="AA11" s="69"/>
      <c r="AB11" s="70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 spans="1:52" s="71" customFormat="1" ht="15.6" x14ac:dyDescent="0.3">
      <c r="A12" s="71" t="s">
        <v>66</v>
      </c>
      <c r="B12" s="5" t="s">
        <v>259</v>
      </c>
      <c r="C12" s="123">
        <v>1188021</v>
      </c>
      <c r="D12" s="143">
        <v>11</v>
      </c>
      <c r="E12" s="62">
        <v>45291</v>
      </c>
      <c r="F12" s="219">
        <f>1.0212*10350</f>
        <v>10569.420000000002</v>
      </c>
      <c r="G12" s="267">
        <v>5312.23</v>
      </c>
      <c r="H12" s="59">
        <f t="shared" si="0"/>
        <v>5257.1900000000023</v>
      </c>
      <c r="I12" s="60">
        <f t="shared" si="1"/>
        <v>0.49739626204654575</v>
      </c>
      <c r="J12" s="61"/>
      <c r="K12" s="61"/>
      <c r="L12" s="129" t="str">
        <f t="shared" si="2"/>
        <v>janvier</v>
      </c>
      <c r="M12" s="76" t="s">
        <v>168</v>
      </c>
      <c r="N12" s="180" t="s">
        <v>219</v>
      </c>
      <c r="P12" s="150" t="s">
        <v>260</v>
      </c>
      <c r="Q12" s="150"/>
      <c r="R12" s="150"/>
      <c r="S12" s="120" t="s">
        <v>221</v>
      </c>
      <c r="T12" s="81"/>
      <c r="U12" s="120" t="s">
        <v>221</v>
      </c>
      <c r="V12" s="214"/>
      <c r="W12" s="214">
        <v>44938</v>
      </c>
      <c r="X12" s="81"/>
      <c r="Y12" s="81"/>
      <c r="Z12" s="81"/>
      <c r="AA12" s="81"/>
      <c r="AB12" s="78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 spans="1:52" s="170" customFormat="1" ht="15.6" x14ac:dyDescent="0.3">
      <c r="A13" s="58" t="s">
        <v>72</v>
      </c>
      <c r="B13" s="271" t="s">
        <v>261</v>
      </c>
      <c r="C13" s="123">
        <v>1151200</v>
      </c>
      <c r="D13" s="143">
        <v>12</v>
      </c>
      <c r="E13" s="116">
        <v>44742</v>
      </c>
      <c r="F13" s="219">
        <f>1.0212*18560</f>
        <v>18953.472000000002</v>
      </c>
      <c r="G13" s="267">
        <f>6532.13+1427.39</f>
        <v>7959.52</v>
      </c>
      <c r="H13" s="59">
        <f t="shared" si="0"/>
        <v>10993.952000000001</v>
      </c>
      <c r="I13" s="60">
        <f t="shared" si="1"/>
        <v>0.58004950227588914</v>
      </c>
      <c r="J13" s="297"/>
      <c r="K13" s="61"/>
      <c r="L13" s="129" t="s">
        <v>57</v>
      </c>
      <c r="M13" s="76" t="s">
        <v>168</v>
      </c>
      <c r="N13" s="180" t="s">
        <v>219</v>
      </c>
      <c r="O13" s="71"/>
      <c r="P13" s="150" t="s">
        <v>223</v>
      </c>
      <c r="Q13" s="150"/>
      <c r="R13" s="150"/>
      <c r="S13" s="120" t="s">
        <v>221</v>
      </c>
      <c r="T13" s="81"/>
      <c r="U13" s="120" t="s">
        <v>221</v>
      </c>
      <c r="V13" s="214"/>
      <c r="W13" s="214"/>
      <c r="X13" s="81"/>
      <c r="Y13" s="81"/>
      <c r="Z13" s="81"/>
      <c r="AA13" s="81"/>
      <c r="AB13" s="78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 spans="1:52" s="71" customFormat="1" ht="15.6" x14ac:dyDescent="0.3">
      <c r="A14" s="58" t="s">
        <v>72</v>
      </c>
      <c r="B14" s="5" t="s">
        <v>262</v>
      </c>
      <c r="C14" s="298">
        <v>1209114</v>
      </c>
      <c r="D14" s="143">
        <v>13</v>
      </c>
      <c r="E14" s="116">
        <v>44650</v>
      </c>
      <c r="F14" s="219">
        <f>1.0212*1480</f>
        <v>1511.3760000000002</v>
      </c>
      <c r="G14" s="299">
        <v>494</v>
      </c>
      <c r="H14" s="59">
        <f t="shared" si="0"/>
        <v>1017.3760000000002</v>
      </c>
      <c r="I14" s="60">
        <f t="shared" si="1"/>
        <v>0.67314553095986707</v>
      </c>
      <c r="J14" s="61"/>
      <c r="K14" s="61"/>
      <c r="L14" s="129" t="s">
        <v>55</v>
      </c>
      <c r="M14" s="76" t="s">
        <v>168</v>
      </c>
      <c r="N14" s="180" t="s">
        <v>219</v>
      </c>
      <c r="P14" s="150" t="s">
        <v>223</v>
      </c>
      <c r="Q14" s="150"/>
      <c r="R14" s="150"/>
      <c r="S14" s="120" t="s">
        <v>221</v>
      </c>
      <c r="T14" s="81"/>
      <c r="U14" s="120" t="s">
        <v>221</v>
      </c>
      <c r="V14" s="214"/>
      <c r="W14" s="214"/>
      <c r="X14" s="81"/>
      <c r="Y14" s="81"/>
      <c r="Z14" s="81"/>
      <c r="AA14" s="81"/>
      <c r="AB14" s="78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 spans="1:52" s="170" customFormat="1" ht="15.6" x14ac:dyDescent="0.3">
      <c r="A15" s="71" t="s">
        <v>111</v>
      </c>
      <c r="B15" s="114" t="s">
        <v>263</v>
      </c>
      <c r="C15" s="143">
        <v>1683785</v>
      </c>
      <c r="D15" s="143">
        <v>14</v>
      </c>
      <c r="E15" s="62">
        <v>45291</v>
      </c>
      <c r="F15" s="219">
        <f>1.0212*11220</f>
        <v>11457.864000000001</v>
      </c>
      <c r="G15" s="267">
        <v>7157.05</v>
      </c>
      <c r="H15" s="59">
        <f t="shared" si="0"/>
        <v>4300.8140000000012</v>
      </c>
      <c r="I15" s="60">
        <f t="shared" si="1"/>
        <v>0.37535914198318299</v>
      </c>
      <c r="J15" s="61"/>
      <c r="K15" s="61"/>
      <c r="L15" s="129" t="str">
        <f>TEXT(30*MONTH(E15)+30,"mmmm")</f>
        <v>janvier</v>
      </c>
      <c r="M15" s="76" t="s">
        <v>168</v>
      </c>
      <c r="N15" s="117" t="s">
        <v>176</v>
      </c>
      <c r="O15" s="119"/>
      <c r="P15" s="150" t="s">
        <v>220</v>
      </c>
      <c r="Q15" s="150"/>
      <c r="R15" s="150"/>
      <c r="S15" s="120"/>
      <c r="T15" s="64" t="s">
        <v>264</v>
      </c>
      <c r="U15" s="120" t="s">
        <v>221</v>
      </c>
      <c r="V15" s="215">
        <v>44895</v>
      </c>
      <c r="W15" s="215"/>
      <c r="X15" s="121"/>
      <c r="Y15" s="125"/>
      <c r="Z15" s="58"/>
      <c r="AA15" s="122"/>
      <c r="AB15" s="70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 spans="1:52" s="170" customFormat="1" ht="15.6" x14ac:dyDescent="0.3">
      <c r="A16" s="71" t="s">
        <v>66</v>
      </c>
      <c r="B16" s="5" t="s">
        <v>265</v>
      </c>
      <c r="C16" s="143">
        <v>943948</v>
      </c>
      <c r="D16" s="143">
        <v>15</v>
      </c>
      <c r="E16" s="62">
        <v>45291</v>
      </c>
      <c r="F16" s="219">
        <f>1.0212*11594</f>
        <v>11839.792800000001</v>
      </c>
      <c r="G16" s="267">
        <v>8417.33</v>
      </c>
      <c r="H16" s="59">
        <f t="shared" si="0"/>
        <v>3422.4628000000012</v>
      </c>
      <c r="I16" s="60">
        <f t="shared" si="1"/>
        <v>0.28906441673540106</v>
      </c>
      <c r="J16" s="61"/>
      <c r="K16" s="61"/>
      <c r="L16" s="129" t="str">
        <f>TEXT(30*MONTH(E16)+30,"mmmm")</f>
        <v>janvier</v>
      </c>
      <c r="M16" s="65" t="s">
        <v>168</v>
      </c>
      <c r="N16" s="180" t="s">
        <v>219</v>
      </c>
      <c r="O16" s="119"/>
      <c r="P16" s="150" t="s">
        <v>266</v>
      </c>
      <c r="Q16" s="150"/>
      <c r="R16" s="150"/>
      <c r="S16" s="120" t="s">
        <v>221</v>
      </c>
      <c r="T16" s="120"/>
      <c r="U16" s="120" t="s">
        <v>221</v>
      </c>
      <c r="V16" s="214">
        <v>44910</v>
      </c>
      <c r="W16" s="212">
        <v>44932</v>
      </c>
      <c r="X16" s="69" t="s">
        <v>267</v>
      </c>
      <c r="Y16" s="69"/>
      <c r="Z16" s="69"/>
      <c r="AA16" s="69"/>
      <c r="AB16" s="70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 spans="1:52" s="82" customFormat="1" ht="28.8" x14ac:dyDescent="0.3">
      <c r="A17" s="82" t="s">
        <v>66</v>
      </c>
      <c r="B17" s="5" t="s">
        <v>268</v>
      </c>
      <c r="C17" s="148">
        <v>943948</v>
      </c>
      <c r="D17" s="143">
        <v>16</v>
      </c>
      <c r="E17" s="67">
        <v>45291</v>
      </c>
      <c r="F17" s="219">
        <f>1584*1.0212</f>
        <v>1617.5808000000002</v>
      </c>
      <c r="G17" s="267">
        <f>1210</f>
        <v>1210</v>
      </c>
      <c r="H17" s="210">
        <f t="shared" si="0"/>
        <v>407.58080000000018</v>
      </c>
      <c r="I17" s="211">
        <f t="shared" si="1"/>
        <v>0.25196936066501291</v>
      </c>
      <c r="J17" s="142">
        <f>7200*0.22</f>
        <v>1584</v>
      </c>
      <c r="K17" s="142">
        <v>1210</v>
      </c>
      <c r="L17" s="75" t="s">
        <v>53</v>
      </c>
      <c r="M17" s="145" t="s">
        <v>168</v>
      </c>
      <c r="N17" s="286"/>
      <c r="P17" s="287" t="s">
        <v>266</v>
      </c>
      <c r="Q17" s="287"/>
      <c r="R17" s="287"/>
      <c r="S17" s="81"/>
      <c r="T17" s="81"/>
      <c r="U17" s="81" t="s">
        <v>221</v>
      </c>
      <c r="V17" s="214">
        <v>44910</v>
      </c>
      <c r="W17" s="213">
        <v>44932</v>
      </c>
      <c r="X17" s="81" t="s">
        <v>267</v>
      </c>
      <c r="Y17" s="81"/>
      <c r="Z17" s="81"/>
      <c r="AA17" s="81"/>
      <c r="AB17" s="83" t="s">
        <v>269</v>
      </c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9"/>
      <c r="AP17" s="289"/>
      <c r="AQ17" s="289"/>
      <c r="AR17" s="289"/>
      <c r="AS17" s="289"/>
      <c r="AT17" s="289"/>
      <c r="AU17" s="289"/>
      <c r="AV17" s="289"/>
      <c r="AW17" s="289"/>
      <c r="AX17" s="289"/>
      <c r="AY17" s="289"/>
      <c r="AZ17" s="289"/>
    </row>
    <row r="18" spans="1:52" s="71" customFormat="1" ht="15.6" x14ac:dyDescent="0.3">
      <c r="A18" s="71" t="s">
        <v>66</v>
      </c>
      <c r="B18" s="5" t="s">
        <v>270</v>
      </c>
      <c r="C18" s="143">
        <v>943948</v>
      </c>
      <c r="D18" s="143">
        <v>17</v>
      </c>
      <c r="E18" s="79">
        <v>44561</v>
      </c>
      <c r="F18" s="219">
        <f>1.0212*950</f>
        <v>970.1400000000001</v>
      </c>
      <c r="G18" s="267">
        <v>605</v>
      </c>
      <c r="H18" s="72">
        <f t="shared" si="0"/>
        <v>365.1400000000001</v>
      </c>
      <c r="I18" s="73">
        <f t="shared" si="1"/>
        <v>0.37637866699651601</v>
      </c>
      <c r="J18" s="111"/>
      <c r="K18" s="111"/>
      <c r="L18" s="84" t="s">
        <v>53</v>
      </c>
      <c r="M18" s="117" t="s">
        <v>168</v>
      </c>
      <c r="N18" s="117" t="s">
        <v>176</v>
      </c>
      <c r="O18" s="119"/>
      <c r="P18" s="150" t="s">
        <v>266</v>
      </c>
      <c r="Q18" s="150"/>
      <c r="R18" s="150"/>
      <c r="S18" s="120"/>
      <c r="T18" s="120"/>
      <c r="U18" s="120" t="s">
        <v>221</v>
      </c>
      <c r="V18" s="214">
        <v>44910</v>
      </c>
      <c r="W18" s="212">
        <v>44929</v>
      </c>
      <c r="X18" s="69" t="s">
        <v>271</v>
      </c>
      <c r="Y18" s="69"/>
      <c r="Z18" s="69"/>
      <c r="AA18" s="69"/>
      <c r="AB18" s="70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 spans="1:52" s="71" customFormat="1" ht="15.6" x14ac:dyDescent="0.3">
      <c r="A19" s="173" t="s">
        <v>111</v>
      </c>
      <c r="B19" s="295" t="s">
        <v>272</v>
      </c>
      <c r="C19" s="174">
        <v>1090424</v>
      </c>
      <c r="D19" s="143">
        <v>18</v>
      </c>
      <c r="E19" s="116">
        <v>44652</v>
      </c>
      <c r="F19" s="296">
        <f>1.0212*6600</f>
        <v>6739.920000000001</v>
      </c>
      <c r="G19" s="267">
        <v>4787.83</v>
      </c>
      <c r="H19" s="175">
        <f t="shared" si="0"/>
        <v>1952.0900000000011</v>
      </c>
      <c r="I19" s="169">
        <f t="shared" si="1"/>
        <v>0.28963103419625169</v>
      </c>
      <c r="J19" s="176"/>
      <c r="K19" s="176"/>
      <c r="L19" s="129" t="s">
        <v>55</v>
      </c>
      <c r="M19" s="65" t="s">
        <v>168</v>
      </c>
      <c r="N19" s="180" t="s">
        <v>219</v>
      </c>
      <c r="O19" s="119"/>
      <c r="P19" s="150" t="s">
        <v>220</v>
      </c>
      <c r="Q19" s="150"/>
      <c r="R19" s="150"/>
      <c r="S19" s="120" t="s">
        <v>221</v>
      </c>
      <c r="T19" s="120"/>
      <c r="U19" s="120" t="s">
        <v>221</v>
      </c>
      <c r="V19" s="215">
        <v>45013</v>
      </c>
      <c r="W19" s="215">
        <v>45015</v>
      </c>
      <c r="X19" s="121"/>
      <c r="Y19" s="124"/>
      <c r="Z19" s="62"/>
      <c r="AA19" s="122"/>
      <c r="AB19" s="70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 spans="1:52" s="170" customFormat="1" ht="15.6" x14ac:dyDescent="0.3">
      <c r="A20" s="71" t="s">
        <v>66</v>
      </c>
      <c r="B20" s="5" t="s">
        <v>273</v>
      </c>
      <c r="C20" s="145">
        <v>951838</v>
      </c>
      <c r="D20" s="143">
        <v>19</v>
      </c>
      <c r="E20" s="62">
        <v>45291</v>
      </c>
      <c r="F20" s="222">
        <v>31990</v>
      </c>
      <c r="G20" s="267">
        <v>26770.34</v>
      </c>
      <c r="H20" s="210">
        <f t="shared" si="0"/>
        <v>5219.66</v>
      </c>
      <c r="I20" s="211">
        <f t="shared" si="1"/>
        <v>0.16316536417630509</v>
      </c>
      <c r="J20" s="209"/>
      <c r="K20" s="152"/>
      <c r="L20" s="84" t="s">
        <v>274</v>
      </c>
      <c r="M20" s="145" t="s">
        <v>168</v>
      </c>
      <c r="N20" s="77" t="s">
        <v>176</v>
      </c>
      <c r="O20" s="71" t="s">
        <v>275</v>
      </c>
      <c r="P20" s="150" t="s">
        <v>260</v>
      </c>
      <c r="Q20" s="150"/>
      <c r="R20" s="150"/>
      <c r="S20" s="81"/>
      <c r="T20" s="81"/>
      <c r="U20" s="81" t="s">
        <v>221</v>
      </c>
      <c r="V20" s="214">
        <v>44862</v>
      </c>
      <c r="W20" s="214">
        <v>44862</v>
      </c>
      <c r="X20" s="81" t="s">
        <v>276</v>
      </c>
      <c r="Y20" s="81"/>
      <c r="Z20" s="81"/>
      <c r="AA20" s="81"/>
      <c r="AB20" s="78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 spans="1:52" s="71" customFormat="1" ht="15.6" x14ac:dyDescent="0.3">
      <c r="A21" s="71" t="s">
        <v>72</v>
      </c>
      <c r="B21" s="114" t="s">
        <v>277</v>
      </c>
      <c r="C21" s="143">
        <v>928805</v>
      </c>
      <c r="D21" s="143">
        <v>20</v>
      </c>
      <c r="E21" s="62">
        <v>45291</v>
      </c>
      <c r="F21" s="219">
        <f>1.0212*11506</f>
        <v>11749.927200000002</v>
      </c>
      <c r="G21" s="267">
        <v>8313.64</v>
      </c>
      <c r="H21" s="59">
        <f t="shared" si="0"/>
        <v>3436.2872000000025</v>
      </c>
      <c r="I21" s="60">
        <f t="shared" si="1"/>
        <v>0.29245178642468539</v>
      </c>
      <c r="J21" s="61"/>
      <c r="K21" s="61"/>
      <c r="L21" s="63" t="str">
        <f>TEXT(30*MONTH(E21)+30,"mmmm")</f>
        <v>janvier</v>
      </c>
      <c r="M21" s="76" t="s">
        <v>168</v>
      </c>
      <c r="N21" s="117" t="s">
        <v>176</v>
      </c>
      <c r="O21" s="78"/>
      <c r="P21" s="150" t="s">
        <v>223</v>
      </c>
      <c r="Q21" s="150"/>
      <c r="R21" s="150"/>
      <c r="S21" s="81"/>
      <c r="T21" s="81"/>
      <c r="U21" s="120" t="s">
        <v>221</v>
      </c>
      <c r="V21" s="213">
        <v>44907</v>
      </c>
      <c r="W21" s="214">
        <v>44914</v>
      </c>
      <c r="X21" s="81"/>
      <c r="Y21" s="81"/>
      <c r="Z21" s="81"/>
      <c r="AA21" s="81"/>
      <c r="AB21" s="70" t="s">
        <v>278</v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 spans="1:52" s="170" customFormat="1" ht="15.6" x14ac:dyDescent="0.3">
      <c r="A22" s="71" t="s">
        <v>72</v>
      </c>
      <c r="B22" s="114" t="s">
        <v>277</v>
      </c>
      <c r="C22" s="143">
        <v>928805</v>
      </c>
      <c r="D22" s="143">
        <v>21</v>
      </c>
      <c r="E22" s="62">
        <v>45291</v>
      </c>
      <c r="F22" s="219">
        <f>1.0459*(12623-11506)</f>
        <v>1168.2703000000001</v>
      </c>
      <c r="G22" s="267">
        <v>1039.69</v>
      </c>
      <c r="H22" s="59">
        <f t="shared" si="0"/>
        <v>128.58030000000008</v>
      </c>
      <c r="I22" s="60">
        <f t="shared" si="1"/>
        <v>0.11006040297352425</v>
      </c>
      <c r="J22" s="61"/>
      <c r="K22" s="61"/>
      <c r="L22" s="63" t="str">
        <f>TEXT(30*MONTH(E22)+30,"mmmm")</f>
        <v>janvier</v>
      </c>
      <c r="M22" s="76" t="s">
        <v>255</v>
      </c>
      <c r="N22" s="117">
        <v>360</v>
      </c>
      <c r="O22" s="78"/>
      <c r="P22" s="150" t="s">
        <v>223</v>
      </c>
      <c r="Q22" s="150"/>
      <c r="R22" s="150"/>
      <c r="S22" s="81"/>
      <c r="T22" s="81"/>
      <c r="U22" s="120" t="s">
        <v>221</v>
      </c>
      <c r="V22" s="213">
        <v>44907</v>
      </c>
      <c r="W22" s="214">
        <v>44914</v>
      </c>
      <c r="X22" s="81"/>
      <c r="Y22" s="81"/>
      <c r="Z22" s="81"/>
      <c r="AA22" s="81"/>
      <c r="AB22" s="70" t="s">
        <v>278</v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 spans="1:52" s="170" customFormat="1" ht="15.6" x14ac:dyDescent="0.3">
      <c r="A23" s="71" t="s">
        <v>66</v>
      </c>
      <c r="B23" s="86" t="s">
        <v>279</v>
      </c>
      <c r="C23" s="143">
        <v>1772717</v>
      </c>
      <c r="D23" s="143">
        <v>22</v>
      </c>
      <c r="E23" s="62">
        <v>45291</v>
      </c>
      <c r="F23" s="159"/>
      <c r="G23" s="160"/>
      <c r="H23" s="59"/>
      <c r="I23" s="60"/>
      <c r="J23" s="128"/>
      <c r="K23" s="128"/>
      <c r="L23" s="63" t="str">
        <f>TEXT(30*MONTH(E23)+30,"mmmm")</f>
        <v>janvier</v>
      </c>
      <c r="M23" s="76" t="s">
        <v>168</v>
      </c>
      <c r="N23" s="117" t="s">
        <v>176</v>
      </c>
      <c r="O23" s="71"/>
      <c r="P23" s="150" t="s">
        <v>260</v>
      </c>
      <c r="Q23" s="150"/>
      <c r="R23" s="150"/>
      <c r="S23" s="81"/>
      <c r="T23" s="81"/>
      <c r="U23" s="120" t="s">
        <v>221</v>
      </c>
      <c r="V23" s="214"/>
      <c r="W23" s="214"/>
      <c r="X23" s="81"/>
      <c r="Y23" s="81"/>
      <c r="Z23" s="81"/>
      <c r="AA23" s="81"/>
      <c r="AB23" s="78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 spans="1:52" s="170" customFormat="1" ht="15.6" x14ac:dyDescent="0.3">
      <c r="A24" s="225" t="s">
        <v>66</v>
      </c>
      <c r="B24" s="264" t="s">
        <v>280</v>
      </c>
      <c r="C24" s="145">
        <v>982875</v>
      </c>
      <c r="D24" s="143">
        <v>23</v>
      </c>
      <c r="E24" s="62"/>
      <c r="F24" s="152"/>
      <c r="G24" s="152"/>
      <c r="H24" s="72"/>
      <c r="I24" s="73"/>
      <c r="J24" s="111"/>
      <c r="K24" s="111"/>
      <c r="L24" s="84" t="s">
        <v>53</v>
      </c>
      <c r="M24" s="156" t="s">
        <v>168</v>
      </c>
      <c r="N24" s="180" t="s">
        <v>219</v>
      </c>
      <c r="O24" s="71" t="s">
        <v>281</v>
      </c>
      <c r="P24" s="150" t="s">
        <v>260</v>
      </c>
      <c r="Q24" s="150"/>
      <c r="R24" s="150"/>
      <c r="S24" s="81"/>
      <c r="T24" s="81"/>
      <c r="U24" s="81"/>
      <c r="V24" s="214"/>
      <c r="W24" s="214"/>
      <c r="X24" s="81"/>
      <c r="Y24" s="81"/>
      <c r="Z24" s="81"/>
      <c r="AA24" s="81"/>
      <c r="AB24" s="78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pans="1:52" s="71" customFormat="1" ht="16.350000000000001" customHeight="1" x14ac:dyDescent="0.3">
      <c r="A25" s="225" t="s">
        <v>66</v>
      </c>
      <c r="B25" s="266" t="s">
        <v>280</v>
      </c>
      <c r="C25" s="145">
        <v>1690862</v>
      </c>
      <c r="D25" s="143">
        <v>24</v>
      </c>
      <c r="E25" s="62">
        <v>45291</v>
      </c>
      <c r="F25" s="222">
        <v>11000</v>
      </c>
      <c r="G25" s="267">
        <f>544.5+7012.56+1762.23</f>
        <v>9319.2900000000009</v>
      </c>
      <c r="H25" s="72">
        <f t="shared" ref="H25:H29" si="3">F25-G25</f>
        <v>1680.7099999999991</v>
      </c>
      <c r="I25" s="73">
        <f t="shared" ref="I25:I29" si="4">H25/F25</f>
        <v>0.15279181818181811</v>
      </c>
      <c r="J25" s="112">
        <v>11000</v>
      </c>
      <c r="K25" s="112">
        <f>544.5+7012.56+1762.23</f>
        <v>9319.2900000000009</v>
      </c>
      <c r="L25" s="84" t="s">
        <v>274</v>
      </c>
      <c r="M25" s="156" t="s">
        <v>168</v>
      </c>
      <c r="N25" s="141" t="s">
        <v>176</v>
      </c>
      <c r="O25" s="71" t="s">
        <v>282</v>
      </c>
      <c r="P25" s="150" t="s">
        <v>260</v>
      </c>
      <c r="Q25" s="150"/>
      <c r="R25" s="150"/>
      <c r="S25" s="81"/>
      <c r="T25" s="81"/>
      <c r="U25" s="81"/>
      <c r="V25" s="214"/>
      <c r="W25" s="214"/>
      <c r="X25" s="81"/>
      <c r="Y25" s="81"/>
      <c r="Z25" s="81"/>
      <c r="AA25" s="81"/>
      <c r="AB25" s="78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 spans="1:52" s="170" customFormat="1" ht="15.6" x14ac:dyDescent="0.3">
      <c r="A26" s="71" t="s">
        <v>72</v>
      </c>
      <c r="B26" s="5" t="s">
        <v>283</v>
      </c>
      <c r="C26" s="143">
        <v>1234898</v>
      </c>
      <c r="D26" s="143">
        <v>25</v>
      </c>
      <c r="E26" s="62">
        <v>45291</v>
      </c>
      <c r="F26" s="221">
        <f>1.0212*9796</f>
        <v>10003.675200000001</v>
      </c>
      <c r="G26" s="267">
        <v>6237.68</v>
      </c>
      <c r="H26" s="59">
        <f t="shared" si="3"/>
        <v>3765.9952000000012</v>
      </c>
      <c r="I26" s="60">
        <f t="shared" si="4"/>
        <v>0.37646116299337673</v>
      </c>
      <c r="J26" s="61"/>
      <c r="K26" s="61"/>
      <c r="L26" s="63" t="str">
        <f>TEXT(30*MONTH(E26)+30,"mmmm")</f>
        <v>janvier</v>
      </c>
      <c r="M26" s="76" t="s">
        <v>168</v>
      </c>
      <c r="N26" s="117" t="s">
        <v>176</v>
      </c>
      <c r="O26" s="70"/>
      <c r="P26" s="150" t="s">
        <v>223</v>
      </c>
      <c r="Q26" s="150"/>
      <c r="R26" s="150"/>
      <c r="S26" s="69"/>
      <c r="T26" s="69"/>
      <c r="U26" s="120" t="s">
        <v>221</v>
      </c>
      <c r="V26" s="212">
        <v>44901</v>
      </c>
      <c r="W26" s="213"/>
      <c r="X26" s="69"/>
      <c r="Y26" s="69"/>
      <c r="Z26" s="69"/>
      <c r="AA26" s="69"/>
      <c r="AB26" s="70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pans="1:52" s="71" customFormat="1" ht="15.6" x14ac:dyDescent="0.3">
      <c r="A27" s="71" t="s">
        <v>72</v>
      </c>
      <c r="B27" s="271" t="s">
        <v>284</v>
      </c>
      <c r="C27" s="143">
        <v>925150</v>
      </c>
      <c r="D27" s="143">
        <v>26</v>
      </c>
      <c r="E27" s="62">
        <v>45291</v>
      </c>
      <c r="F27" s="219">
        <f>1.0212*9565</f>
        <v>9767.7780000000002</v>
      </c>
      <c r="G27" s="267">
        <v>8432.58</v>
      </c>
      <c r="H27" s="59">
        <f t="shared" si="3"/>
        <v>1335.1980000000003</v>
      </c>
      <c r="I27" s="60">
        <f t="shared" si="4"/>
        <v>0.13669413862600074</v>
      </c>
      <c r="J27" s="61"/>
      <c r="K27" s="61"/>
      <c r="L27" s="63" t="str">
        <f>TEXT(30*MONTH(E27)+30,"mmmm")</f>
        <v>janvier</v>
      </c>
      <c r="M27" s="76" t="s">
        <v>168</v>
      </c>
      <c r="N27" s="180" t="s">
        <v>219</v>
      </c>
      <c r="O27" s="78"/>
      <c r="P27" s="150" t="s">
        <v>223</v>
      </c>
      <c r="Q27" s="150"/>
      <c r="R27" s="150"/>
      <c r="S27" s="120" t="s">
        <v>221</v>
      </c>
      <c r="T27" s="81"/>
      <c r="U27" s="120" t="s">
        <v>221</v>
      </c>
      <c r="V27" s="212">
        <v>44901</v>
      </c>
      <c r="W27" s="214">
        <v>44564</v>
      </c>
      <c r="X27" s="81"/>
      <c r="Y27" s="81"/>
      <c r="Z27" s="81"/>
      <c r="AA27" s="81"/>
      <c r="AB27" s="78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spans="1:52" s="170" customFormat="1" ht="15.6" x14ac:dyDescent="0.3">
      <c r="A28" s="71" t="s">
        <v>111</v>
      </c>
      <c r="B28" s="5" t="s">
        <v>285</v>
      </c>
      <c r="C28" s="143">
        <v>1226651</v>
      </c>
      <c r="D28" s="143">
        <v>27</v>
      </c>
      <c r="E28" s="62">
        <v>45291</v>
      </c>
      <c r="F28" s="220">
        <f>1.0212*(3388+10156)</f>
        <v>13831.132800000001</v>
      </c>
      <c r="G28" s="269">
        <f>2457.75+ 9216.57</f>
        <v>11674.32</v>
      </c>
      <c r="H28" s="59">
        <f t="shared" si="3"/>
        <v>2156.8128000000015</v>
      </c>
      <c r="I28" s="60">
        <f t="shared" si="4"/>
        <v>0.15593898426020472</v>
      </c>
      <c r="J28" s="61"/>
      <c r="K28" s="61"/>
      <c r="L28" s="129" t="str">
        <f>TEXT(30*MONTH(E28)+30,"mmmm")</f>
        <v>janvier</v>
      </c>
      <c r="M28" s="65" t="s">
        <v>168</v>
      </c>
      <c r="N28" s="180" t="s">
        <v>219</v>
      </c>
      <c r="O28" s="119"/>
      <c r="P28" s="150" t="s">
        <v>220</v>
      </c>
      <c r="Q28" s="150"/>
      <c r="R28" s="150"/>
      <c r="S28" s="120" t="s">
        <v>221</v>
      </c>
      <c r="T28" s="120"/>
      <c r="U28" s="120" t="s">
        <v>221</v>
      </c>
      <c r="V28" s="215">
        <v>44895</v>
      </c>
      <c r="W28" s="215">
        <v>44902</v>
      </c>
      <c r="X28" s="121"/>
      <c r="Y28" s="121"/>
      <c r="Z28" s="64"/>
      <c r="AA28" s="122"/>
      <c r="AB28" s="70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pans="1:52" s="170" customFormat="1" ht="15.6" x14ac:dyDescent="0.3">
      <c r="A29" s="71" t="s">
        <v>111</v>
      </c>
      <c r="B29" s="5" t="s">
        <v>286</v>
      </c>
      <c r="C29" s="143">
        <v>1226651</v>
      </c>
      <c r="D29" s="143">
        <v>28</v>
      </c>
      <c r="E29" s="62">
        <v>45291</v>
      </c>
      <c r="F29" s="219">
        <f>1.0212*11170</f>
        <v>11406.804000000002</v>
      </c>
      <c r="G29" s="268">
        <f>9667.29*1.0156</f>
        <v>9818.0997240000015</v>
      </c>
      <c r="H29" s="59">
        <f t="shared" si="3"/>
        <v>1588.7042760000004</v>
      </c>
      <c r="I29" s="60">
        <f t="shared" si="4"/>
        <v>0.139276897893573</v>
      </c>
      <c r="J29" s="61"/>
      <c r="K29" s="61"/>
      <c r="L29" s="129" t="str">
        <f>TEXT(30*MONTH(E29)+30,"mmmm")</f>
        <v>janvier</v>
      </c>
      <c r="M29" s="65" t="s">
        <v>168</v>
      </c>
      <c r="N29" s="180" t="s">
        <v>219</v>
      </c>
      <c r="O29" s="119"/>
      <c r="P29" s="150" t="s">
        <v>220</v>
      </c>
      <c r="Q29" s="150"/>
      <c r="R29" s="150"/>
      <c r="S29" s="120" t="s">
        <v>221</v>
      </c>
      <c r="T29" s="120"/>
      <c r="U29" s="120" t="s">
        <v>221</v>
      </c>
      <c r="V29" s="215">
        <v>44895</v>
      </c>
      <c r="W29" s="215">
        <v>44902</v>
      </c>
      <c r="X29" s="121"/>
      <c r="Y29" s="121"/>
      <c r="Z29" s="58"/>
      <c r="AA29" s="122"/>
      <c r="AB29" s="70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spans="1:52" customFormat="1" ht="15.6" x14ac:dyDescent="0.3">
      <c r="B30" s="285"/>
      <c r="C30" s="7"/>
      <c r="D30" s="7"/>
      <c r="E30" s="231"/>
      <c r="F30" s="284"/>
      <c r="G30" s="284"/>
      <c r="H30" s="283"/>
      <c r="I30" s="282"/>
      <c r="J30" s="281"/>
      <c r="K30" s="281"/>
      <c r="L30" s="280"/>
      <c r="M30" s="7"/>
      <c r="N30" s="279"/>
      <c r="P30" s="278"/>
      <c r="Q30" s="278"/>
      <c r="R30" s="278"/>
      <c r="S30" s="277"/>
      <c r="T30" s="277"/>
      <c r="U30" s="277"/>
      <c r="V30" s="276"/>
      <c r="W30" s="276"/>
      <c r="X30" s="277"/>
      <c r="Y30" s="277"/>
      <c r="Z30" s="277"/>
      <c r="AA30" s="277"/>
      <c r="AB30" s="26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</row>
    <row r="31" spans="1:52" customFormat="1" ht="15.6" x14ac:dyDescent="0.3">
      <c r="B31" s="285"/>
      <c r="C31" s="7"/>
      <c r="D31" s="7"/>
      <c r="E31" s="231"/>
      <c r="F31" s="284"/>
      <c r="G31" s="284"/>
      <c r="H31" s="283"/>
      <c r="I31" s="282"/>
      <c r="J31" s="281"/>
      <c r="K31" s="281"/>
      <c r="L31" s="280"/>
      <c r="M31" s="7"/>
      <c r="N31" s="279"/>
      <c r="P31" s="278"/>
      <c r="Q31" s="278"/>
      <c r="R31" s="278"/>
      <c r="S31" s="277"/>
      <c r="T31" s="277"/>
      <c r="U31" s="277"/>
      <c r="V31" s="276"/>
      <c r="W31" s="276"/>
      <c r="X31" s="277"/>
      <c r="Y31" s="277"/>
      <c r="Z31" s="277"/>
      <c r="AA31" s="277"/>
      <c r="AB31" s="26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5"/>
      <c r="AN31" s="275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</row>
    <row r="32" spans="1:52" customFormat="1" ht="15.6" x14ac:dyDescent="0.3">
      <c r="B32" s="285"/>
      <c r="C32" s="7"/>
      <c r="D32" s="7"/>
      <c r="E32" s="231"/>
      <c r="F32" s="284"/>
      <c r="G32" s="284"/>
      <c r="H32" s="283"/>
      <c r="I32" s="282"/>
      <c r="J32" s="281"/>
      <c r="K32" s="281"/>
      <c r="L32" s="280"/>
      <c r="M32" s="7"/>
      <c r="N32" s="279"/>
      <c r="P32" s="278"/>
      <c r="Q32" s="278"/>
      <c r="R32" s="278"/>
      <c r="S32" s="277"/>
      <c r="T32" s="277"/>
      <c r="U32" s="277"/>
      <c r="V32" s="276"/>
      <c r="W32" s="276"/>
      <c r="X32" s="277"/>
      <c r="Y32" s="277"/>
      <c r="Z32" s="277"/>
      <c r="AA32" s="277"/>
      <c r="AB32" s="26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5"/>
      <c r="AN32" s="275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</row>
    <row r="33" spans="1:54" customFormat="1" ht="15.6" x14ac:dyDescent="0.3">
      <c r="B33" s="285"/>
      <c r="C33" s="7"/>
      <c r="D33" s="7"/>
      <c r="E33" s="231"/>
      <c r="F33" s="284"/>
      <c r="G33" s="284"/>
      <c r="H33" s="283"/>
      <c r="I33" s="282"/>
      <c r="J33" s="281"/>
      <c r="K33" s="281"/>
      <c r="L33" s="280"/>
      <c r="M33" s="7"/>
      <c r="N33" s="279"/>
      <c r="P33" s="278"/>
      <c r="Q33" s="278"/>
      <c r="R33" s="278"/>
      <c r="S33" s="277"/>
      <c r="T33" s="277"/>
      <c r="U33" s="277"/>
      <c r="V33" s="276"/>
      <c r="W33" s="276"/>
      <c r="X33" s="277"/>
      <c r="Y33" s="277"/>
      <c r="Z33" s="277"/>
      <c r="AA33" s="277"/>
      <c r="AB33" s="26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5"/>
      <c r="AN33" s="275"/>
      <c r="AO33" s="274"/>
      <c r="AP33" s="274"/>
      <c r="AQ33" s="274"/>
      <c r="AR33" s="274"/>
      <c r="AS33" s="274"/>
      <c r="AT33" s="274"/>
      <c r="AU33" s="274"/>
      <c r="AV33" s="274"/>
      <c r="AW33" s="274"/>
      <c r="AX33" s="274"/>
      <c r="AY33" s="274"/>
      <c r="AZ33" s="274"/>
    </row>
    <row r="34" spans="1:54" customFormat="1" ht="15.6" x14ac:dyDescent="0.3">
      <c r="B34" s="285"/>
      <c r="C34" s="7"/>
      <c r="D34" s="7"/>
      <c r="E34" s="231"/>
      <c r="F34" s="284"/>
      <c r="G34" s="284"/>
      <c r="H34" s="283"/>
      <c r="I34" s="282"/>
      <c r="J34" s="281"/>
      <c r="K34" s="281"/>
      <c r="L34" s="280"/>
      <c r="M34" s="7"/>
      <c r="N34" s="279"/>
      <c r="P34" s="278"/>
      <c r="Q34" s="278"/>
      <c r="R34" s="278"/>
      <c r="S34" s="277"/>
      <c r="T34" s="277"/>
      <c r="U34" s="277"/>
      <c r="V34" s="276"/>
      <c r="W34" s="276"/>
      <c r="X34" s="277"/>
      <c r="Y34" s="277"/>
      <c r="Z34" s="277"/>
      <c r="AA34" s="277"/>
      <c r="AB34" s="26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5"/>
      <c r="AN34" s="275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4"/>
    </row>
    <row r="35" spans="1:54" ht="14.4" x14ac:dyDescent="0.3">
      <c r="A35" s="102"/>
      <c r="E35" s="102"/>
      <c r="F35" s="102"/>
      <c r="G35" s="102"/>
      <c r="H35" s="102"/>
      <c r="I35" s="102"/>
      <c r="J35"/>
      <c r="K35"/>
      <c r="L35" s="102"/>
      <c r="M35" s="102"/>
      <c r="N35" s="178"/>
      <c r="P35" s="102"/>
      <c r="Q35" s="102"/>
      <c r="R35" s="102"/>
      <c r="S35" s="102"/>
      <c r="T35" s="102"/>
      <c r="U35" s="103"/>
      <c r="V35" s="102"/>
      <c r="W35" s="102"/>
      <c r="Z35" s="102"/>
      <c r="AA35" s="103"/>
      <c r="AB35" s="102"/>
      <c r="AC35" s="104"/>
      <c r="AD35" s="104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</row>
    <row r="36" spans="1:54" ht="14.4" x14ac:dyDescent="0.3">
      <c r="A36" s="102"/>
      <c r="E36" s="102"/>
      <c r="F36" s="102"/>
      <c r="G36" s="102"/>
      <c r="H36" s="102"/>
      <c r="I36" s="102"/>
      <c r="J36"/>
      <c r="K36"/>
      <c r="L36" s="102"/>
      <c r="M36" s="102"/>
      <c r="N36" s="178"/>
      <c r="P36" s="102"/>
      <c r="Q36" s="102"/>
      <c r="R36" s="102"/>
      <c r="S36" s="102"/>
      <c r="T36" s="102"/>
      <c r="U36" s="103"/>
      <c r="V36" s="102"/>
      <c r="W36" s="102"/>
      <c r="Z36" s="102"/>
      <c r="AA36" s="103"/>
      <c r="AB36" s="102"/>
      <c r="AC36" s="104"/>
      <c r="AD36" s="104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</row>
    <row r="37" spans="1:54" ht="14.4" x14ac:dyDescent="0.3">
      <c r="A37" s="102"/>
      <c r="E37" s="102"/>
      <c r="F37" s="102"/>
      <c r="G37" s="102"/>
      <c r="H37" s="102"/>
      <c r="I37" s="102"/>
      <c r="J37"/>
      <c r="K37"/>
      <c r="L37" s="102"/>
      <c r="M37" s="102"/>
      <c r="N37" s="178"/>
      <c r="P37" s="102"/>
      <c r="Q37" s="102"/>
      <c r="R37" s="102"/>
      <c r="S37" s="102"/>
      <c r="T37" s="102"/>
      <c r="U37" s="103"/>
      <c r="V37" s="102"/>
      <c r="W37" s="102"/>
      <c r="Z37" s="102"/>
      <c r="AA37" s="103"/>
      <c r="AB37" s="102"/>
      <c r="AC37" s="104"/>
      <c r="AD37" s="104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</row>
    <row r="38" spans="1:54" ht="14.4" x14ac:dyDescent="0.3">
      <c r="A38" s="102"/>
      <c r="E38" s="102"/>
      <c r="F38" s="102"/>
      <c r="G38" s="102"/>
      <c r="H38" s="102"/>
      <c r="I38" s="102"/>
      <c r="J38"/>
      <c r="K38"/>
      <c r="L38" s="102"/>
      <c r="M38" s="102"/>
      <c r="N38" s="178"/>
      <c r="P38" s="102"/>
      <c r="Q38" s="102"/>
      <c r="R38" s="102"/>
      <c r="S38" s="102"/>
      <c r="T38" s="102"/>
      <c r="U38" s="103"/>
      <c r="V38" s="102"/>
      <c r="W38" s="102"/>
      <c r="Z38" s="102"/>
      <c r="AA38" s="103"/>
      <c r="AB38" s="102"/>
      <c r="AC38" s="104"/>
      <c r="AD38" s="104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</row>
    <row r="39" spans="1:54" ht="14.4" x14ac:dyDescent="0.3">
      <c r="A39" s="102"/>
      <c r="E39" s="102"/>
      <c r="F39" s="102"/>
      <c r="G39" s="102"/>
      <c r="H39" s="102"/>
      <c r="I39" s="102"/>
      <c r="J39"/>
      <c r="K39"/>
      <c r="L39" s="102"/>
      <c r="M39" s="102"/>
      <c r="N39" s="178"/>
      <c r="P39" s="102"/>
      <c r="Q39" s="102"/>
      <c r="R39" s="102"/>
      <c r="S39" s="102"/>
      <c r="T39" s="102"/>
      <c r="U39" s="103"/>
      <c r="V39" s="102"/>
      <c r="W39" s="102"/>
      <c r="Z39" s="102"/>
      <c r="AA39" s="103"/>
      <c r="AB39" s="102"/>
      <c r="AC39" s="104"/>
      <c r="AD39" s="104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</row>
    <row r="40" spans="1:54" ht="14.4" x14ac:dyDescent="0.3">
      <c r="A40" s="102"/>
      <c r="E40" s="102"/>
      <c r="F40" s="102"/>
      <c r="G40" s="102"/>
      <c r="H40" s="102"/>
      <c r="I40" s="102"/>
      <c r="J40"/>
      <c r="K40"/>
      <c r="L40" s="102"/>
      <c r="M40" s="102"/>
      <c r="N40" s="178"/>
      <c r="P40" s="102"/>
      <c r="Q40" s="102"/>
      <c r="R40" s="102"/>
      <c r="S40" s="102"/>
      <c r="T40" s="102"/>
      <c r="U40" s="103"/>
      <c r="V40" s="102"/>
      <c r="W40" s="102"/>
      <c r="Z40" s="102"/>
      <c r="AA40" s="103"/>
      <c r="AB40" s="102"/>
      <c r="AC40" s="104"/>
      <c r="AD40" s="104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</row>
    <row r="41" spans="1:54" ht="14.4" x14ac:dyDescent="0.3">
      <c r="A41" s="102"/>
      <c r="E41" s="102"/>
      <c r="F41" s="102"/>
      <c r="G41" s="102"/>
      <c r="H41" s="102"/>
      <c r="I41" s="102"/>
      <c r="J41"/>
      <c r="K41"/>
      <c r="L41" s="102"/>
      <c r="M41" s="102"/>
      <c r="N41" s="178"/>
      <c r="P41" s="102"/>
      <c r="Q41" s="102"/>
      <c r="R41" s="102"/>
      <c r="S41" s="102"/>
      <c r="T41" s="102"/>
      <c r="U41" s="103"/>
      <c r="V41" s="102"/>
      <c r="W41" s="102"/>
      <c r="Z41" s="102"/>
      <c r="AA41" s="103"/>
      <c r="AB41" s="102"/>
      <c r="AC41" s="104"/>
      <c r="AD41" s="104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</row>
    <row r="42" spans="1:54" ht="14.4" x14ac:dyDescent="0.3">
      <c r="A42" s="102"/>
      <c r="E42" s="102"/>
      <c r="F42" s="102"/>
      <c r="G42" s="102"/>
      <c r="H42" s="102"/>
      <c r="I42" s="102"/>
      <c r="J42"/>
      <c r="K42"/>
      <c r="L42" s="102"/>
      <c r="M42" s="102"/>
      <c r="N42" s="178"/>
      <c r="P42" s="102"/>
      <c r="Q42" s="102"/>
      <c r="R42" s="102"/>
      <c r="S42" s="102"/>
      <c r="T42" s="102"/>
      <c r="U42" s="103"/>
      <c r="V42" s="102"/>
      <c r="W42" s="102"/>
      <c r="Z42" s="102"/>
      <c r="AA42" s="103"/>
      <c r="AB42" s="102"/>
      <c r="AC42" s="104"/>
      <c r="AD42" s="104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</row>
    <row r="43" spans="1:54" ht="14.4" x14ac:dyDescent="0.3">
      <c r="A43" s="102"/>
      <c r="E43" s="102"/>
      <c r="F43" s="102"/>
      <c r="G43" s="102"/>
      <c r="H43" s="102"/>
      <c r="I43" s="102"/>
      <c r="J43"/>
      <c r="K43"/>
      <c r="L43" s="102"/>
      <c r="M43" s="102"/>
      <c r="N43" s="178"/>
      <c r="P43" s="102"/>
      <c r="Q43" s="102"/>
      <c r="R43" s="102"/>
      <c r="S43" s="102"/>
      <c r="T43" s="102"/>
      <c r="U43" s="103"/>
      <c r="V43" s="102"/>
      <c r="W43" s="102"/>
      <c r="Z43" s="102"/>
      <c r="AA43" s="103"/>
      <c r="AB43" s="102"/>
      <c r="AC43" s="104"/>
      <c r="AD43" s="104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</row>
    <row r="44" spans="1:54" ht="14.4" x14ac:dyDescent="0.3">
      <c r="A44" s="102"/>
      <c r="E44" s="102"/>
      <c r="F44" s="102"/>
      <c r="G44" s="102"/>
      <c r="H44" s="102"/>
      <c r="I44" s="102"/>
      <c r="J44"/>
      <c r="K44"/>
      <c r="L44" s="102"/>
      <c r="M44" s="102"/>
      <c r="N44" s="178"/>
      <c r="P44" s="102"/>
      <c r="Q44" s="102"/>
      <c r="R44" s="102"/>
      <c r="S44" s="102"/>
      <c r="T44" s="102"/>
      <c r="U44" s="103"/>
      <c r="V44" s="102"/>
      <c r="W44" s="102"/>
      <c r="Z44" s="102"/>
      <c r="AA44" s="103"/>
      <c r="AB44" s="102"/>
      <c r="AC44" s="104"/>
      <c r="AD44" s="104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</row>
    <row r="45" spans="1:54" ht="14.4" x14ac:dyDescent="0.3">
      <c r="A45" s="102"/>
      <c r="E45" s="102"/>
      <c r="F45" s="102"/>
      <c r="G45" s="102"/>
      <c r="H45" s="102"/>
      <c r="I45" s="102"/>
      <c r="J45"/>
      <c r="K45"/>
      <c r="L45" s="102"/>
      <c r="M45" s="102"/>
      <c r="N45" s="178"/>
      <c r="P45" s="102"/>
      <c r="Q45" s="102"/>
      <c r="R45" s="102"/>
      <c r="S45" s="102"/>
      <c r="T45" s="102"/>
      <c r="U45" s="103"/>
      <c r="V45" s="102"/>
      <c r="W45" s="102"/>
      <c r="Z45" s="102"/>
      <c r="AA45" s="103"/>
      <c r="AB45" s="102"/>
      <c r="AC45" s="104"/>
      <c r="AD45" s="104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</row>
    <row r="46" spans="1:54" ht="14.4" x14ac:dyDescent="0.3">
      <c r="A46" s="102"/>
      <c r="E46" s="102"/>
      <c r="F46" s="102"/>
      <c r="G46" s="102"/>
      <c r="H46" s="102"/>
      <c r="I46" s="102"/>
      <c r="J46"/>
      <c r="K46"/>
      <c r="L46" s="102"/>
      <c r="M46" s="102"/>
      <c r="N46" s="178"/>
      <c r="P46" s="102"/>
      <c r="Q46" s="102"/>
      <c r="R46" s="102"/>
      <c r="S46" s="102"/>
      <c r="T46" s="102"/>
      <c r="U46" s="103"/>
      <c r="V46" s="102"/>
      <c r="W46" s="102"/>
      <c r="Z46" s="102"/>
      <c r="AA46" s="103"/>
      <c r="AB46" s="102"/>
      <c r="AC46" s="104"/>
      <c r="AD46" s="104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</row>
    <row r="47" spans="1:54" ht="14.4" x14ac:dyDescent="0.3">
      <c r="A47" s="102"/>
      <c r="E47" s="102"/>
      <c r="F47" s="102"/>
      <c r="G47" s="102"/>
      <c r="H47" s="102"/>
      <c r="I47" s="102"/>
      <c r="J47"/>
      <c r="K47"/>
      <c r="L47" s="102"/>
      <c r="M47" s="102"/>
      <c r="N47" s="178"/>
      <c r="P47" s="102"/>
      <c r="Q47" s="102"/>
      <c r="R47" s="102"/>
      <c r="S47" s="102"/>
      <c r="T47" s="102"/>
      <c r="U47" s="103"/>
      <c r="V47" s="102"/>
      <c r="W47" s="102"/>
      <c r="Z47" s="102"/>
      <c r="AA47" s="103"/>
      <c r="AB47" s="102"/>
      <c r="AC47" s="104"/>
      <c r="AD47" s="104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</row>
    <row r="48" spans="1:54" ht="14.4" x14ac:dyDescent="0.3">
      <c r="A48" s="102"/>
      <c r="E48" s="102"/>
      <c r="F48" s="102"/>
      <c r="G48" s="102"/>
      <c r="H48" s="102"/>
      <c r="I48" s="102"/>
      <c r="J48"/>
      <c r="K48"/>
      <c r="L48" s="102"/>
      <c r="M48" s="102"/>
      <c r="N48" s="178"/>
      <c r="P48" s="102"/>
      <c r="Q48" s="102"/>
      <c r="R48" s="102"/>
      <c r="S48" s="102"/>
      <c r="T48" s="102"/>
      <c r="U48" s="103"/>
      <c r="V48" s="102"/>
      <c r="W48" s="102"/>
      <c r="Z48" s="102"/>
      <c r="AA48" s="103"/>
      <c r="AB48" s="102"/>
      <c r="AC48" s="104"/>
      <c r="AD48" s="104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</row>
    <row r="49" spans="1:54" ht="14.4" x14ac:dyDescent="0.3">
      <c r="A49" s="102"/>
      <c r="E49" s="102"/>
      <c r="F49" s="102"/>
      <c r="G49" s="102"/>
      <c r="H49" s="102"/>
      <c r="I49" s="102"/>
      <c r="J49"/>
      <c r="K49"/>
      <c r="L49" s="102"/>
      <c r="M49" s="102"/>
      <c r="N49" s="178"/>
      <c r="P49" s="102"/>
      <c r="Q49" s="102"/>
      <c r="R49" s="102"/>
      <c r="S49" s="102"/>
      <c r="T49" s="102"/>
      <c r="U49" s="103"/>
      <c r="V49" s="102"/>
      <c r="W49" s="102"/>
      <c r="Z49" s="102"/>
      <c r="AA49" s="103"/>
      <c r="AB49" s="102"/>
      <c r="AC49" s="104"/>
      <c r="AD49" s="10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</row>
    <row r="50" spans="1:54" ht="14.4" x14ac:dyDescent="0.3">
      <c r="A50" s="102"/>
      <c r="E50" s="102"/>
      <c r="F50" s="102"/>
      <c r="G50" s="102"/>
      <c r="H50" s="102"/>
      <c r="I50" s="102"/>
      <c r="J50"/>
      <c r="K50"/>
      <c r="L50" s="102"/>
      <c r="M50" s="102"/>
      <c r="N50" s="178"/>
      <c r="P50" s="102"/>
      <c r="Q50" s="102"/>
      <c r="R50" s="102"/>
      <c r="S50" s="102"/>
      <c r="T50" s="102"/>
      <c r="U50" s="103"/>
      <c r="V50" s="102"/>
      <c r="W50" s="102"/>
      <c r="Z50" s="102"/>
      <c r="AA50" s="103"/>
      <c r="AB50" s="102"/>
      <c r="AC50" s="104"/>
      <c r="AD50" s="104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</row>
    <row r="51" spans="1:54" ht="14.4" x14ac:dyDescent="0.3">
      <c r="A51" s="102"/>
      <c r="E51" s="102"/>
      <c r="F51" s="102"/>
      <c r="G51" s="102"/>
      <c r="H51" s="102"/>
      <c r="I51" s="102"/>
      <c r="J51"/>
      <c r="K51"/>
      <c r="L51" s="102"/>
      <c r="M51" s="102"/>
      <c r="N51" s="178"/>
      <c r="P51" s="102"/>
      <c r="Q51" s="102"/>
      <c r="R51" s="102"/>
      <c r="S51" s="102"/>
      <c r="T51" s="102"/>
      <c r="U51" s="103"/>
      <c r="V51" s="102"/>
      <c r="W51" s="102"/>
      <c r="Z51" s="102"/>
      <c r="AA51" s="103"/>
      <c r="AB51" s="102"/>
      <c r="AC51" s="104"/>
      <c r="AD51" s="104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</row>
    <row r="52" spans="1:54" ht="14.4" x14ac:dyDescent="0.3">
      <c r="A52" s="102"/>
      <c r="E52" s="102"/>
      <c r="F52" s="102"/>
      <c r="G52" s="102"/>
      <c r="H52" s="102"/>
      <c r="I52" s="102"/>
      <c r="J52"/>
      <c r="K52"/>
      <c r="L52" s="102"/>
      <c r="M52" s="102"/>
      <c r="N52" s="178"/>
      <c r="P52" s="102"/>
      <c r="Q52" s="102"/>
      <c r="R52" s="102"/>
      <c r="S52" s="102"/>
      <c r="T52" s="102"/>
      <c r="U52" s="103"/>
      <c r="V52" s="102"/>
      <c r="W52" s="102"/>
      <c r="Z52" s="102"/>
      <c r="AA52" s="103"/>
      <c r="AB52" s="102"/>
      <c r="AC52" s="104"/>
      <c r="AD52" s="104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</row>
    <row r="53" spans="1:54" ht="14.4" x14ac:dyDescent="0.3">
      <c r="A53" s="102"/>
      <c r="E53" s="102"/>
      <c r="F53" s="102"/>
      <c r="G53" s="102"/>
      <c r="H53" s="102"/>
      <c r="I53" s="102"/>
      <c r="J53"/>
      <c r="K53"/>
      <c r="L53" s="102"/>
      <c r="M53" s="102"/>
      <c r="N53" s="178"/>
      <c r="P53" s="102"/>
      <c r="Q53" s="102"/>
      <c r="R53" s="102"/>
      <c r="S53" s="102"/>
      <c r="T53" s="102"/>
      <c r="U53" s="103"/>
      <c r="V53" s="102"/>
      <c r="W53" s="102"/>
      <c r="Z53" s="102"/>
      <c r="AA53" s="103"/>
      <c r="AB53" s="102"/>
      <c r="AC53" s="104"/>
      <c r="AD53" s="104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</row>
    <row r="54" spans="1:54" ht="14.4" x14ac:dyDescent="0.3">
      <c r="A54" s="102"/>
      <c r="E54" s="102"/>
      <c r="F54" s="102"/>
      <c r="G54" s="102"/>
      <c r="H54" s="102"/>
      <c r="I54" s="102"/>
      <c r="J54"/>
      <c r="K54"/>
      <c r="L54" s="102"/>
      <c r="M54" s="102"/>
      <c r="N54" s="178"/>
      <c r="P54" s="102"/>
      <c r="Q54" s="102"/>
      <c r="R54" s="102"/>
      <c r="S54" s="102"/>
      <c r="T54" s="102"/>
      <c r="U54" s="103"/>
      <c r="V54" s="102"/>
      <c r="W54" s="102"/>
      <c r="Z54" s="102"/>
      <c r="AA54" s="103"/>
      <c r="AB54" s="102"/>
      <c r="AC54" s="104"/>
      <c r="AD54" s="104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</row>
    <row r="55" spans="1:54" ht="14.4" x14ac:dyDescent="0.3">
      <c r="A55" s="102"/>
      <c r="E55" s="102"/>
      <c r="F55" s="102"/>
      <c r="G55" s="102"/>
      <c r="H55" s="102"/>
      <c r="I55" s="102"/>
      <c r="J55"/>
      <c r="K55"/>
      <c r="L55" s="102"/>
      <c r="M55" s="102"/>
      <c r="N55" s="178"/>
      <c r="P55" s="102"/>
      <c r="Q55" s="102"/>
      <c r="R55" s="102"/>
      <c r="S55" s="102"/>
      <c r="T55" s="102"/>
      <c r="U55" s="103"/>
      <c r="V55" s="102"/>
      <c r="W55" s="102"/>
      <c r="Z55" s="102"/>
      <c r="AA55" s="103"/>
      <c r="AB55" s="102"/>
      <c r="AC55" s="104"/>
      <c r="AD55" s="104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</row>
    <row r="56" spans="1:54" ht="14.4" x14ac:dyDescent="0.3">
      <c r="A56" s="102"/>
      <c r="E56" s="102"/>
      <c r="F56" s="102"/>
      <c r="G56" s="102"/>
      <c r="H56" s="102"/>
      <c r="I56" s="102"/>
      <c r="J56"/>
      <c r="K56"/>
      <c r="L56" s="102"/>
      <c r="M56" s="102"/>
      <c r="N56" s="178"/>
      <c r="P56" s="102"/>
      <c r="Q56" s="102"/>
      <c r="R56" s="102"/>
      <c r="S56" s="102"/>
      <c r="T56" s="102"/>
      <c r="U56" s="103"/>
      <c r="V56" s="102"/>
      <c r="W56" s="102"/>
      <c r="Z56" s="102"/>
      <c r="AA56" s="103"/>
      <c r="AB56" s="102"/>
      <c r="AC56" s="104"/>
      <c r="AD56" s="104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</row>
    <row r="57" spans="1:54" ht="14.4" x14ac:dyDescent="0.3">
      <c r="A57" s="102"/>
      <c r="E57" s="102"/>
      <c r="F57" s="102"/>
      <c r="G57" s="102"/>
      <c r="H57" s="102"/>
      <c r="I57" s="102"/>
      <c r="J57"/>
      <c r="K57"/>
      <c r="L57" s="102"/>
      <c r="M57" s="102"/>
      <c r="N57" s="178"/>
      <c r="P57" s="102"/>
      <c r="Q57" s="102"/>
      <c r="R57" s="102"/>
      <c r="S57" s="102"/>
      <c r="T57" s="102"/>
      <c r="U57" s="103"/>
      <c r="V57" s="102"/>
      <c r="W57" s="102"/>
      <c r="Z57" s="102"/>
      <c r="AA57" s="103"/>
      <c r="AB57" s="102"/>
      <c r="AC57" s="104"/>
      <c r="AD57" s="104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</row>
    <row r="58" spans="1:54" ht="14.4" x14ac:dyDescent="0.3">
      <c r="A58" s="102"/>
      <c r="E58" s="102"/>
      <c r="F58" s="102"/>
      <c r="G58" s="102"/>
      <c r="H58" s="102"/>
      <c r="I58" s="102"/>
      <c r="J58" s="102"/>
      <c r="K58" s="102"/>
      <c r="L58" s="102"/>
      <c r="M58" s="102"/>
      <c r="N58" s="178"/>
      <c r="P58" s="102"/>
      <c r="Q58" s="102"/>
      <c r="R58" s="102"/>
      <c r="S58" s="102"/>
      <c r="T58" s="102"/>
      <c r="U58" s="103"/>
      <c r="V58" s="102"/>
      <c r="W58" s="102"/>
      <c r="Z58" s="102"/>
      <c r="AA58" s="103"/>
      <c r="AB58" s="102"/>
      <c r="AC58" s="104"/>
      <c r="AD58" s="104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</row>
    <row r="59" spans="1:54" ht="14.4" x14ac:dyDescent="0.3">
      <c r="A59" s="102"/>
      <c r="E59" s="102"/>
      <c r="F59" s="102"/>
      <c r="G59" s="102"/>
      <c r="H59" s="102"/>
      <c r="I59" s="102"/>
      <c r="J59" s="102"/>
      <c r="K59" s="102"/>
      <c r="L59" s="102"/>
      <c r="M59" s="102"/>
      <c r="N59" s="178"/>
      <c r="P59" s="102"/>
      <c r="Q59" s="102"/>
      <c r="R59" s="102"/>
      <c r="S59" s="102"/>
      <c r="T59" s="102"/>
      <c r="U59" s="103"/>
      <c r="V59" s="102"/>
      <c r="W59" s="102"/>
      <c r="Z59" s="102"/>
      <c r="AA59" s="103"/>
      <c r="AB59" s="102"/>
      <c r="AC59" s="104"/>
      <c r="AD59" s="104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</row>
    <row r="60" spans="1:54" ht="14.4" x14ac:dyDescent="0.3">
      <c r="A60" s="102"/>
      <c r="E60" s="102"/>
      <c r="F60" s="102"/>
      <c r="G60" s="102"/>
      <c r="H60" s="102"/>
      <c r="I60" s="102"/>
      <c r="J60" s="102"/>
      <c r="K60" s="102"/>
      <c r="L60" s="102"/>
      <c r="M60" s="102"/>
      <c r="N60" s="178"/>
      <c r="P60" s="102"/>
      <c r="Q60" s="102"/>
      <c r="R60" s="102"/>
      <c r="S60" s="102"/>
      <c r="T60" s="102"/>
      <c r="U60" s="103"/>
      <c r="V60" s="102"/>
      <c r="W60" s="102"/>
      <c r="Z60" s="102"/>
      <c r="AA60" s="103"/>
      <c r="AB60" s="102"/>
      <c r="AC60" s="104"/>
      <c r="AD60" s="104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</row>
    <row r="61" spans="1:54" ht="14.4" x14ac:dyDescent="0.3">
      <c r="A61" s="102"/>
      <c r="E61" s="102"/>
      <c r="F61" s="102"/>
      <c r="G61" s="102"/>
      <c r="H61" s="102"/>
      <c r="I61" s="102"/>
      <c r="J61" s="102"/>
      <c r="K61" s="102"/>
      <c r="L61" s="102"/>
      <c r="M61" s="102"/>
      <c r="N61" s="178"/>
      <c r="P61" s="102"/>
      <c r="Q61" s="102"/>
      <c r="R61" s="102"/>
      <c r="S61" s="102"/>
      <c r="T61" s="102"/>
      <c r="U61" s="103"/>
      <c r="V61" s="102"/>
      <c r="W61" s="102"/>
      <c r="Z61" s="102"/>
      <c r="AA61" s="103"/>
      <c r="AB61" s="102"/>
      <c r="AC61" s="104"/>
      <c r="AD61" s="104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</row>
  </sheetData>
  <autoFilter ref="A1:AZ29" xr:uid="{00000000-0001-0000-0100-000000000000}"/>
  <sortState xmlns:xlrd2="http://schemas.microsoft.com/office/spreadsheetml/2017/richdata2" ref="A3:AZ29">
    <sortCondition ref="B3:B29"/>
  </sortState>
  <phoneticPr fontId="34" type="noConversion"/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2BE7-D1DB-4ACC-A3CD-FE29DC09BC31}">
  <sheetPr codeName="Feuil5"/>
  <dimension ref="A1"/>
  <sheetViews>
    <sheetView workbookViewId="0">
      <selection activeCell="F12" sqref="F1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457BE321F99439E47D1B985E7E281" ma:contentTypeVersion="3" ma:contentTypeDescription="Crée un document." ma:contentTypeScope="" ma:versionID="8c99813c97ec86fcf59b5efb04d75c0a">
  <xsd:schema xmlns:xsd="http://www.w3.org/2001/XMLSchema" xmlns:xs="http://www.w3.org/2001/XMLSchema" xmlns:p="http://schemas.microsoft.com/office/2006/metadata/properties" xmlns:ns2="28e93ad7-969f-4a3b-8544-7d8d571e9dc3" targetNamespace="http://schemas.microsoft.com/office/2006/metadata/properties" ma:root="true" ma:fieldsID="89e216bf099b5a83ec859ec52f8afff9" ns2:_="">
    <xsd:import namespace="28e93ad7-969f-4a3b-8544-7d8d571e9d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3ad7-969f-4a3b-8544-7d8d571e9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63F899-B9AF-4A5B-BD35-4DD53AB47C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59270D-EB67-485F-A39C-C6A8B79139B4}">
  <ds:schemaRefs>
    <ds:schemaRef ds:uri="http://www.w3.org/XML/1998/namespace"/>
    <ds:schemaRef ds:uri="http://purl.org/dc/elements/1.1/"/>
    <ds:schemaRef ds:uri="28e93ad7-969f-4a3b-8544-7d8d571e9dc3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A87C38-A049-4D85-9B4D-88A8778E7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93ad7-969f-4a3b-8544-7d8d571e9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Client ex OEM</vt:lpstr>
      <vt:lpstr>Abonnement Cloud</vt:lpstr>
      <vt:lpstr>Résiliations PCOE</vt:lpstr>
      <vt:lpstr>Maintenance SAP BusinessObjects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Repiquet</dc:creator>
  <cp:keywords/>
  <dc:description/>
  <cp:lastModifiedBy>Rémy FOUCHEREAU</cp:lastModifiedBy>
  <cp:revision/>
  <dcterms:created xsi:type="dcterms:W3CDTF">2014-02-24T05:10:14Z</dcterms:created>
  <dcterms:modified xsi:type="dcterms:W3CDTF">2023-10-11T08:25:48Z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0x01010016C457BE321F99439E47D1B985E7E281</vt:lpwstr>
  </property>
  <property fmtid="{D5CDD505-2E9C-101B-9397-08002B2CF9AE}" pid="3" name="Order">
    <vt:r8>2800</vt:r8>
  </property>
</Properties>
</file>