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saucedogarcia/Documents/Finanzas\Administración\Contabilidad/"/>
    </mc:Choice>
  </mc:AlternateContent>
  <xr:revisionPtr revIDLastSave="0" documentId="8_{6B927A8E-FD76-214D-A550-2335470461D3}" xr6:coauthVersionLast="47" xr6:coauthVersionMax="47" xr10:uidLastSave="{00000000-0000-0000-0000-000000000000}"/>
  <bookViews>
    <workbookView xWindow="0" yWindow="500" windowWidth="28800" windowHeight="16400" tabRatio="785" xr2:uid="{F1A8772C-80AD-4063-9664-0F634A74B71A}"/>
  </bookViews>
  <sheets>
    <sheet name="Analisis" sheetId="1" r:id="rId1"/>
    <sheet name="Edo de resultados" sheetId="2" r:id="rId2"/>
    <sheet name="Balance General" sheetId="3" r:id="rId3"/>
    <sheet name="precios por accion(promedio)" sheetId="4" r:id="rId4"/>
    <sheet name="Rentabilidad" sheetId="5" r:id="rId5"/>
    <sheet name="Razones Operación " sheetId="7" r:id="rId6"/>
    <sheet name="Liquidez" sheetId="6" r:id="rId7"/>
    <sheet name="Razones de endeudamiento" sheetId="8" r:id="rId8"/>
    <sheet name="Razon de valvacion" sheetId="9" r:id="rId9"/>
    <sheet name="Score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4" l="1"/>
  <c r="J6" i="4"/>
  <c r="J7" i="4"/>
  <c r="J4" i="4"/>
  <c r="J3" i="4"/>
  <c r="E39" i="11" a="1"/>
  <c r="E39" i="11" s="1"/>
  <c r="F39" i="11" a="1"/>
  <c r="F39" i="11" s="1"/>
  <c r="G39" i="11" a="1"/>
  <c r="G39" i="11" s="1"/>
  <c r="D39" i="11" a="1"/>
  <c r="D39" i="11" s="1"/>
  <c r="E37" i="11"/>
  <c r="F37" i="11"/>
  <c r="G37" i="11"/>
  <c r="D37" i="11"/>
  <c r="E31" i="11"/>
  <c r="F31" i="11"/>
  <c r="G31" i="11"/>
  <c r="D31" i="11"/>
  <c r="E30" i="11"/>
  <c r="F30" i="11"/>
  <c r="G30" i="11"/>
  <c r="D30" i="11"/>
  <c r="F28" i="11"/>
  <c r="E28" i="11"/>
  <c r="G28" i="11"/>
  <c r="D28" i="11"/>
  <c r="D8" i="11"/>
  <c r="D14" i="11" s="1"/>
  <c r="E8" i="11"/>
  <c r="E14" i="11" s="1"/>
  <c r="F8" i="11"/>
  <c r="F14" i="11" s="1"/>
  <c r="G8" i="11"/>
  <c r="G14" i="11" s="1"/>
  <c r="C8" i="11"/>
  <c r="C14" i="11" s="1"/>
  <c r="D7" i="11"/>
  <c r="D13" i="11" s="1"/>
  <c r="E7" i="11"/>
  <c r="F7" i="11"/>
  <c r="G7" i="11"/>
  <c r="G13" i="11" s="1"/>
  <c r="G12" i="11"/>
  <c r="F12" i="11"/>
  <c r="E12" i="11"/>
  <c r="D12" i="11"/>
  <c r="C12" i="11"/>
  <c r="G11" i="11"/>
  <c r="F11" i="11"/>
  <c r="E11" i="11"/>
  <c r="D11" i="11"/>
  <c r="C11" i="11"/>
  <c r="F13" i="11"/>
  <c r="E13" i="11"/>
  <c r="D3" i="8"/>
  <c r="E3" i="8"/>
  <c r="F3" i="8"/>
  <c r="G3" i="8"/>
  <c r="C3" i="8"/>
  <c r="D4" i="9"/>
  <c r="E4" i="9"/>
  <c r="F4" i="9"/>
  <c r="G4" i="9"/>
  <c r="C4" i="9"/>
  <c r="D5" i="9"/>
  <c r="E5" i="9"/>
  <c r="F5" i="9"/>
  <c r="G5" i="9"/>
  <c r="C5" i="9"/>
  <c r="D2" i="9"/>
  <c r="D3" i="9" s="1"/>
  <c r="E2" i="9"/>
  <c r="E3" i="9" s="1"/>
  <c r="F2" i="9"/>
  <c r="F3" i="9" s="1"/>
  <c r="G2" i="9"/>
  <c r="G3" i="9" s="1"/>
  <c r="C2" i="9"/>
  <c r="C3" i="9" s="1"/>
  <c r="D4" i="8"/>
  <c r="E4" i="8"/>
  <c r="F4" i="8"/>
  <c r="G4" i="8"/>
  <c r="C4" i="8"/>
  <c r="D2" i="8"/>
  <c r="E2" i="8"/>
  <c r="F2" i="8"/>
  <c r="G2" i="8"/>
  <c r="C2" i="8"/>
  <c r="D6" i="7" l="1"/>
  <c r="E6" i="7"/>
  <c r="F6" i="7"/>
  <c r="G6" i="7"/>
  <c r="C6" i="7"/>
  <c r="D5" i="7" l="1"/>
  <c r="E5" i="7"/>
  <c r="F5" i="7"/>
  <c r="G5" i="7"/>
  <c r="C5" i="7"/>
  <c r="D2" i="7"/>
  <c r="E2" i="7"/>
  <c r="F2" i="7"/>
  <c r="G2" i="7"/>
  <c r="C2" i="7"/>
  <c r="D6" i="6"/>
  <c r="E6" i="6"/>
  <c r="F6" i="6"/>
  <c r="G6" i="6"/>
  <c r="C6" i="6"/>
  <c r="D5" i="6"/>
  <c r="E5" i="6"/>
  <c r="F5" i="6"/>
  <c r="G5" i="6"/>
  <c r="C5" i="6"/>
  <c r="D4" i="6"/>
  <c r="E4" i="6"/>
  <c r="F4" i="6"/>
  <c r="G4" i="6"/>
  <c r="C4" i="6"/>
  <c r="D3" i="6"/>
  <c r="E3" i="6"/>
  <c r="F3" i="6"/>
  <c r="G3" i="6"/>
  <c r="C3" i="6"/>
  <c r="D2" i="6"/>
  <c r="E2" i="6"/>
  <c r="F2" i="6"/>
  <c r="G2" i="6"/>
  <c r="C2" i="6"/>
  <c r="D6" i="5" l="1"/>
  <c r="E6" i="5"/>
  <c r="F6" i="5"/>
  <c r="G6" i="5"/>
  <c r="C6" i="5"/>
  <c r="D5" i="5"/>
  <c r="E5" i="5"/>
  <c r="F5" i="5"/>
  <c r="G5" i="5"/>
  <c r="C5" i="5"/>
  <c r="D4" i="5"/>
  <c r="E4" i="5"/>
  <c r="F4" i="5"/>
  <c r="G4" i="5"/>
  <c r="C4" i="5"/>
  <c r="D2" i="5"/>
  <c r="E2" i="5"/>
  <c r="F2" i="5"/>
  <c r="G2" i="5"/>
  <c r="C2" i="5"/>
  <c r="J52" i="2"/>
  <c r="K52" i="2"/>
  <c r="L52" i="2"/>
  <c r="M52" i="2"/>
  <c r="N52" i="2"/>
  <c r="J53" i="2"/>
  <c r="K53" i="2"/>
  <c r="L53" i="2"/>
  <c r="M53" i="2"/>
  <c r="N53" i="2"/>
  <c r="J54" i="2"/>
  <c r="K54" i="2"/>
  <c r="L54" i="2"/>
  <c r="M54" i="2"/>
  <c r="N54" i="2"/>
  <c r="J55" i="2"/>
  <c r="K55" i="2"/>
  <c r="L55" i="2"/>
  <c r="M55" i="2"/>
  <c r="N55" i="2"/>
  <c r="J56" i="2"/>
  <c r="K56" i="2"/>
  <c r="L56" i="2"/>
  <c r="M56" i="2"/>
  <c r="N56" i="2"/>
  <c r="J57" i="2"/>
  <c r="K57" i="2"/>
  <c r="L57" i="2"/>
  <c r="M57" i="2"/>
  <c r="N57" i="2"/>
  <c r="J58" i="2"/>
  <c r="K58" i="2"/>
  <c r="L58" i="2"/>
  <c r="M58" i="2"/>
  <c r="N58" i="2"/>
  <c r="J59" i="2"/>
  <c r="K59" i="2"/>
  <c r="L59" i="2"/>
  <c r="M59" i="2"/>
  <c r="N59" i="2"/>
  <c r="N60" i="2"/>
  <c r="N61" i="2"/>
  <c r="J62" i="2"/>
  <c r="K62" i="2"/>
  <c r="L62" i="2"/>
  <c r="M62" i="2"/>
  <c r="N62" i="2"/>
  <c r="J63" i="2"/>
  <c r="K63" i="2"/>
  <c r="L63" i="2"/>
  <c r="M63" i="2"/>
  <c r="N63" i="2"/>
  <c r="J65" i="2"/>
  <c r="K65" i="2"/>
  <c r="L65" i="2"/>
  <c r="M65" i="2"/>
  <c r="N65" i="2"/>
  <c r="J66" i="2"/>
  <c r="K66" i="2"/>
  <c r="L66" i="2"/>
  <c r="M66" i="2"/>
  <c r="N66" i="2"/>
  <c r="J68" i="2"/>
  <c r="K68" i="2"/>
  <c r="L68" i="2"/>
  <c r="M68" i="2"/>
  <c r="N68" i="2"/>
  <c r="J69" i="2"/>
  <c r="K69" i="2"/>
  <c r="L69" i="2"/>
  <c r="M69" i="2"/>
  <c r="N69" i="2"/>
  <c r="J70" i="2"/>
  <c r="K70" i="2"/>
  <c r="L70" i="2"/>
  <c r="M70" i="2"/>
  <c r="N70" i="2"/>
  <c r="J71" i="2"/>
  <c r="K71" i="2"/>
  <c r="L71" i="2"/>
  <c r="M71" i="2"/>
  <c r="N71" i="2"/>
  <c r="J72" i="2"/>
  <c r="K72" i="2"/>
  <c r="L72" i="2"/>
  <c r="M72" i="2"/>
  <c r="N72" i="2"/>
  <c r="J73" i="2"/>
  <c r="K73" i="2"/>
  <c r="L73" i="2"/>
  <c r="M73" i="2"/>
  <c r="N73" i="2"/>
  <c r="K51" i="2"/>
  <c r="L51" i="2"/>
  <c r="M51" i="2"/>
  <c r="N51" i="2"/>
  <c r="J51" i="2"/>
  <c r="J46" i="2"/>
  <c r="K46" i="2"/>
  <c r="L46" i="2"/>
  <c r="M46" i="2"/>
  <c r="N46" i="2"/>
  <c r="J47" i="2"/>
  <c r="K47" i="2"/>
  <c r="L47" i="2"/>
  <c r="M47" i="2"/>
  <c r="N47" i="2"/>
  <c r="J48" i="2"/>
  <c r="K48" i="2"/>
  <c r="L48" i="2"/>
  <c r="M48" i="2"/>
  <c r="N48" i="2"/>
  <c r="J49" i="2"/>
  <c r="K49" i="2"/>
  <c r="L49" i="2"/>
  <c r="M49" i="2"/>
  <c r="N49" i="2"/>
  <c r="K44" i="2"/>
  <c r="L44" i="2"/>
  <c r="M44" i="2"/>
  <c r="N44" i="2"/>
  <c r="J44" i="2"/>
  <c r="K65" i="3"/>
  <c r="K10" i="3"/>
  <c r="J101" i="3"/>
  <c r="K101" i="3"/>
  <c r="L101" i="3"/>
  <c r="M101" i="3"/>
  <c r="N101" i="3"/>
  <c r="J102" i="3"/>
  <c r="K102" i="3"/>
  <c r="L102" i="3"/>
  <c r="L103" i="3"/>
  <c r="M103" i="3"/>
  <c r="N103" i="3"/>
  <c r="J104" i="3"/>
  <c r="K104" i="3"/>
  <c r="L104" i="3"/>
  <c r="M104" i="3"/>
  <c r="N104" i="3"/>
  <c r="J105" i="3"/>
  <c r="K105" i="3"/>
  <c r="L105" i="3"/>
  <c r="M105" i="3"/>
  <c r="N105" i="3"/>
  <c r="J106" i="3"/>
  <c r="K106" i="3"/>
  <c r="L106" i="3"/>
  <c r="M106" i="3"/>
  <c r="N106" i="3"/>
  <c r="J107" i="3"/>
  <c r="K107" i="3"/>
  <c r="L107" i="3"/>
  <c r="M107" i="3"/>
  <c r="N107" i="3"/>
  <c r="J108" i="3"/>
  <c r="J109" i="3"/>
  <c r="K109" i="3"/>
  <c r="L109" i="3"/>
  <c r="M109" i="3"/>
  <c r="N109" i="3"/>
  <c r="J110" i="3"/>
  <c r="K110" i="3"/>
  <c r="L110" i="3"/>
  <c r="M110" i="3"/>
  <c r="N110" i="3"/>
  <c r="J111" i="3"/>
  <c r="K111" i="3"/>
  <c r="L111" i="3"/>
  <c r="M111" i="3"/>
  <c r="N111" i="3"/>
  <c r="J112" i="3"/>
  <c r="K112" i="3"/>
  <c r="L112" i="3"/>
  <c r="M112" i="3"/>
  <c r="N112" i="3"/>
  <c r="J113" i="3"/>
  <c r="K113" i="3"/>
  <c r="L113" i="3"/>
  <c r="M113" i="3"/>
  <c r="N113" i="3"/>
  <c r="J114" i="3"/>
  <c r="K114" i="3"/>
  <c r="L114" i="3"/>
  <c r="M114" i="3"/>
  <c r="N114" i="3"/>
  <c r="N98" i="3"/>
  <c r="L99" i="3"/>
  <c r="M99" i="3"/>
  <c r="N99" i="3"/>
  <c r="M100" i="3"/>
  <c r="N100" i="3"/>
  <c r="K97" i="3"/>
  <c r="L97" i="3"/>
  <c r="M97" i="3"/>
  <c r="N97" i="3"/>
  <c r="J89" i="3"/>
  <c r="K89" i="3"/>
  <c r="L89" i="3"/>
  <c r="M89" i="3"/>
  <c r="N89" i="3"/>
  <c r="J90" i="3"/>
  <c r="K90" i="3"/>
  <c r="L90" i="3"/>
  <c r="M90" i="3"/>
  <c r="N90" i="3"/>
  <c r="J91" i="3"/>
  <c r="K91" i="3"/>
  <c r="L91" i="3"/>
  <c r="M91" i="3"/>
  <c r="N91" i="3"/>
  <c r="J92" i="3"/>
  <c r="K92" i="3"/>
  <c r="L92" i="3"/>
  <c r="M92" i="3"/>
  <c r="N92" i="3"/>
  <c r="J93" i="3"/>
  <c r="K93" i="3"/>
  <c r="L93" i="3"/>
  <c r="M93" i="3"/>
  <c r="N93" i="3"/>
  <c r="J94" i="3"/>
  <c r="K94" i="3"/>
  <c r="L94" i="3"/>
  <c r="M94" i="3"/>
  <c r="N94" i="3"/>
  <c r="J95" i="3"/>
  <c r="K95" i="3"/>
  <c r="L95" i="3"/>
  <c r="M95" i="3"/>
  <c r="N95" i="3"/>
  <c r="K88" i="3"/>
  <c r="L88" i="3"/>
  <c r="M88" i="3"/>
  <c r="N88" i="3"/>
  <c r="J76" i="3"/>
  <c r="K76" i="3"/>
  <c r="L76" i="3"/>
  <c r="M76" i="3"/>
  <c r="N76" i="3"/>
  <c r="J77" i="3"/>
  <c r="K77" i="3"/>
  <c r="L77" i="3"/>
  <c r="M77" i="3"/>
  <c r="N77" i="3"/>
  <c r="J78" i="3"/>
  <c r="K78" i="3"/>
  <c r="L78" i="3"/>
  <c r="M78" i="3"/>
  <c r="J79" i="3"/>
  <c r="K79" i="3"/>
  <c r="L79" i="3"/>
  <c r="M79" i="3"/>
  <c r="N79" i="3"/>
  <c r="J80" i="3"/>
  <c r="K80" i="3"/>
  <c r="L80" i="3"/>
  <c r="M80" i="3"/>
  <c r="N80" i="3"/>
  <c r="J81" i="3"/>
  <c r="L81" i="3"/>
  <c r="M81" i="3"/>
  <c r="N81" i="3"/>
  <c r="J82" i="3"/>
  <c r="K82" i="3"/>
  <c r="L82" i="3"/>
  <c r="M82" i="3"/>
  <c r="N82" i="3"/>
  <c r="J83" i="3"/>
  <c r="K83" i="3"/>
  <c r="L83" i="3"/>
  <c r="M83" i="3"/>
  <c r="N83" i="3"/>
  <c r="J84" i="3"/>
  <c r="K84" i="3"/>
  <c r="L84" i="3"/>
  <c r="M84" i="3"/>
  <c r="N84" i="3"/>
  <c r="J85" i="3"/>
  <c r="K85" i="3"/>
  <c r="L85" i="3"/>
  <c r="M85" i="3"/>
  <c r="N85" i="3"/>
  <c r="K75" i="3"/>
  <c r="K66" i="3"/>
  <c r="L66" i="3"/>
  <c r="M66" i="3"/>
  <c r="N66" i="3"/>
  <c r="K67" i="3"/>
  <c r="L67" i="3"/>
  <c r="N67" i="3"/>
  <c r="K68" i="3"/>
  <c r="L68" i="3"/>
  <c r="M68" i="3"/>
  <c r="K69" i="3"/>
  <c r="L69" i="3"/>
  <c r="M69" i="3"/>
  <c r="N69" i="3"/>
  <c r="K70" i="3"/>
  <c r="L70" i="3"/>
  <c r="M70" i="3"/>
  <c r="N70" i="3"/>
  <c r="K71" i="3"/>
  <c r="L71" i="3"/>
  <c r="M71" i="3"/>
  <c r="N71" i="3"/>
  <c r="K72" i="3"/>
  <c r="L72" i="3"/>
  <c r="M72" i="3"/>
  <c r="N72" i="3"/>
  <c r="K73" i="3"/>
  <c r="L73" i="3"/>
  <c r="M73" i="3"/>
  <c r="N73" i="3"/>
  <c r="L65" i="3"/>
  <c r="M65" i="3"/>
  <c r="N65" i="3"/>
  <c r="J66" i="3"/>
  <c r="J67" i="3"/>
  <c r="J68" i="3"/>
  <c r="J69" i="3"/>
  <c r="J70" i="3"/>
  <c r="J71" i="3"/>
  <c r="J72" i="3"/>
  <c r="J73" i="3"/>
  <c r="J75" i="3"/>
  <c r="J88" i="3"/>
  <c r="J97" i="3"/>
  <c r="J65" i="3"/>
  <c r="K58" i="3"/>
  <c r="L58" i="3"/>
  <c r="M58" i="3"/>
  <c r="N58" i="3"/>
  <c r="L10" i="3"/>
  <c r="M10" i="3"/>
  <c r="N10" i="3"/>
  <c r="K11" i="3"/>
  <c r="L11" i="3"/>
  <c r="K12" i="3"/>
  <c r="L12" i="3"/>
  <c r="M12" i="3"/>
  <c r="K13" i="3"/>
  <c r="L13" i="3"/>
  <c r="M13" i="3"/>
  <c r="N13" i="3"/>
  <c r="K14" i="3"/>
  <c r="L14" i="3"/>
  <c r="M14" i="3"/>
  <c r="N14" i="3"/>
  <c r="K15" i="3"/>
  <c r="L15" i="3"/>
  <c r="M15" i="3"/>
  <c r="N15" i="3"/>
  <c r="K16" i="3"/>
  <c r="L16" i="3"/>
  <c r="M16" i="3"/>
  <c r="N16" i="3"/>
  <c r="K17" i="3"/>
  <c r="L17" i="3"/>
  <c r="M17" i="3"/>
  <c r="N17" i="3"/>
  <c r="K19" i="3"/>
  <c r="K20" i="3"/>
  <c r="L20" i="3"/>
  <c r="M20" i="3"/>
  <c r="N20" i="3"/>
  <c r="K21" i="3"/>
  <c r="L21" i="3"/>
  <c r="M21" i="3"/>
  <c r="N21" i="3"/>
  <c r="K22" i="3"/>
  <c r="L22" i="3"/>
  <c r="M22" i="3"/>
  <c r="K23" i="3"/>
  <c r="L23" i="3"/>
  <c r="M23" i="3"/>
  <c r="N23" i="3"/>
  <c r="K24" i="3"/>
  <c r="L24" i="3"/>
  <c r="M24" i="3"/>
  <c r="N24" i="3"/>
  <c r="M25" i="3"/>
  <c r="N25" i="3"/>
  <c r="K26" i="3"/>
  <c r="L26" i="3"/>
  <c r="M26" i="3"/>
  <c r="N26" i="3"/>
  <c r="K27" i="3"/>
  <c r="L27" i="3"/>
  <c r="M27" i="3"/>
  <c r="N27" i="3"/>
  <c r="K28" i="3"/>
  <c r="L28" i="3"/>
  <c r="M28" i="3"/>
  <c r="N28" i="3"/>
  <c r="K29" i="3"/>
  <c r="L29" i="3"/>
  <c r="M29" i="3"/>
  <c r="N29" i="3"/>
  <c r="K32" i="3"/>
  <c r="L32" i="3"/>
  <c r="M32" i="3"/>
  <c r="N32" i="3"/>
  <c r="K33" i="3"/>
  <c r="L33" i="3"/>
  <c r="M33" i="3"/>
  <c r="N33" i="3"/>
  <c r="K34" i="3"/>
  <c r="L34" i="3"/>
  <c r="M34" i="3"/>
  <c r="N34" i="3"/>
  <c r="K35" i="3"/>
  <c r="L35" i="3"/>
  <c r="M35" i="3"/>
  <c r="N35" i="3"/>
  <c r="K36" i="3"/>
  <c r="L36" i="3"/>
  <c r="M36" i="3"/>
  <c r="N36" i="3"/>
  <c r="K37" i="3"/>
  <c r="L37" i="3"/>
  <c r="M37" i="3"/>
  <c r="N37" i="3"/>
  <c r="K39" i="3"/>
  <c r="L39" i="3"/>
  <c r="M39" i="3"/>
  <c r="N39" i="3"/>
  <c r="K41" i="3"/>
  <c r="L41" i="3"/>
  <c r="M41" i="3"/>
  <c r="N41" i="3"/>
  <c r="M43" i="3"/>
  <c r="N43" i="3"/>
  <c r="N44" i="3"/>
  <c r="K45" i="3"/>
  <c r="L45" i="3"/>
  <c r="M45" i="3"/>
  <c r="N45" i="3"/>
  <c r="K46" i="3"/>
  <c r="L46" i="3"/>
  <c r="M47" i="3"/>
  <c r="N47" i="3"/>
  <c r="M48" i="3"/>
  <c r="N48" i="3"/>
  <c r="M49" i="3"/>
  <c r="N49" i="3"/>
  <c r="K51" i="3"/>
  <c r="L51" i="3"/>
  <c r="M51" i="3"/>
  <c r="N51" i="3"/>
  <c r="K53" i="3"/>
  <c r="L53" i="3"/>
  <c r="M53" i="3"/>
  <c r="N53" i="3"/>
  <c r="K54" i="3"/>
  <c r="L54" i="3"/>
  <c r="M54" i="3"/>
  <c r="N54" i="3"/>
  <c r="K55" i="3"/>
  <c r="L55" i="3"/>
  <c r="M55" i="3"/>
  <c r="N55" i="3"/>
  <c r="K56" i="3"/>
  <c r="L56" i="3"/>
  <c r="M56" i="3"/>
  <c r="N56" i="3"/>
  <c r="K57" i="3"/>
  <c r="L57" i="3"/>
  <c r="M57" i="3"/>
  <c r="N57" i="3"/>
  <c r="L9" i="3"/>
  <c r="M9" i="3"/>
  <c r="N9" i="3"/>
  <c r="K9" i="3"/>
  <c r="K10" i="2" l="1"/>
  <c r="L10" i="2"/>
  <c r="M10" i="2"/>
  <c r="N10" i="2"/>
  <c r="K11" i="2"/>
  <c r="L11" i="2"/>
  <c r="M11" i="2"/>
  <c r="N11" i="2"/>
  <c r="K12" i="2"/>
  <c r="L12" i="2"/>
  <c r="M12" i="2"/>
  <c r="N12" i="2"/>
  <c r="K13" i="2"/>
  <c r="L13" i="2"/>
  <c r="M13" i="2"/>
  <c r="N13" i="2"/>
  <c r="K15" i="2"/>
  <c r="L15" i="2"/>
  <c r="M15" i="2"/>
  <c r="N15" i="2"/>
  <c r="K16" i="2"/>
  <c r="L16" i="2"/>
  <c r="M16" i="2"/>
  <c r="N16" i="2"/>
  <c r="K17" i="2"/>
  <c r="L17" i="2"/>
  <c r="M17" i="2"/>
  <c r="N17" i="2"/>
  <c r="K18" i="2"/>
  <c r="L18" i="2"/>
  <c r="M18" i="2"/>
  <c r="N18" i="2"/>
  <c r="K19" i="2"/>
  <c r="L19" i="2"/>
  <c r="M19" i="2"/>
  <c r="N19" i="2"/>
  <c r="K20" i="2"/>
  <c r="L20" i="2"/>
  <c r="M20" i="2"/>
  <c r="N20" i="2"/>
  <c r="K21" i="2"/>
  <c r="L21" i="2"/>
  <c r="M21" i="2"/>
  <c r="N21" i="2"/>
  <c r="K22" i="2"/>
  <c r="L22" i="2"/>
  <c r="M22" i="2"/>
  <c r="N22" i="2"/>
  <c r="K23" i="2"/>
  <c r="L23" i="2"/>
  <c r="M23" i="2"/>
  <c r="N23" i="2"/>
  <c r="K26" i="2"/>
  <c r="L26" i="2"/>
  <c r="M26" i="2"/>
  <c r="N26" i="2"/>
  <c r="K27" i="2"/>
  <c r="L27" i="2"/>
  <c r="M27" i="2"/>
  <c r="N27" i="2"/>
  <c r="K29" i="2"/>
  <c r="L29" i="2"/>
  <c r="M29" i="2"/>
  <c r="N29" i="2"/>
  <c r="K30" i="2"/>
  <c r="L30" i="2"/>
  <c r="M30" i="2"/>
  <c r="N30" i="2"/>
  <c r="K32" i="2"/>
  <c r="L32" i="2"/>
  <c r="M32" i="2"/>
  <c r="N32" i="2"/>
  <c r="K33" i="2"/>
  <c r="L33" i="2"/>
  <c r="M33" i="2"/>
  <c r="N33" i="2"/>
  <c r="K34" i="2"/>
  <c r="L34" i="2"/>
  <c r="M34" i="2"/>
  <c r="N34" i="2"/>
  <c r="K35" i="2"/>
  <c r="L35" i="2"/>
  <c r="M35" i="2"/>
  <c r="N35" i="2"/>
  <c r="K36" i="2"/>
  <c r="L36" i="2"/>
  <c r="M36" i="2"/>
  <c r="N36" i="2"/>
  <c r="K37" i="2"/>
  <c r="L37" i="2"/>
  <c r="M37" i="2"/>
  <c r="N37" i="2"/>
  <c r="L8" i="2"/>
  <c r="M8" i="2"/>
  <c r="N8" i="2"/>
  <c r="K8" i="2"/>
  <c r="C30" i="2"/>
  <c r="C35" i="2" s="1"/>
  <c r="C37" i="2" s="1"/>
  <c r="F34" i="2"/>
  <c r="B34" i="2"/>
  <c r="C29" i="2"/>
  <c r="D29" i="2"/>
  <c r="E29" i="2"/>
  <c r="E30" i="2" s="1"/>
  <c r="E35" i="2" s="1"/>
  <c r="E37" i="2" s="1"/>
  <c r="F29" i="2"/>
  <c r="B26" i="2"/>
  <c r="B29" i="2" s="1"/>
  <c r="C34" i="2"/>
  <c r="D34" i="2"/>
  <c r="E34" i="2"/>
  <c r="D57" i="3"/>
  <c r="C57" i="3"/>
  <c r="B57" i="3"/>
  <c r="E58" i="3"/>
  <c r="E55" i="3"/>
  <c r="D55" i="3"/>
  <c r="E57" i="3"/>
  <c r="F55" i="3"/>
  <c r="B55" i="3"/>
  <c r="C55" i="3"/>
  <c r="C48" i="3"/>
  <c r="L48" i="3" s="1"/>
  <c r="D48" i="3"/>
  <c r="E48" i="3"/>
  <c r="F48" i="3"/>
  <c r="F49" i="3" s="1"/>
  <c r="E49" i="3"/>
  <c r="B48" i="3"/>
  <c r="F57" i="3"/>
  <c r="C39" i="3"/>
  <c r="D39" i="3"/>
  <c r="D49" i="3" s="1"/>
  <c r="E39" i="3"/>
  <c r="F39" i="3"/>
  <c r="C28" i="3"/>
  <c r="D28" i="3"/>
  <c r="E28" i="3"/>
  <c r="F28" i="3"/>
  <c r="C17" i="3"/>
  <c r="C29" i="3" s="1"/>
  <c r="D17" i="3"/>
  <c r="D29" i="3" s="1"/>
  <c r="E17" i="3"/>
  <c r="F17" i="3"/>
  <c r="F29" i="3" s="1"/>
  <c r="C10" i="2"/>
  <c r="C13" i="2" s="1"/>
  <c r="D10" i="2"/>
  <c r="D13" i="2" s="1"/>
  <c r="D30" i="2" s="1"/>
  <c r="D35" i="2" s="1"/>
  <c r="D37" i="2" s="1"/>
  <c r="E10" i="2"/>
  <c r="E13" i="2" s="1"/>
  <c r="F10" i="2"/>
  <c r="F13" i="2" s="1"/>
  <c r="F30" i="2" s="1"/>
  <c r="B10" i="2"/>
  <c r="B13" i="2" s="1"/>
  <c r="B39" i="3"/>
  <c r="B29" i="3"/>
  <c r="B28" i="3"/>
  <c r="B17" i="3"/>
  <c r="K48" i="3" l="1"/>
  <c r="B49" i="3"/>
  <c r="K49" i="3" s="1"/>
  <c r="F35" i="2"/>
  <c r="F37" i="2" s="1"/>
  <c r="B30" i="2"/>
  <c r="B35" i="2" s="1"/>
  <c r="B37" i="2" s="1"/>
  <c r="D58" i="3"/>
  <c r="B58" i="3"/>
  <c r="C49" i="3"/>
  <c r="F58" i="3"/>
  <c r="E29" i="3"/>
  <c r="C58" i="3" l="1"/>
  <c r="L4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<sst xmlns="http://schemas.openxmlformats.org/spreadsheetml/2006/main" count="481" uniqueCount="156">
  <si>
    <t xml:space="preserve">1. Tasa de crecimiento (analisis horizontal)   </t>
  </si>
  <si>
    <t xml:space="preserve">2.Tamaño comun                                                                                                                                                                                                         </t>
  </si>
  <si>
    <r>
      <rPr>
        <b/>
        <sz val="11"/>
        <color theme="1"/>
        <rFont val="Calibri"/>
        <family val="2"/>
        <scheme val="minor"/>
      </rPr>
      <t xml:space="preserve">Balance General </t>
    </r>
    <r>
      <rPr>
        <sz val="11"/>
        <color theme="1"/>
        <rFont val="Calibri"/>
        <family val="2"/>
        <scheme val="minor"/>
      </rPr>
      <t>, es convertir todos los resultados entre Total activo</t>
    </r>
  </si>
  <si>
    <r>
      <rPr>
        <b/>
        <sz val="11"/>
        <color theme="1"/>
        <rFont val="Calibri"/>
        <family val="2"/>
        <scheme val="minor"/>
      </rPr>
      <t>Estado de Resultados</t>
    </r>
    <r>
      <rPr>
        <sz val="11"/>
        <color theme="1"/>
        <rFont val="Calibri"/>
        <family val="2"/>
        <scheme val="minor"/>
      </rPr>
      <t>, es entre ventas totales / ventas netas</t>
    </r>
  </si>
  <si>
    <t>3.Razones Financieros</t>
  </si>
  <si>
    <t>Rentablidad</t>
  </si>
  <si>
    <t>Liquidez</t>
  </si>
  <si>
    <t>(Indicadores de liquidez)</t>
  </si>
  <si>
    <t>Si la razon circulante es igual a 2 , es lo optimo para una empresa</t>
  </si>
  <si>
    <t>Su valor ideal es de 1.5</t>
  </si>
  <si>
    <t>Si la razon circulante es mayor a 1 , significa que la empresa tiene buena liquidez</t>
  </si>
  <si>
    <t>Su valor ideal debe ser &gt;0.2 y &lt;0.7</t>
  </si>
  <si>
    <t>(Disposicion de efectivo)</t>
  </si>
  <si>
    <t xml:space="preserve">Razones operación </t>
  </si>
  <si>
    <t>Razones de endeudamiento</t>
  </si>
  <si>
    <t>Razones de Valvacion</t>
  </si>
  <si>
    <t>Grupo Aeroméxico, S. A. B. de C. V. y subsidiarias</t>
  </si>
  <si>
    <t>Estado de resultados</t>
  </si>
  <si>
    <t>Del 1 de Enero al 31 de Diciembre de cada año</t>
  </si>
  <si>
    <t>En miles de pesos</t>
  </si>
  <si>
    <t>Tasa de crecimiento</t>
  </si>
  <si>
    <t>Ingresos de operación</t>
  </si>
  <si>
    <t>Pasajeros tarifa</t>
  </si>
  <si>
    <t>Complementarios</t>
  </si>
  <si>
    <t>-</t>
  </si>
  <si>
    <t>Total ingresos pasajeros</t>
  </si>
  <si>
    <t>Carga</t>
  </si>
  <si>
    <t>Otros</t>
  </si>
  <si>
    <t>Total de ingresos de operación</t>
  </si>
  <si>
    <t>Gastos de operación</t>
  </si>
  <si>
    <t>Fuerza de trabajo</t>
  </si>
  <si>
    <t>Combustible</t>
  </si>
  <si>
    <t>Servicios de tráfico, escala y comunicaciones</t>
  </si>
  <si>
    <t>Ventas y administración general</t>
  </si>
  <si>
    <t>Mantenimiento</t>
  </si>
  <si>
    <t>Comisiones a agencias</t>
  </si>
  <si>
    <t>Servicio a pasajeros</t>
  </si>
  <si>
    <t>Renta de equipo y vuelo</t>
  </si>
  <si>
    <t>Depreciación y amortización</t>
  </si>
  <si>
    <t>Deterioro</t>
  </si>
  <si>
    <t>Gastos de reestructura</t>
  </si>
  <si>
    <t>Otros (ingresos) gastos, neto</t>
  </si>
  <si>
    <t>Participación en los resultados de negocios conjuntos y asociada</t>
  </si>
  <si>
    <t>Total de gastos de operación</t>
  </si>
  <si>
    <t>Utilidad de operación</t>
  </si>
  <si>
    <t>Ingresos (costos) financieros</t>
  </si>
  <si>
    <t>Ingresos financieros</t>
  </si>
  <si>
    <t>Costos financieros</t>
  </si>
  <si>
    <t>Total de costos financieros</t>
  </si>
  <si>
    <t>Utilidad antes de impuestos a la utilidad</t>
  </si>
  <si>
    <t>Impuestos a la utilidad</t>
  </si>
  <si>
    <t>Utilidad neta del año</t>
  </si>
  <si>
    <t>Tamaño comun</t>
  </si>
  <si>
    <t xml:space="preserve"> </t>
  </si>
  <si>
    <t>Balance General</t>
  </si>
  <si>
    <t>Activos</t>
  </si>
  <si>
    <t>Activos Circulante</t>
  </si>
  <si>
    <t>Efectivo y equivalente de efectivo</t>
  </si>
  <si>
    <t xml:space="preserve">Efectivo restringido </t>
  </si>
  <si>
    <t xml:space="preserve">Activos Financieros </t>
  </si>
  <si>
    <t xml:space="preserve"> -</t>
  </si>
  <si>
    <t>Instrumentos financieros derivados</t>
  </si>
  <si>
    <t xml:space="preserve">Cuentas por cobrar , neto </t>
  </si>
  <si>
    <t xml:space="preserve">Cuentas por cobrar a partes relacionadas </t>
  </si>
  <si>
    <t xml:space="preserve">Pagos anticipados y depositos </t>
  </si>
  <si>
    <t xml:space="preserve">Inventarios </t>
  </si>
  <si>
    <t>Total activo circulante</t>
  </si>
  <si>
    <t>Activos No circulantes</t>
  </si>
  <si>
    <t xml:space="preserve">Propiedades y equipo, neto </t>
  </si>
  <si>
    <t>Activos Intangibles</t>
  </si>
  <si>
    <t>Inversiones en negocios conjuntos y asociadas</t>
  </si>
  <si>
    <t>Cuentas por cobrar a largo plazo</t>
  </si>
  <si>
    <t>Otros activos no circulantes</t>
  </si>
  <si>
    <t>Impuestos a la utilidad diferidos</t>
  </si>
  <si>
    <t>Total activo no circulante</t>
  </si>
  <si>
    <t>Total activo</t>
  </si>
  <si>
    <r>
      <rPr>
        <b/>
        <sz val="11"/>
        <color theme="1"/>
        <rFont val="Calibri"/>
        <family val="2"/>
        <scheme val="minor"/>
      </rPr>
      <t>Pasivo</t>
    </r>
    <r>
      <rPr>
        <sz val="11"/>
        <color theme="1"/>
        <rFont val="Calibri"/>
        <family val="2"/>
        <scheme val="minor"/>
      </rPr>
      <t xml:space="preserve"> </t>
    </r>
  </si>
  <si>
    <t>Pasivo circulante</t>
  </si>
  <si>
    <t>Vencimiento circulante de la deuda financiera</t>
  </si>
  <si>
    <t>Cuentas por pagar</t>
  </si>
  <si>
    <t>Cuentas por pagar a partes relacionadas</t>
  </si>
  <si>
    <t>Provisiones</t>
  </si>
  <si>
    <t>Transportación vendida no utilizada</t>
  </si>
  <si>
    <t>Impuestos a la utilidad y participación de los trabajadores en las utilidade</t>
  </si>
  <si>
    <t>Total del pasivo circulante</t>
  </si>
  <si>
    <t>Pasivo no circulante</t>
  </si>
  <si>
    <t>Deuda financiera, excluyendo vencimientos circulantes</t>
  </si>
  <si>
    <t>Ingresos diferidos</t>
  </si>
  <si>
    <t>Beneficios a los empleados</t>
  </si>
  <si>
    <t>Total del pasivo no circulante</t>
  </si>
  <si>
    <t xml:space="preserve">Total pasivo </t>
  </si>
  <si>
    <t>Capital contable</t>
  </si>
  <si>
    <t>Capital social</t>
  </si>
  <si>
    <t>Aportaciones para futuros aumentos de capital</t>
  </si>
  <si>
    <t>Utilidades retenidas</t>
  </si>
  <si>
    <t>Reservas</t>
  </si>
  <si>
    <t>Capital Contable - Participación controladora</t>
  </si>
  <si>
    <t>Participación no controladora</t>
  </si>
  <si>
    <t>Total del capital contable</t>
  </si>
  <si>
    <t>Total del pasivo y capital contable</t>
  </si>
  <si>
    <t xml:space="preserve">Numero de acciones </t>
  </si>
  <si>
    <t>Precio por accion</t>
  </si>
  <si>
    <t>Date</t>
  </si>
  <si>
    <t>Open</t>
  </si>
  <si>
    <t>High</t>
  </si>
  <si>
    <t>Low</t>
  </si>
  <si>
    <t>Close</t>
  </si>
  <si>
    <t>Adj Close</t>
  </si>
  <si>
    <t>Volume</t>
  </si>
  <si>
    <t>precio de accion (promedio)</t>
  </si>
  <si>
    <t>año</t>
  </si>
  <si>
    <t>precio de accion</t>
  </si>
  <si>
    <t>Margen Utilidad</t>
  </si>
  <si>
    <t xml:space="preserve">Margen Bruto </t>
  </si>
  <si>
    <t>Margen Operativo</t>
  </si>
  <si>
    <t>ROA</t>
  </si>
  <si>
    <t>ROE</t>
  </si>
  <si>
    <t>Rotacion Activos</t>
  </si>
  <si>
    <t>Rotacion Inventario</t>
  </si>
  <si>
    <t>Promedio Dias Inventario</t>
  </si>
  <si>
    <t>Ventas Diarias</t>
  </si>
  <si>
    <t>Promedio Dias de Cobro</t>
  </si>
  <si>
    <t>Costo de Venta Diaria</t>
  </si>
  <si>
    <t>Promedio de dias de pago</t>
  </si>
  <si>
    <t>Ciclo de Conversion Efectivo</t>
  </si>
  <si>
    <t>Razon Circulante</t>
  </si>
  <si>
    <t>Quick Ratio</t>
  </si>
  <si>
    <t>Razon Efectivo</t>
  </si>
  <si>
    <t>Capital de Trabajo</t>
  </si>
  <si>
    <t>KTSA</t>
  </si>
  <si>
    <t>Razon de endeudamiento</t>
  </si>
  <si>
    <t>Razon cobertura de intereses</t>
  </si>
  <si>
    <t>Razon Apalancamiento</t>
  </si>
  <si>
    <t>Utilidad por accion EPS</t>
  </si>
  <si>
    <t>PER</t>
  </si>
  <si>
    <t>Precio Valor Contable</t>
  </si>
  <si>
    <t>Precio- Ventas</t>
  </si>
  <si>
    <t>F- Piotrosky</t>
  </si>
  <si>
    <t>FEO</t>
  </si>
  <si>
    <t>Nota. EL "FEO" es el flujo de efectivo operativo que se encuentra en el estado de flujo de efectivo de la empresa</t>
  </si>
  <si>
    <t>ROA_actual - ROA_anterior</t>
  </si>
  <si>
    <t>ACC</t>
  </si>
  <si>
    <t>ROA&gt;0</t>
  </si>
  <si>
    <t>FEO&gt;0</t>
  </si>
  <si>
    <t>ROA_actual - ROA_anterior&gt;0</t>
  </si>
  <si>
    <t xml:space="preserve">ACC </t>
  </si>
  <si>
    <t>Liquidez y endeudamiento</t>
  </si>
  <si>
    <t>Razon de apalancamiento</t>
  </si>
  <si>
    <t>Numero de acciones</t>
  </si>
  <si>
    <t>Si el apalancamineto/endeudamiento disminuyo=1</t>
  </si>
  <si>
    <t>Si razon circulante aumento=1</t>
  </si>
  <si>
    <t>Si no aumento el numero de acciones=1</t>
  </si>
  <si>
    <t xml:space="preserve">Operación </t>
  </si>
  <si>
    <t>Si aumento Margen Bruto=1</t>
  </si>
  <si>
    <t>Rotacion activos aumento=1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</si>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</sst>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0.000"/>
    <numFmt numFmtId="166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32A31"/>
      <name val="Arial"/>
      <family val="2"/>
    </font>
    <font>
      <sz val="12"/>
      <color theme="1"/>
      <name val="Cambria Math"/>
      <family val="1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0FFA3"/>
        <bgColor indexed="64"/>
      </patternFill>
    </fill>
    <fill>
      <patternFill patternType="solid">
        <fgColor rgb="FFEBDFF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FF8F"/>
        <bgColor indexed="64"/>
      </patternFill>
    </fill>
    <fill>
      <patternFill patternType="solid">
        <fgColor rgb="FFDEFFDE"/>
        <bgColor indexed="64"/>
      </patternFill>
    </fill>
    <fill>
      <patternFill patternType="solid">
        <fgColor rgb="FFF8FFC6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/>
    <xf numFmtId="3" fontId="0" fillId="0" borderId="0" xfId="0" applyNumberFormat="1"/>
    <xf numFmtId="44" fontId="0" fillId="0" borderId="0" xfId="0" applyNumberFormat="1" applyAlignment="1">
      <alignment horizontal="right"/>
    </xf>
    <xf numFmtId="44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4" xfId="0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44" fontId="0" fillId="0" borderId="0" xfId="0" applyNumberFormat="1" applyAlignment="1">
      <alignment horizontal="center"/>
    </xf>
    <xf numFmtId="3" fontId="0" fillId="0" borderId="5" xfId="0" applyNumberFormat="1" applyBorder="1"/>
    <xf numFmtId="44" fontId="0" fillId="0" borderId="5" xfId="0" applyNumberFormat="1" applyBorder="1" applyAlignment="1">
      <alignment horizontal="center"/>
    </xf>
    <xf numFmtId="0" fontId="1" fillId="0" borderId="4" xfId="0" applyFont="1" applyBorder="1"/>
    <xf numFmtId="0" fontId="1" fillId="11" borderId="4" xfId="0" applyFont="1" applyFill="1" applyBorder="1"/>
    <xf numFmtId="44" fontId="1" fillId="0" borderId="0" xfId="0" applyNumberFormat="1" applyFont="1" applyAlignment="1">
      <alignment horizontal="center"/>
    </xf>
    <xf numFmtId="44" fontId="1" fillId="0" borderId="5" xfId="0" applyNumberFormat="1" applyFont="1" applyBorder="1" applyAlignment="1">
      <alignment horizontal="center"/>
    </xf>
    <xf numFmtId="44" fontId="0" fillId="0" borderId="5" xfId="0" applyNumberFormat="1" applyBorder="1" applyAlignment="1">
      <alignment horizontal="right"/>
    </xf>
    <xf numFmtId="44" fontId="1" fillId="0" borderId="0" xfId="0" applyNumberFormat="1" applyFont="1" applyAlignment="1">
      <alignment horizontal="right"/>
    </xf>
    <xf numFmtId="44" fontId="1" fillId="0" borderId="5" xfId="0" applyNumberFormat="1" applyFont="1" applyBorder="1" applyAlignment="1">
      <alignment horizontal="right"/>
    </xf>
    <xf numFmtId="0" fontId="1" fillId="3" borderId="4" xfId="0" applyFont="1" applyFill="1" applyBorder="1"/>
    <xf numFmtId="44" fontId="1" fillId="0" borderId="0" xfId="0" applyNumberFormat="1" applyFont="1"/>
    <xf numFmtId="44" fontId="1" fillId="0" borderId="5" xfId="0" applyNumberFormat="1" applyFont="1" applyBorder="1"/>
    <xf numFmtId="0" fontId="1" fillId="0" borderId="4" xfId="0" applyFont="1" applyBorder="1" applyAlignment="1">
      <alignment horizontal="left"/>
    </xf>
    <xf numFmtId="0" fontId="1" fillId="12" borderId="4" xfId="0" applyFont="1" applyFill="1" applyBorder="1"/>
    <xf numFmtId="0" fontId="1" fillId="4" borderId="4" xfId="0" applyFont="1" applyFill="1" applyBorder="1"/>
    <xf numFmtId="0" fontId="1" fillId="10" borderId="6" xfId="0" applyFont="1" applyFill="1" applyBorder="1"/>
    <xf numFmtId="44" fontId="1" fillId="0" borderId="7" xfId="0" applyNumberFormat="1" applyFont="1" applyBorder="1" applyAlignment="1">
      <alignment horizontal="right"/>
    </xf>
    <xf numFmtId="44" fontId="1" fillId="0" borderId="8" xfId="0" applyNumberFormat="1" applyFont="1" applyBorder="1" applyAlignment="1">
      <alignment horizontal="right"/>
    </xf>
    <xf numFmtId="0" fontId="0" fillId="0" borderId="9" xfId="0" applyBorder="1"/>
    <xf numFmtId="3" fontId="3" fillId="0" borderId="9" xfId="0" applyNumberFormat="1" applyFont="1" applyBorder="1"/>
    <xf numFmtId="0" fontId="0" fillId="13" borderId="0" xfId="0" applyFill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44" fontId="1" fillId="0" borderId="0" xfId="0" applyNumberFormat="1" applyFont="1" applyAlignment="1">
      <alignment horizontal="left"/>
    </xf>
    <xf numFmtId="0" fontId="0" fillId="13" borderId="4" xfId="0" applyFill="1" applyBorder="1"/>
    <xf numFmtId="0" fontId="0" fillId="13" borderId="5" xfId="0" applyFill="1" applyBorder="1"/>
    <xf numFmtId="0" fontId="1" fillId="2" borderId="4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44" fontId="0" fillId="0" borderId="5" xfId="0" applyNumberFormat="1" applyBorder="1"/>
    <xf numFmtId="0" fontId="1" fillId="3" borderId="4" xfId="0" applyFont="1" applyFill="1" applyBorder="1" applyAlignment="1">
      <alignment horizontal="left"/>
    </xf>
    <xf numFmtId="44" fontId="1" fillId="0" borderId="5" xfId="0" applyNumberFormat="1" applyFont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5" borderId="9" xfId="0" applyFill="1" applyBorder="1"/>
    <xf numFmtId="0" fontId="0" fillId="0" borderId="9" xfId="0" applyBorder="1" applyAlignment="1">
      <alignment horizontal="center"/>
    </xf>
    <xf numFmtId="0" fontId="1" fillId="0" borderId="9" xfId="0" applyFont="1" applyBorder="1"/>
    <xf numFmtId="0" fontId="1" fillId="11" borderId="9" xfId="0" applyFont="1" applyFill="1" applyBorder="1"/>
    <xf numFmtId="0" fontId="1" fillId="3" borderId="9" xfId="0" applyFont="1" applyFill="1" applyBorder="1"/>
    <xf numFmtId="0" fontId="1" fillId="0" borderId="9" xfId="0" applyFont="1" applyBorder="1" applyAlignment="1">
      <alignment horizontal="left"/>
    </xf>
    <xf numFmtId="0" fontId="1" fillId="12" borderId="9" xfId="0" applyFont="1" applyFill="1" applyBorder="1"/>
    <xf numFmtId="0" fontId="1" fillId="4" borderId="9" xfId="0" applyFont="1" applyFill="1" applyBorder="1"/>
    <xf numFmtId="0" fontId="1" fillId="10" borderId="9" xfId="0" applyFont="1" applyFill="1" applyBorder="1"/>
    <xf numFmtId="0" fontId="0" fillId="0" borderId="1" xfId="0" applyBorder="1"/>
    <xf numFmtId="0" fontId="0" fillId="5" borderId="2" xfId="0" applyFill="1" applyBorder="1"/>
    <xf numFmtId="0" fontId="0" fillId="5" borderId="3" xfId="0" applyFill="1" applyBorder="1"/>
    <xf numFmtId="10" fontId="0" fillId="0" borderId="0" xfId="0" applyNumberFormat="1"/>
    <xf numFmtId="10" fontId="0" fillId="0" borderId="5" xfId="0" applyNumberFormat="1" applyBorder="1"/>
    <xf numFmtId="10" fontId="0" fillId="0" borderId="0" xfId="0" applyNumberFormat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0" borderId="7" xfId="0" applyBorder="1"/>
    <xf numFmtId="10" fontId="0" fillId="0" borderId="7" xfId="0" applyNumberFormat="1" applyBorder="1"/>
    <xf numFmtId="10" fontId="0" fillId="0" borderId="8" xfId="0" applyNumberFormat="1" applyBorder="1"/>
    <xf numFmtId="0" fontId="0" fillId="13" borderId="2" xfId="0" applyFill="1" applyBorder="1"/>
    <xf numFmtId="0" fontId="0" fillId="13" borderId="3" xfId="0" applyFill="1" applyBorder="1"/>
    <xf numFmtId="0" fontId="0" fillId="5" borderId="1" xfId="0" applyFill="1" applyBorder="1"/>
    <xf numFmtId="0" fontId="4" fillId="0" borderId="0" xfId="0" applyFont="1"/>
    <xf numFmtId="0" fontId="0" fillId="3" borderId="0" xfId="0" applyFill="1"/>
    <xf numFmtId="0" fontId="0" fillId="15" borderId="0" xfId="0" applyFill="1"/>
    <xf numFmtId="0" fontId="0" fillId="10" borderId="0" xfId="0" applyFill="1"/>
    <xf numFmtId="0" fontId="0" fillId="10" borderId="9" xfId="0" applyFill="1" applyBorder="1"/>
    <xf numFmtId="44" fontId="0" fillId="0" borderId="9" xfId="0" applyNumberFormat="1" applyBorder="1"/>
    <xf numFmtId="2" fontId="0" fillId="0" borderId="9" xfId="0" applyNumberFormat="1" applyBorder="1"/>
    <xf numFmtId="2" fontId="0" fillId="0" borderId="13" xfId="0" applyNumberFormat="1" applyBorder="1"/>
    <xf numFmtId="165" fontId="0" fillId="0" borderId="9" xfId="0" applyNumberFormat="1" applyBorder="1" applyAlignment="1">
      <alignment horizontal="right"/>
    </xf>
    <xf numFmtId="0" fontId="6" fillId="0" borderId="0" xfId="0" applyFont="1"/>
    <xf numFmtId="0" fontId="6" fillId="16" borderId="0" xfId="0" applyFont="1" applyFill="1"/>
    <xf numFmtId="2" fontId="6" fillId="0" borderId="9" xfId="0" applyNumberFormat="1" applyFont="1" applyBorder="1"/>
    <xf numFmtId="166" fontId="6" fillId="0" borderId="9" xfId="0" applyNumberFormat="1" applyFont="1" applyBorder="1" applyAlignment="1">
      <alignment horizontal="center"/>
    </xf>
    <xf numFmtId="166" fontId="6" fillId="0" borderId="9" xfId="0" applyNumberFormat="1" applyFont="1" applyBorder="1"/>
    <xf numFmtId="2" fontId="6" fillId="0" borderId="0" xfId="0" applyNumberFormat="1" applyFont="1"/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2" fontId="6" fillId="17" borderId="0" xfId="0" applyNumberFormat="1" applyFont="1" applyFill="1"/>
    <xf numFmtId="2" fontId="6" fillId="18" borderId="0" xfId="0" applyNumberFormat="1" applyFont="1" applyFill="1"/>
    <xf numFmtId="0" fontId="0" fillId="10" borderId="10" xfId="0" applyFill="1" applyBorder="1"/>
    <xf numFmtId="2" fontId="6" fillId="0" borderId="10" xfId="0" applyNumberFormat="1" applyFont="1" applyBorder="1"/>
    <xf numFmtId="0" fontId="7" fillId="0" borderId="0" xfId="0" applyFont="1"/>
    <xf numFmtId="1" fontId="6" fillId="0" borderId="0" xfId="0" applyNumberFormat="1" applyFont="1"/>
    <xf numFmtId="166" fontId="6" fillId="0" borderId="0" xfId="0" applyNumberFormat="1" applyFont="1"/>
    <xf numFmtId="0" fontId="6" fillId="0" borderId="10" xfId="0" applyFont="1" applyBorder="1"/>
    <xf numFmtId="3" fontId="8" fillId="0" borderId="0" xfId="0" applyNumberFormat="1" applyFont="1"/>
    <xf numFmtId="0" fontId="7" fillId="0" borderId="4" xfId="0" applyFont="1" applyBorder="1"/>
    <xf numFmtId="0" fontId="6" fillId="0" borderId="4" xfId="0" applyFont="1" applyBorder="1"/>
    <xf numFmtId="1" fontId="6" fillId="0" borderId="0" xfId="0" applyNumberFormat="1" applyFont="1" applyAlignment="1">
      <alignment wrapText="1"/>
    </xf>
    <xf numFmtId="164" fontId="6" fillId="0" borderId="9" xfId="0" applyNumberFormat="1" applyFont="1" applyBorder="1"/>
    <xf numFmtId="2" fontId="6" fillId="0" borderId="9" xfId="0" applyNumberFormat="1" applyFont="1" applyBorder="1" applyAlignment="1">
      <alignment horizontal="center"/>
    </xf>
    <xf numFmtId="0" fontId="10" fillId="0" borderId="0" xfId="0" applyFont="1"/>
    <xf numFmtId="14" fontId="10" fillId="0" borderId="0" xfId="0" applyNumberFormat="1" applyFont="1"/>
    <xf numFmtId="0" fontId="9" fillId="0" borderId="0" xfId="0" applyFont="1"/>
    <xf numFmtId="0" fontId="0" fillId="0" borderId="10" xfId="0" applyBorder="1"/>
    <xf numFmtId="0" fontId="0" fillId="0" borderId="12" xfId="0" applyBorder="1"/>
    <xf numFmtId="0" fontId="1" fillId="1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11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10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9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1" fontId="6" fillId="0" borderId="0" xfId="0" applyNumberFormat="1" applyFont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FFDE"/>
      <color rgb="FFEBF6FF"/>
      <color rgb="FFFFE5D8"/>
      <color rgb="FFFFFFCC"/>
      <color rgb="FFEBDFFD"/>
      <color rgb="FFE0FFA3"/>
      <color rgb="FFF8FFC6"/>
      <color rgb="FFFAFFCE"/>
      <color rgb="FFE7FFE7"/>
      <color rgb="FFDA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382494</xdr:colOff>
      <xdr:row>54</xdr:row>
      <xdr:rowOff>102348</xdr:rowOff>
    </xdr:from>
    <xdr:to>
      <xdr:col>4</xdr:col>
      <xdr:colOff>522567</xdr:colOff>
      <xdr:row>55</xdr:row>
      <xdr:rowOff>93010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BEA5E8DE-5EEE-DB4D-9F4A-964B9CBF8C92}"/>
            </a:ext>
          </a:extLst>
        </xdr:cNvPr>
        <xdr:cNvSpPr/>
      </xdr:nvSpPr>
      <xdr:spPr>
        <a:xfrm>
          <a:off x="2931832" y="10271686"/>
          <a:ext cx="961838" cy="177427"/>
        </a:xfrm>
        <a:prstGeom prst="rect">
          <a:avLst/>
        </a:prstGeom>
        <a:solidFill>
          <a:srgbClr val="FAFFC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569632</xdr:colOff>
      <xdr:row>46</xdr:row>
      <xdr:rowOff>65368</xdr:rowOff>
    </xdr:from>
    <xdr:to>
      <xdr:col>4</xdr:col>
      <xdr:colOff>709705</xdr:colOff>
      <xdr:row>47</xdr:row>
      <xdr:rowOff>56031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475995AB-80D3-0243-8CF8-AC21A7D508AC}"/>
            </a:ext>
          </a:extLst>
        </xdr:cNvPr>
        <xdr:cNvSpPr/>
      </xdr:nvSpPr>
      <xdr:spPr>
        <a:xfrm>
          <a:off x="3118970" y="8740589"/>
          <a:ext cx="961838" cy="177427"/>
        </a:xfrm>
        <a:prstGeom prst="rect">
          <a:avLst/>
        </a:prstGeom>
        <a:solidFill>
          <a:srgbClr val="DEFFD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123822</xdr:colOff>
      <xdr:row>2</xdr:row>
      <xdr:rowOff>95251</xdr:rowOff>
    </xdr:from>
    <xdr:ext cx="5254139" cy="52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4B8D713-F572-4DCD-B224-CF1988991E21}"/>
                </a:ext>
              </a:extLst>
            </xdr:cNvPr>
            <xdr:cNvSpPr txBox="1"/>
          </xdr:nvSpPr>
          <xdr:spPr>
            <a:xfrm>
              <a:off x="123822" y="476251"/>
              <a:ext cx="5254139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</m:sSub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  <m: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  <m: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</m:t>
                          </m:r>
                        </m:sub>
                      </m:sSub>
                    </m:den>
                  </m:f>
                  <m:r>
                    <a:rPr lang="es-MX" sz="1400" b="0" i="0">
                      <a:latin typeface="Cambria Math" panose="02040503050406030204" pitchFamily="18" charset="0"/>
                    </a:rPr>
                    <m:t> 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Efectivo</m:t>
                          </m:r>
                        </m:e>
                        <m:sub>
                          <m:r>
                            <m:rPr>
                              <m:sty m:val="p"/>
                            </m:rP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a</m:t>
                          </m:r>
                          <m: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ñ</m:t>
                          </m:r>
                          <m:r>
                            <m:rPr>
                              <m:sty m:val="p"/>
                            </m:rP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o</m:t>
                          </m:r>
                          <m: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sty m:val="p"/>
                            </m:rP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actual</m:t>
                          </m:r>
                        </m:sub>
                      </m:sSub>
                      <m:r>
                        <m:rPr>
                          <m:nor/>
                        </m:rPr>
                        <a:rPr lang="es-MX" sz="1400" b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 </m:t>
                      </m:r>
                      <m:sSub>
                        <m:sSubPr>
                          <m:ctrlP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Efectivo</m:t>
                          </m:r>
                        </m:e>
                        <m:sub>
                          <m:r>
                            <m:rPr>
                              <m:sty m:val="p"/>
                            </m:rP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a</m:t>
                          </m:r>
                          <m: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ñ</m:t>
                          </m:r>
                          <m:r>
                            <m:rPr>
                              <m:sty m:val="p"/>
                            </m:rP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o</m:t>
                          </m:r>
                          <m: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𝑎𝑛𝑡𝑒𝑟𝑖𝑜𝑟</m:t>
                          </m:r>
                          <m: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Efectivo</m:t>
                          </m:r>
                        </m:e>
                        <m:sub>
                          <m:r>
                            <m:rPr>
                              <m:sty m:val="p"/>
                            </m:rP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a</m:t>
                          </m:r>
                          <m: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ñ</m:t>
                          </m:r>
                          <m:r>
                            <m:rPr>
                              <m:sty m:val="p"/>
                            </m:rPr>
                            <a:rPr lang="es-MX" sz="14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o</m:t>
                          </m:r>
                          <m: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a:rPr lang="es-MX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𝑎𝑛𝑡𝑒𝑟𝑖𝑜𝑟</m:t>
                          </m:r>
                        </m:sub>
                      </m:sSub>
                    </m:den>
                  </m:f>
                </m:oMath>
              </a14:m>
              <a:r>
                <a:rPr lang="es-MX" sz="1400" b="0"/>
                <a:t>  </a:t>
              </a:r>
              <a:r>
                <a:rPr lang="es-MX" sz="1100" b="0"/>
                <a:t>*100 </a:t>
              </a:r>
              <a:r>
                <a:rPr lang="es-MX" sz="800" b="0"/>
                <a:t>para que sea porcentaje</a:t>
              </a:r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4B8D713-F572-4DCD-B224-CF1988991E21}"/>
                </a:ext>
              </a:extLst>
            </xdr:cNvPr>
            <xdr:cNvSpPr txBox="1"/>
          </xdr:nvSpPr>
          <xdr:spPr>
            <a:xfrm>
              <a:off x="123822" y="476251"/>
              <a:ext cx="5254139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(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𝑋_𝑡−𝑋_(𝑡−1)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𝑋_(𝑡−1)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400" b="0" i="0">
                  <a:latin typeface="Cambria Math" panose="02040503050406030204" pitchFamily="18" charset="0"/>
                </a:rPr>
                <a:t> 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Efectivo_(año actual) "- " Efectivo_(año 𝑎𝑛𝑡𝑒𝑟𝑖𝑜𝑟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Efectivo_(año 𝑎𝑛𝑡𝑒𝑟𝑖𝑜𝑟)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400" b="0"/>
                <a:t>  </a:t>
              </a:r>
              <a:r>
                <a:rPr lang="es-MX" sz="1100" b="0"/>
                <a:t>*100 </a:t>
              </a:r>
              <a:r>
                <a:rPr lang="es-MX" sz="800" b="0"/>
                <a:t>para que sea porcentaje</a:t>
              </a:r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666750</xdr:colOff>
      <xdr:row>12</xdr:row>
      <xdr:rowOff>133349</xdr:rowOff>
    </xdr:from>
    <xdr:ext cx="2398568" cy="52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19CEA65-550E-4480-93AA-DCD47090463D}"/>
                </a:ext>
              </a:extLst>
            </xdr:cNvPr>
            <xdr:cNvSpPr txBox="1"/>
          </xdr:nvSpPr>
          <xdr:spPr>
            <a:xfrm>
              <a:off x="666750" y="2419349"/>
              <a:ext cx="2398568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/>
                <a:t>Margen</a:t>
              </a:r>
              <a:r>
                <a:rPr lang="es-MX" sz="1200" b="0" baseline="0"/>
                <a:t> de Utilidad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𝑈𝑡𝑖𝑙𝑖𝑑𝑎𝑑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𝑁𝑒𝑡𝑎</m:t>
                      </m:r>
                    </m:num>
                    <m:den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𝑉𝑒𝑛𝑡𝑎𝑠</m:t>
                      </m:r>
                    </m:den>
                  </m:f>
                </m:oMath>
              </a14:m>
              <a:r>
                <a:rPr lang="es-MX" sz="1400" b="0"/>
                <a:t>  </a:t>
              </a:r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19CEA65-550E-4480-93AA-DCD47090463D}"/>
                </a:ext>
              </a:extLst>
            </xdr:cNvPr>
            <xdr:cNvSpPr txBox="1"/>
          </xdr:nvSpPr>
          <xdr:spPr>
            <a:xfrm>
              <a:off x="666750" y="2419349"/>
              <a:ext cx="2398568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/>
                <a:t>Margen</a:t>
              </a:r>
              <a:r>
                <a:rPr lang="es-MX" sz="1200" b="0" baseline="0"/>
                <a:t> de Utilidad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(𝑈𝑡𝑖𝑙𝑖𝑑𝑎𝑑 𝑁𝑒𝑡𝑎)/𝑉𝑒𝑛𝑡𝑎𝑠</a:t>
              </a:r>
              <a:r>
                <a:rPr lang="es-MX" sz="1400" b="0"/>
                <a:t>  </a:t>
              </a:r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4</xdr:col>
      <xdr:colOff>303068</xdr:colOff>
      <xdr:row>12</xdr:row>
      <xdr:rowOff>107372</xdr:rowOff>
    </xdr:from>
    <xdr:ext cx="2398568" cy="52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69D92E2-EEE9-4C86-A6A1-FDC8DDC2EC18}"/>
                </a:ext>
              </a:extLst>
            </xdr:cNvPr>
            <xdr:cNvSpPr txBox="1"/>
          </xdr:nvSpPr>
          <xdr:spPr>
            <a:xfrm>
              <a:off x="3377045" y="2393372"/>
              <a:ext cx="2398568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/>
                <a:t>Margen</a:t>
              </a:r>
              <a:r>
                <a:rPr lang="es-MX" sz="1200" b="0" baseline="0"/>
                <a:t> Bruto 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𝑈𝑡𝑖𝑙𝑖𝑑𝑎𝑑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𝐵𝑟𝑢𝑡𝑎</m:t>
                      </m:r>
                    </m:num>
                    <m:den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𝑉𝑒𝑛𝑡𝑎𝑠</m:t>
                      </m:r>
                    </m:den>
                  </m:f>
                </m:oMath>
              </a14:m>
              <a:r>
                <a:rPr lang="es-MX" sz="1400" b="0"/>
                <a:t>  </a:t>
              </a:r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69D92E2-EEE9-4C86-A6A1-FDC8DDC2EC18}"/>
                </a:ext>
              </a:extLst>
            </xdr:cNvPr>
            <xdr:cNvSpPr txBox="1"/>
          </xdr:nvSpPr>
          <xdr:spPr>
            <a:xfrm>
              <a:off x="3377045" y="2393372"/>
              <a:ext cx="2398568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/>
                <a:t>Margen</a:t>
              </a:r>
              <a:r>
                <a:rPr lang="es-MX" sz="1200" b="0" baseline="0"/>
                <a:t> Bruto 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(𝑈𝑡𝑖𝑙𝑖𝑑𝑎𝑑 𝐵𝑟𝑢𝑡𝑎)/𝑉𝑒𝑛𝑡𝑎𝑠</a:t>
              </a:r>
              <a:r>
                <a:rPr lang="es-MX" sz="1400" b="0"/>
                <a:t>  </a:t>
              </a:r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498763</xdr:colOff>
      <xdr:row>12</xdr:row>
      <xdr:rowOff>86590</xdr:rowOff>
    </xdr:from>
    <xdr:ext cx="2843646" cy="52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7EC23877-2D7A-4725-A965-0F38B94F6141}"/>
                </a:ext>
              </a:extLst>
            </xdr:cNvPr>
            <xdr:cNvSpPr txBox="1"/>
          </xdr:nvSpPr>
          <xdr:spPr>
            <a:xfrm>
              <a:off x="5858740" y="2372590"/>
              <a:ext cx="2843646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/>
                <a:t>Margen</a:t>
              </a:r>
              <a:r>
                <a:rPr lang="es-MX" sz="1200" b="0" baseline="0"/>
                <a:t> Operativa 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𝑈𝑡𝑖𝑙𝑖𝑑𝑎𝑑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𝑂𝑝𝑒𝑟𝑎𝑡𝑖𝑣𝑎</m:t>
                      </m:r>
                    </m:num>
                    <m:den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𝑉𝑒𝑛𝑡𝑎𝑠</m:t>
                      </m:r>
                    </m:den>
                  </m:f>
                </m:oMath>
              </a14:m>
              <a:r>
                <a:rPr lang="es-MX" sz="1400" b="0"/>
                <a:t>  </a:t>
              </a:r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7EC23877-2D7A-4725-A965-0F38B94F6141}"/>
                </a:ext>
              </a:extLst>
            </xdr:cNvPr>
            <xdr:cNvSpPr txBox="1"/>
          </xdr:nvSpPr>
          <xdr:spPr>
            <a:xfrm>
              <a:off x="5858740" y="2372590"/>
              <a:ext cx="2843646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/>
                <a:t>Margen</a:t>
              </a:r>
              <a:r>
                <a:rPr lang="es-MX" sz="1200" b="0" baseline="0"/>
                <a:t> Operativa 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(𝑈𝑡𝑖𝑙𝑖𝑑𝑎𝑑 𝑂𝑝𝑒𝑟𝑎𝑡𝑖𝑣𝑎)/𝑉𝑒𝑛𝑡𝑎𝑠</a:t>
              </a:r>
              <a:r>
                <a:rPr lang="es-MX" sz="1400" b="0"/>
                <a:t>  </a:t>
              </a:r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675409</xdr:colOff>
      <xdr:row>15</xdr:row>
      <xdr:rowOff>51954</xdr:rowOff>
    </xdr:from>
    <xdr:ext cx="2398568" cy="52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345454F-F5B1-4D1E-ABE6-81CDE881BE4F}"/>
                </a:ext>
              </a:extLst>
            </xdr:cNvPr>
            <xdr:cNvSpPr txBox="1"/>
          </xdr:nvSpPr>
          <xdr:spPr>
            <a:xfrm>
              <a:off x="675409" y="2909454"/>
              <a:ext cx="2398568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ROA</a:t>
              </a:r>
              <a:r>
                <a:rPr lang="es-MX" sz="1200" b="0" i="0" baseline="0">
                  <a:latin typeface="+mn-lt"/>
                </a:rPr>
                <a:t> 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𝑈𝑡𝑖𝑙𝑖𝑑𝑎𝑑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𝑁𝑒𝑡𝑎</m:t>
                      </m:r>
                    </m:num>
                    <m:den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𝐴𝑐𝑡𝑖𝑣𝑜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den>
                  </m:f>
                </m:oMath>
              </a14:m>
              <a:r>
                <a:rPr lang="es-MX" sz="1400" b="0"/>
                <a:t>  </a:t>
              </a:r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345454F-F5B1-4D1E-ABE6-81CDE881BE4F}"/>
                </a:ext>
              </a:extLst>
            </xdr:cNvPr>
            <xdr:cNvSpPr txBox="1"/>
          </xdr:nvSpPr>
          <xdr:spPr>
            <a:xfrm>
              <a:off x="675409" y="2909454"/>
              <a:ext cx="2398568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ROA</a:t>
              </a:r>
              <a:r>
                <a:rPr lang="es-MX" sz="1200" b="0" i="0" baseline="0">
                  <a:latin typeface="+mn-lt"/>
                </a:rPr>
                <a:t> 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(𝑈𝑡𝑖𝑙𝑖𝑑𝑎𝑑 𝑁𝑒𝑡𝑎)/(𝐴𝑐𝑡𝑖𝑣𝑜 )</a:t>
              </a:r>
              <a:r>
                <a:rPr lang="es-MX" sz="1400" b="0"/>
                <a:t>  </a:t>
              </a:r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4</xdr:col>
      <xdr:colOff>308265</xdr:colOff>
      <xdr:row>15</xdr:row>
      <xdr:rowOff>91786</xdr:rowOff>
    </xdr:from>
    <xdr:ext cx="1726623" cy="52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66422F9-B933-4D03-8D15-A5DA4E7328FD}"/>
                </a:ext>
              </a:extLst>
            </xdr:cNvPr>
            <xdr:cNvSpPr txBox="1"/>
          </xdr:nvSpPr>
          <xdr:spPr>
            <a:xfrm>
              <a:off x="3382242" y="2949286"/>
              <a:ext cx="1726623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ROE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𝑈𝑡𝑖𝑙𝑖𝑑𝑎𝑑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𝑁𝑒𝑡𝑎</m:t>
                      </m:r>
                    </m:num>
                    <m:den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𝐶𝑎𝑝𝑖𝑡𝑎𝑙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den>
                  </m:f>
                </m:oMath>
              </a14:m>
              <a:r>
                <a:rPr lang="es-MX" sz="1400" b="0"/>
                <a:t>  </a:t>
              </a:r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66422F9-B933-4D03-8D15-A5DA4E7328FD}"/>
                </a:ext>
              </a:extLst>
            </xdr:cNvPr>
            <xdr:cNvSpPr txBox="1"/>
          </xdr:nvSpPr>
          <xdr:spPr>
            <a:xfrm>
              <a:off x="3382242" y="2949286"/>
              <a:ext cx="1726623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ROE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(𝑈𝑡𝑖𝑙𝑖𝑑𝑎𝑑 𝑁𝑒𝑡𝑎)/(𝐶𝑎𝑝𝑖𝑡𝑎𝑙 )</a:t>
              </a:r>
              <a:r>
                <a:rPr lang="es-MX" sz="1400" b="0"/>
                <a:t>  </a:t>
              </a:r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96309</xdr:colOff>
      <xdr:row>20</xdr:row>
      <xdr:rowOff>30081</xdr:rowOff>
    </xdr:from>
    <xdr:ext cx="4203177" cy="4262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63A21590-C89E-9647-8C2E-DE4941B62822}"/>
                </a:ext>
              </a:extLst>
            </xdr:cNvPr>
            <xdr:cNvSpPr txBox="1"/>
          </xdr:nvSpPr>
          <xdr:spPr>
            <a:xfrm>
              <a:off x="891927" y="3840081"/>
              <a:ext cx="4203177" cy="426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Razon</a:t>
              </a:r>
              <a:r>
                <a:rPr lang="es-MX" sz="1200" b="0" i="0" baseline="0">
                  <a:latin typeface="+mn-lt"/>
                </a:rPr>
                <a:t> circulante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𝐴𝑐𝑡𝑖𝑣𝑜𝑠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𝐶𝑖𝑟𝑐𝑢𝑙𝑎𝑛𝑡𝑒𝑠</m:t>
                      </m:r>
                    </m:num>
                    <m:den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𝑃𝑎𝑠𝑖𝑣𝑜𝑠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𝐶𝑖𝑟𝑐𝑢𝑙𝑎𝑛𝑡𝑒𝑠</m:t>
                      </m:r>
                    </m:den>
                  </m:f>
                  <m:r>
                    <a:rPr lang="es-MX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&gt;</m:t>
                  </m:r>
                  <m:r>
                    <a:rPr lang="es-ES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1</m:t>
                  </m:r>
                </m:oMath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63A21590-C89E-9647-8C2E-DE4941B62822}"/>
                </a:ext>
              </a:extLst>
            </xdr:cNvPr>
            <xdr:cNvSpPr txBox="1"/>
          </xdr:nvSpPr>
          <xdr:spPr>
            <a:xfrm>
              <a:off x="891927" y="3840081"/>
              <a:ext cx="4203177" cy="426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Razon</a:t>
              </a:r>
              <a:r>
                <a:rPr lang="es-MX" sz="1200" b="0" i="0" baseline="0">
                  <a:latin typeface="+mn-lt"/>
                </a:rPr>
                <a:t> circulante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𝐴𝑐𝑡𝑖𝑣𝑜𝑠 𝐶𝑖𝑟𝑐𝑢𝑙𝑎𝑛𝑡𝑒𝑠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𝑃𝑎𝑠𝑖𝑣𝑜𝑠 𝐶𝑖𝑟𝑐𝑢𝑙𝑎𝑛𝑡𝑒𝑠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&gt;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1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8</xdr:col>
      <xdr:colOff>504737</xdr:colOff>
      <xdr:row>19</xdr:row>
      <xdr:rowOff>184924</xdr:rowOff>
    </xdr:from>
    <xdr:ext cx="4203177" cy="4262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B40AB71-250C-9841-B5E4-C1F0088AAC2C}"/>
                </a:ext>
              </a:extLst>
            </xdr:cNvPr>
            <xdr:cNvSpPr txBox="1"/>
          </xdr:nvSpPr>
          <xdr:spPr>
            <a:xfrm>
              <a:off x="6634355" y="3804424"/>
              <a:ext cx="4203177" cy="426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Quick</a:t>
              </a:r>
              <a:r>
                <a:rPr lang="es-MX" sz="1200" b="0" i="0" baseline="0">
                  <a:latin typeface="+mn-lt"/>
                </a:rPr>
                <a:t> Ratio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𝐴𝑐𝑡𝑖𝑣𝑜𝑠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𝐶𝑖𝑟𝑐𝑢𝑙𝑎𝑛𝑡𝑒𝑠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𝐼𝑛𝑣𝑒𝑛𝑡𝑎𝑟𝑖𝑜𝑠</m:t>
                      </m:r>
                    </m:num>
                    <m:den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𝑃𝑎𝑠𝑖𝑣𝑜𝑠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𝐶𝑖𝑟𝑐𝑢𝑙𝑎𝑛𝑡𝑒𝑠</m:t>
                      </m:r>
                    </m:den>
                  </m:f>
                </m:oMath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B40AB71-250C-9841-B5E4-C1F0088AAC2C}"/>
                </a:ext>
              </a:extLst>
            </xdr:cNvPr>
            <xdr:cNvSpPr txBox="1"/>
          </xdr:nvSpPr>
          <xdr:spPr>
            <a:xfrm>
              <a:off x="6634355" y="3804424"/>
              <a:ext cx="4203177" cy="426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Quick</a:t>
              </a:r>
              <a:r>
                <a:rPr lang="es-MX" sz="1200" b="0" i="0" baseline="0">
                  <a:latin typeface="+mn-lt"/>
                </a:rPr>
                <a:t> Ratio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𝐴𝑐𝑡𝑖𝑣𝑜𝑠 𝐶𝑖𝑟𝑐𝑢𝑙𝑎𝑛𝑡𝑒𝑠−𝐼𝑛𝑣𝑒𝑛𝑡𝑎𝑟𝑖𝑜𝑠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𝑃𝑎𝑠𝑖𝑣𝑜𝑠 𝐶𝑖𝑟𝑐𝑢𝑙𝑎𝑛𝑡𝑒𝑠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5</xdr:col>
      <xdr:colOff>213472</xdr:colOff>
      <xdr:row>26</xdr:row>
      <xdr:rowOff>61334</xdr:rowOff>
    </xdr:from>
    <xdr:ext cx="4203177" cy="4262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55448B4-19EC-E041-859E-5ED342F5349A}"/>
                </a:ext>
              </a:extLst>
            </xdr:cNvPr>
            <xdr:cNvSpPr txBox="1"/>
          </xdr:nvSpPr>
          <xdr:spPr>
            <a:xfrm>
              <a:off x="4052047" y="5100059"/>
              <a:ext cx="4203177" cy="426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Razon</a:t>
              </a:r>
              <a:r>
                <a:rPr lang="es-MX" sz="1200" b="0" i="0" baseline="0">
                  <a:latin typeface="+mn-lt"/>
                </a:rPr>
                <a:t> efectivo 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𝐸𝑓𝑒𝑐𝑡𝑖𝑣𝑜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𝐸𝑞𝑢𝑖𝑣𝑎𝑙𝑒𝑛𝑡𝑒𝑠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𝑑𝑒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𝑒𝑓𝑒𝑐𝑡𝑖𝑣𝑜</m:t>
                      </m:r>
                    </m:num>
                    <m:den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𝑃𝑎𝑠𝑖𝑣𝑜𝑠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𝐶𝑖𝑟𝑐𝑢𝑙𝑎𝑛𝑡𝑒𝑠</m:t>
                      </m:r>
                    </m:den>
                  </m:f>
                </m:oMath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55448B4-19EC-E041-859E-5ED342F5349A}"/>
                </a:ext>
              </a:extLst>
            </xdr:cNvPr>
            <xdr:cNvSpPr txBox="1"/>
          </xdr:nvSpPr>
          <xdr:spPr>
            <a:xfrm>
              <a:off x="4052047" y="5100059"/>
              <a:ext cx="4203177" cy="426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Razon</a:t>
              </a:r>
              <a:r>
                <a:rPr lang="es-MX" sz="1200" b="0" i="0" baseline="0">
                  <a:latin typeface="+mn-lt"/>
                </a:rPr>
                <a:t> efectivo 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𝐸𝑓𝑒𝑐𝑡𝑖𝑣𝑜 𝑦 𝐸𝑞𝑢𝑖𝑣𝑎𝑙𝑒𝑛𝑡𝑒𝑠 𝑑𝑒 𝑒𝑓𝑒𝑐𝑡𝑖𝑣𝑜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𝑃𝑎𝑠𝑖𝑣𝑜𝑠 𝐶𝑖𝑟𝑐𝑢𝑙𝑎𝑛𝑡𝑒𝑠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127362</xdr:colOff>
      <xdr:row>33</xdr:row>
      <xdr:rowOff>162151</xdr:rowOff>
    </xdr:from>
    <xdr:ext cx="4973122" cy="4262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1C59DE89-57BD-4786-AAEA-84B4CACB76AD}"/>
                </a:ext>
              </a:extLst>
            </xdr:cNvPr>
            <xdr:cNvSpPr txBox="1"/>
          </xdr:nvSpPr>
          <xdr:spPr>
            <a:xfrm>
              <a:off x="1033171" y="6409430"/>
              <a:ext cx="4973122" cy="426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 baseline="0">
                  <a:latin typeface="+mn-lt"/>
                </a:rPr>
                <a:t>Capital de trabajo 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r>
                    <m:rPr>
                      <m:sty m:val="p"/>
                    </m:rPr>
                    <a:rPr lang="es-MX" sz="1400" b="0" i="0">
                      <a:latin typeface="Cambria Math" panose="02040503050406030204" pitchFamily="18" charset="0"/>
                    </a:rPr>
                    <m:t>Activo</m:t>
                  </m:r>
                  <m:r>
                    <a:rPr lang="es-MX" sz="1400" b="0" i="0"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s-MX" sz="1400" b="0" i="0">
                      <a:latin typeface="Cambria Math" panose="02040503050406030204" pitchFamily="18" charset="0"/>
                    </a:rPr>
                    <m:t>Circulante</m:t>
                  </m:r>
                  <m:r>
                    <a:rPr lang="es-MX" sz="1400" b="0" i="0">
                      <a:latin typeface="Cambria Math" panose="02040503050406030204" pitchFamily="18" charset="0"/>
                    </a:rPr>
                    <m:t> −</m:t>
                  </m:r>
                  <m:r>
                    <m:rPr>
                      <m:sty m:val="p"/>
                    </m:rPr>
                    <a:rPr lang="es-MX" sz="1400" b="0" i="0">
                      <a:latin typeface="Cambria Math" panose="02040503050406030204" pitchFamily="18" charset="0"/>
                    </a:rPr>
                    <m:t>Pasivos</m:t>
                  </m:r>
                  <m:r>
                    <a:rPr lang="es-MX" sz="1400" b="0" i="0"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s-MX" sz="1400" b="0" i="0">
                      <a:latin typeface="Cambria Math" panose="02040503050406030204" pitchFamily="18" charset="0"/>
                    </a:rPr>
                    <m:t>Circulantes</m:t>
                  </m:r>
                  <m:r>
                    <a:rPr lang="es-MX" sz="1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&gt;0</m:t>
                  </m:r>
                </m:oMath>
              </a14:m>
              <a:r>
                <a:rPr lang="es-ES" sz="14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</a:t>
              </a: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1C59DE89-57BD-4786-AAEA-84B4CACB76AD}"/>
                </a:ext>
              </a:extLst>
            </xdr:cNvPr>
            <xdr:cNvSpPr txBox="1"/>
          </xdr:nvSpPr>
          <xdr:spPr>
            <a:xfrm>
              <a:off x="1033171" y="6409430"/>
              <a:ext cx="4973122" cy="426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 baseline="0">
                  <a:latin typeface="+mn-lt"/>
                </a:rPr>
                <a:t>Capital de trabajo </a:t>
              </a:r>
              <a:r>
                <a:rPr lang="es-MX" sz="1400" b="0" i="0">
                  <a:latin typeface="Cambria Math" panose="02040503050406030204" pitchFamily="18" charset="0"/>
                </a:rPr>
                <a:t>=   Activo Circulante −Pasivos Circulantes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&gt;0</a:t>
              </a:r>
              <a:r>
                <a:rPr lang="es-ES" sz="14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</a:t>
              </a: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227667</xdr:colOff>
      <xdr:row>36</xdr:row>
      <xdr:rowOff>18863</xdr:rowOff>
    </xdr:from>
    <xdr:ext cx="2398568" cy="52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18D9608B-3E9B-4CF6-9B10-698AFA271C78}"/>
                </a:ext>
              </a:extLst>
            </xdr:cNvPr>
            <xdr:cNvSpPr txBox="1"/>
          </xdr:nvSpPr>
          <xdr:spPr>
            <a:xfrm>
              <a:off x="1133476" y="6826437"/>
              <a:ext cx="2398568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 baseline="0">
                  <a:latin typeface="+mn-lt"/>
                </a:rPr>
                <a:t>KTSA 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latin typeface="Cambria Math" panose="02040503050406030204" pitchFamily="18" charset="0"/>
                        </a:rPr>
                        <m:t>𝐶𝑎𝑝𝑖𝑡𝑎𝑙</m:t>
                      </m:r>
                      <m:r>
                        <a:rPr lang="es-MX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MX" sz="1400" b="0" i="1">
                          <a:latin typeface="Cambria Math" panose="02040503050406030204" pitchFamily="18" charset="0"/>
                        </a:rPr>
                        <m:t>𝑇𝑟𝑎𝑏𝑎𝑗𝑜</m:t>
                      </m:r>
                      <m:r>
                        <a:rPr lang="es-MX" sz="1400" b="0" i="1">
                          <a:latin typeface="Cambria Math" panose="02040503050406030204" pitchFamily="18" charset="0"/>
                        </a:rPr>
                        <m:t>   </m:t>
                      </m:r>
                    </m:num>
                    <m:den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𝐴𝑐𝑡𝑖𝑣𝑜𝑠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den>
                  </m:f>
                  <m:r>
                    <a:rPr lang="es-MX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&gt;0</m:t>
                  </m:r>
                </m:oMath>
              </a14:m>
              <a:r>
                <a:rPr lang="es-MX" sz="1400" b="0"/>
                <a:t>  </a:t>
              </a:r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18D9608B-3E9B-4CF6-9B10-698AFA271C78}"/>
                </a:ext>
              </a:extLst>
            </xdr:cNvPr>
            <xdr:cNvSpPr txBox="1"/>
          </xdr:nvSpPr>
          <xdr:spPr>
            <a:xfrm>
              <a:off x="1133476" y="6826437"/>
              <a:ext cx="2398568" cy="527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 baseline="0">
                  <a:latin typeface="+mn-lt"/>
                </a:rPr>
                <a:t>KTSA </a:t>
              </a:r>
              <a:r>
                <a:rPr lang="es-MX" sz="1400" b="0" i="0">
                  <a:latin typeface="Cambria Math" panose="02040503050406030204" pitchFamily="18" charset="0"/>
                </a:rPr>
                <a:t>=    (𝐶𝑎𝑝𝑖𝑡𝑎𝑙 𝑇𝑟𝑎𝑏𝑎𝑗𝑜   )/(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𝐴𝑐𝑡𝑖𝑣𝑜𝑠 )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&gt;0</a:t>
              </a:r>
              <a:r>
                <a:rPr lang="es-MX" sz="1400" b="0"/>
                <a:t>  </a:t>
              </a:r>
              <a:endParaRPr lang="es-MX" sz="1100" b="0"/>
            </a:p>
            <a:p>
              <a:endParaRPr lang="es-MX" sz="1100" b="0"/>
            </a:p>
            <a:p>
              <a:endParaRPr lang="es-MX" sz="1100" b="0"/>
            </a:p>
            <a:p>
              <a:endParaRPr lang="es-MX" sz="1100"/>
            </a:p>
          </xdr:txBody>
        </xdr:sp>
      </mc:Fallback>
    </mc:AlternateContent>
    <xdr:clientData/>
  </xdr:oneCellAnchor>
  <xdr:twoCellAnchor>
    <xdr:from>
      <xdr:col>6</xdr:col>
      <xdr:colOff>77694</xdr:colOff>
      <xdr:row>45</xdr:row>
      <xdr:rowOff>161738</xdr:rowOff>
    </xdr:from>
    <xdr:to>
      <xdr:col>7</xdr:col>
      <xdr:colOff>217767</xdr:colOff>
      <xdr:row>46</xdr:row>
      <xdr:rowOff>152400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1DC8BC38-224A-344C-84FD-8144F7EBEE6D}"/>
            </a:ext>
          </a:extLst>
        </xdr:cNvPr>
        <xdr:cNvSpPr/>
      </xdr:nvSpPr>
      <xdr:spPr>
        <a:xfrm>
          <a:off x="5092326" y="8650194"/>
          <a:ext cx="961838" cy="177427"/>
        </a:xfrm>
        <a:prstGeom prst="rect">
          <a:avLst/>
        </a:prstGeom>
        <a:solidFill>
          <a:srgbClr val="DEFFD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6</xdr:col>
      <xdr:colOff>68355</xdr:colOff>
      <xdr:row>45</xdr:row>
      <xdr:rowOff>49680</xdr:rowOff>
    </xdr:from>
    <xdr:ext cx="4171203" cy="43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6670888E-7189-C74A-89A7-E71A104EF31E}"/>
                </a:ext>
              </a:extLst>
            </xdr:cNvPr>
            <xdr:cNvSpPr txBox="1"/>
          </xdr:nvSpPr>
          <xdr:spPr>
            <a:xfrm>
              <a:off x="5082987" y="8538136"/>
              <a:ext cx="4171203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Rotacion</a:t>
              </a:r>
              <a:r>
                <a:rPr lang="es-MX" sz="1400" b="0" i="0" baseline="0">
                  <a:latin typeface="+mn-lt"/>
                </a:rPr>
                <a:t> Inventario</a:t>
              </a:r>
              <a14:m>
                <m:oMath xmlns:m="http://schemas.openxmlformats.org/officeDocument/2006/math">
                  <m:r>
                    <a:rPr lang="es-MX" sz="16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𝐶𝑜𝑠𝑡𝑜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𝑑𝑒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𝑉𝑒𝑛𝑡𝑎𝑠</m:t>
                      </m:r>
                    </m:num>
                    <m:den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𝐼𝑛𝑣𝑒𝑛𝑡𝑎𝑟𝑖𝑜</m:t>
                      </m:r>
                    </m:den>
                  </m:f>
                </m:oMath>
              </a14:m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6670888E-7189-C74A-89A7-E71A104EF31E}"/>
                </a:ext>
              </a:extLst>
            </xdr:cNvPr>
            <xdr:cNvSpPr txBox="1"/>
          </xdr:nvSpPr>
          <xdr:spPr>
            <a:xfrm>
              <a:off x="5082987" y="8538136"/>
              <a:ext cx="4171203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Rotacion</a:t>
              </a:r>
              <a:r>
                <a:rPr lang="es-MX" sz="1400" b="0" i="0" baseline="0">
                  <a:latin typeface="+mn-lt"/>
                </a:rPr>
                <a:t> Inventario</a:t>
              </a:r>
              <a:r>
                <a:rPr lang="es-MX" sz="1600" b="0" i="0">
                  <a:latin typeface="Cambria Math" panose="02040503050406030204" pitchFamily="18" charset="0"/>
                </a:rPr>
                <a:t>= 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𝐶𝑜𝑠𝑡𝑜 𝑑𝑒 𝑉𝑒𝑛𝑡𝑎𝑠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𝐼𝑛𝑣𝑒𝑛𝑡𝑎𝑟𝑖𝑜</a:t>
              </a:r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40</xdr:row>
      <xdr:rowOff>177427</xdr:rowOff>
    </xdr:from>
    <xdr:ext cx="2614706" cy="43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A178A692-1293-4D4D-9F0A-5AD1ED300396}"/>
                </a:ext>
              </a:extLst>
            </xdr:cNvPr>
            <xdr:cNvSpPr txBox="1"/>
          </xdr:nvSpPr>
          <xdr:spPr>
            <a:xfrm>
              <a:off x="905809" y="7732059"/>
              <a:ext cx="2614706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Rotacion</a:t>
              </a:r>
              <a:r>
                <a:rPr lang="es-MX" sz="1400" b="0" i="0" baseline="0">
                  <a:latin typeface="+mn-lt"/>
                </a:rPr>
                <a:t> Activos</a:t>
              </a:r>
              <a14:m>
                <m:oMath xmlns:m="http://schemas.openxmlformats.org/officeDocument/2006/math">
                  <m:r>
                    <a:rPr lang="es-MX" sz="16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𝑉𝑒𝑛𝑡𝑎𝑠</m:t>
                      </m:r>
                    </m:num>
                    <m:den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𝐴𝑐𝑡𝑖𝑣𝑜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den>
                  </m:f>
                </m:oMath>
              </a14:m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A178A692-1293-4D4D-9F0A-5AD1ED300396}"/>
                </a:ext>
              </a:extLst>
            </xdr:cNvPr>
            <xdr:cNvSpPr txBox="1"/>
          </xdr:nvSpPr>
          <xdr:spPr>
            <a:xfrm>
              <a:off x="905809" y="7732059"/>
              <a:ext cx="2614706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Rotacion</a:t>
              </a:r>
              <a:r>
                <a:rPr lang="es-MX" sz="1400" b="0" i="0" baseline="0">
                  <a:latin typeface="+mn-lt"/>
                </a:rPr>
                <a:t> Activos</a:t>
              </a:r>
              <a:r>
                <a:rPr lang="es-MX" sz="1600" b="0" i="0">
                  <a:latin typeface="Cambria Math" panose="02040503050406030204" pitchFamily="18" charset="0"/>
                </a:rPr>
                <a:t>= 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𝑉𝑒𝑛𝑡𝑎𝑠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𝐴𝑐𝑡𝑖𝑣𝑜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15313</xdr:colOff>
      <xdr:row>45</xdr:row>
      <xdr:rowOff>15316</xdr:rowOff>
    </xdr:from>
    <xdr:ext cx="4171203" cy="43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39926069-C010-BD47-8FCB-F39F162EBA08}"/>
                </a:ext>
              </a:extLst>
            </xdr:cNvPr>
            <xdr:cNvSpPr txBox="1"/>
          </xdr:nvSpPr>
          <xdr:spPr>
            <a:xfrm>
              <a:off x="921122" y="8503772"/>
              <a:ext cx="4171203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Promedio</a:t>
              </a:r>
              <a:r>
                <a:rPr lang="es-MX" sz="1400" b="0" i="0" baseline="0">
                  <a:latin typeface="+mn-lt"/>
                </a:rPr>
                <a:t> dias Inventario</a:t>
              </a:r>
              <a14:m>
                <m:oMath xmlns:m="http://schemas.openxmlformats.org/officeDocument/2006/math">
                  <m:r>
                    <a:rPr lang="es-MX" sz="16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365</m:t>
                      </m:r>
                    </m:num>
                    <m:den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𝑅𝑜𝑡𝑎𝑐𝑖𝑜𝑛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𝐼𝑛𝑣𝑒𝑛𝑡𝑎𝑟𝑖𝑜</m:t>
                      </m:r>
                    </m:den>
                  </m:f>
                </m:oMath>
              </a14:m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39926069-C010-BD47-8FCB-F39F162EBA08}"/>
                </a:ext>
              </a:extLst>
            </xdr:cNvPr>
            <xdr:cNvSpPr txBox="1"/>
          </xdr:nvSpPr>
          <xdr:spPr>
            <a:xfrm>
              <a:off x="921122" y="8503772"/>
              <a:ext cx="4171203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Promedio</a:t>
              </a:r>
              <a:r>
                <a:rPr lang="es-MX" sz="1400" b="0" i="0" baseline="0">
                  <a:latin typeface="+mn-lt"/>
                </a:rPr>
                <a:t> dias Inventario</a:t>
              </a:r>
              <a:r>
                <a:rPr lang="es-MX" sz="1600" b="0" i="0">
                  <a:latin typeface="Cambria Math" panose="02040503050406030204" pitchFamily="18" charset="0"/>
                </a:rPr>
                <a:t>= 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365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𝑅𝑜𝑡𝑎𝑐𝑖𝑜𝑛 𝐼𝑛𝑣𝑒𝑛𝑡𝑎𝑟𝑖𝑜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twoCellAnchor>
    <xdr:from>
      <xdr:col>3</xdr:col>
      <xdr:colOff>597647</xdr:colOff>
      <xdr:row>50</xdr:row>
      <xdr:rowOff>121397</xdr:rowOff>
    </xdr:from>
    <xdr:to>
      <xdr:col>4</xdr:col>
      <xdr:colOff>737720</xdr:colOff>
      <xdr:row>51</xdr:row>
      <xdr:rowOff>112059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493C50D0-4A6D-A542-9B82-AD5B27F3E318}"/>
            </a:ext>
          </a:extLst>
        </xdr:cNvPr>
        <xdr:cNvSpPr/>
      </xdr:nvSpPr>
      <xdr:spPr>
        <a:xfrm>
          <a:off x="3146985" y="9543676"/>
          <a:ext cx="961838" cy="177427"/>
        </a:xfrm>
        <a:prstGeom prst="rect">
          <a:avLst/>
        </a:prstGeom>
        <a:solidFill>
          <a:srgbClr val="EBF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21666</xdr:colOff>
      <xdr:row>49</xdr:row>
      <xdr:rowOff>180414</xdr:rowOff>
    </xdr:from>
    <xdr:to>
      <xdr:col>7</xdr:col>
      <xdr:colOff>161739</xdr:colOff>
      <xdr:row>50</xdr:row>
      <xdr:rowOff>171077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0A6C1F21-9D88-4C46-9ED9-C7CB0C84DF3A}"/>
            </a:ext>
          </a:extLst>
        </xdr:cNvPr>
        <xdr:cNvSpPr/>
      </xdr:nvSpPr>
      <xdr:spPr>
        <a:xfrm>
          <a:off x="5036298" y="9415929"/>
          <a:ext cx="961838" cy="177427"/>
        </a:xfrm>
        <a:prstGeom prst="rect">
          <a:avLst/>
        </a:prstGeom>
        <a:solidFill>
          <a:srgbClr val="EBF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</xdr:col>
      <xdr:colOff>56030</xdr:colOff>
      <xdr:row>49</xdr:row>
      <xdr:rowOff>56030</xdr:rowOff>
    </xdr:from>
    <xdr:ext cx="4171203" cy="43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0E68F775-D2F5-0B46-9AD1-05069A1AD0C6}"/>
                </a:ext>
              </a:extLst>
            </xdr:cNvPr>
            <xdr:cNvSpPr txBox="1"/>
          </xdr:nvSpPr>
          <xdr:spPr>
            <a:xfrm>
              <a:off x="961839" y="9291545"/>
              <a:ext cx="4171203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Promedio</a:t>
              </a:r>
              <a:r>
                <a:rPr lang="es-MX" sz="1400" b="0" i="0" baseline="0">
                  <a:latin typeface="+mn-lt"/>
                </a:rPr>
                <a:t> dias de cobro</a:t>
              </a:r>
              <a14:m>
                <m:oMath xmlns:m="http://schemas.openxmlformats.org/officeDocument/2006/math">
                  <m:r>
                    <a:rPr lang="es-MX" sz="16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𝑐𝑢𝑒𝑛𝑡𝑎𝑠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𝑝𝑜𝑟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𝑐𝑜𝑏𝑟𝑎𝑟</m:t>
                      </m:r>
                    </m:num>
                    <m:den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𝑉𝑒𝑛𝑡𝑎𝑠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𝑑𝑖𝑎𝑟𝑖𝑎𝑠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den>
                  </m:f>
                </m:oMath>
              </a14:m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0E68F775-D2F5-0B46-9AD1-05069A1AD0C6}"/>
                </a:ext>
              </a:extLst>
            </xdr:cNvPr>
            <xdr:cNvSpPr txBox="1"/>
          </xdr:nvSpPr>
          <xdr:spPr>
            <a:xfrm>
              <a:off x="961839" y="9291545"/>
              <a:ext cx="4171203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Promedio</a:t>
              </a:r>
              <a:r>
                <a:rPr lang="es-MX" sz="1400" b="0" i="0" baseline="0">
                  <a:latin typeface="+mn-lt"/>
                </a:rPr>
                <a:t> dias de cobro</a:t>
              </a:r>
              <a:r>
                <a:rPr lang="es-MX" sz="1600" b="0" i="0">
                  <a:latin typeface="Cambria Math" panose="02040503050406030204" pitchFamily="18" charset="0"/>
                </a:rPr>
                <a:t>= 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𝑐𝑢𝑒𝑛𝑡𝑎𝑠 𝑝𝑜𝑟 𝑐𝑜𝑏𝑟𝑎𝑟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𝑉𝑒𝑛𝑡𝑎𝑠 𝑑𝑖𝑎𝑟𝑖𝑎𝑠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65368</xdr:colOff>
      <xdr:row>49</xdr:row>
      <xdr:rowOff>46691</xdr:rowOff>
    </xdr:from>
    <xdr:ext cx="4171203" cy="43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2CFD619-425A-1A4A-A05F-0E89CAB76911}"/>
                </a:ext>
              </a:extLst>
            </xdr:cNvPr>
            <xdr:cNvSpPr txBox="1"/>
          </xdr:nvSpPr>
          <xdr:spPr>
            <a:xfrm>
              <a:off x="5080000" y="9282206"/>
              <a:ext cx="4171203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Ventas</a:t>
              </a:r>
              <a:r>
                <a:rPr lang="es-MX" sz="1400" b="0" i="0" baseline="0">
                  <a:latin typeface="+mn-lt"/>
                </a:rPr>
                <a:t> diarias </a:t>
              </a:r>
              <a14:m>
                <m:oMath xmlns:m="http://schemas.openxmlformats.org/officeDocument/2006/math">
                  <m:r>
                    <a:rPr lang="es-MX" sz="16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𝑇𝑜𝑡𝑎𝑙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𝑣𝑒𝑛𝑡𝑎𝑠</m:t>
                      </m:r>
                    </m:num>
                    <m:den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365</m:t>
                      </m:r>
                    </m:den>
                  </m:f>
                </m:oMath>
              </a14:m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2CFD619-425A-1A4A-A05F-0E89CAB76911}"/>
                </a:ext>
              </a:extLst>
            </xdr:cNvPr>
            <xdr:cNvSpPr txBox="1"/>
          </xdr:nvSpPr>
          <xdr:spPr>
            <a:xfrm>
              <a:off x="5080000" y="9282206"/>
              <a:ext cx="4171203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Ventas</a:t>
              </a:r>
              <a:r>
                <a:rPr lang="es-MX" sz="1400" b="0" i="0" baseline="0">
                  <a:latin typeface="+mn-lt"/>
                </a:rPr>
                <a:t> diarias </a:t>
              </a:r>
              <a:r>
                <a:rPr lang="es-MX" sz="1600" b="0" i="0">
                  <a:latin typeface="Cambria Math" panose="02040503050406030204" pitchFamily="18" charset="0"/>
                </a:rPr>
                <a:t>= 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𝑇𝑜𝑡𝑎𝑙 𝑣𝑒𝑛𝑡𝑎𝑠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365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40341</xdr:colOff>
      <xdr:row>53</xdr:row>
      <xdr:rowOff>49680</xdr:rowOff>
    </xdr:from>
    <xdr:ext cx="4171203" cy="43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9A9BCB3A-366D-F947-B36E-D2F7EB94ED06}"/>
                </a:ext>
              </a:extLst>
            </xdr:cNvPr>
            <xdr:cNvSpPr txBox="1"/>
          </xdr:nvSpPr>
          <xdr:spPr>
            <a:xfrm>
              <a:off x="946150" y="10032254"/>
              <a:ext cx="4171203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Promedio</a:t>
              </a:r>
              <a:r>
                <a:rPr lang="es-MX" sz="1400" b="0" i="0" baseline="0">
                  <a:latin typeface="+mn-lt"/>
                </a:rPr>
                <a:t> dias de pago</a:t>
              </a:r>
              <a14:m>
                <m:oMath xmlns:m="http://schemas.openxmlformats.org/officeDocument/2006/math">
                  <m:r>
                    <a:rPr lang="es-MX" sz="16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𝑐𝑢𝑒𝑛𝑡𝑎𝑠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𝑝𝑜𝑟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𝑝𝑎𝑔𝑎𝑟</m:t>
                      </m:r>
                    </m:num>
                    <m:den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𝐶𝑜𝑠𝑡𝑜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𝑑𝑒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𝑉𝑒𝑛𝑡𝑎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𝑑𝑖𝑎𝑟𝑖𝑎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den>
                  </m:f>
                </m:oMath>
              </a14:m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9A9BCB3A-366D-F947-B36E-D2F7EB94ED06}"/>
                </a:ext>
              </a:extLst>
            </xdr:cNvPr>
            <xdr:cNvSpPr txBox="1"/>
          </xdr:nvSpPr>
          <xdr:spPr>
            <a:xfrm>
              <a:off x="946150" y="10032254"/>
              <a:ext cx="4171203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Promedio</a:t>
              </a:r>
              <a:r>
                <a:rPr lang="es-MX" sz="1400" b="0" i="0" baseline="0">
                  <a:latin typeface="+mn-lt"/>
                </a:rPr>
                <a:t> dias de pago</a:t>
              </a:r>
              <a:r>
                <a:rPr lang="es-MX" sz="1600" b="0" i="0">
                  <a:latin typeface="Cambria Math" panose="02040503050406030204" pitchFamily="18" charset="0"/>
                </a:rPr>
                <a:t>= 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𝑐𝑢𝑒𝑛𝑡𝑎𝑠 𝑝𝑜𝑟 𝑝𝑎𝑔𝑎𝑟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𝐶𝑜𝑠𝑡𝑜 𝑑𝑒 𝑉𝑒𝑛𝑡𝑎 𝑑𝑖𝑎𝑟𝑖𝑎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twoCellAnchor>
    <xdr:from>
      <xdr:col>6</xdr:col>
      <xdr:colOff>5976</xdr:colOff>
      <xdr:row>53</xdr:row>
      <xdr:rowOff>127373</xdr:rowOff>
    </xdr:from>
    <xdr:to>
      <xdr:col>7</xdr:col>
      <xdr:colOff>146049</xdr:colOff>
      <xdr:row>54</xdr:row>
      <xdr:rowOff>118036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981A5BBB-0A9E-B14C-9199-3F49E964129F}"/>
            </a:ext>
          </a:extLst>
        </xdr:cNvPr>
        <xdr:cNvSpPr/>
      </xdr:nvSpPr>
      <xdr:spPr>
        <a:xfrm>
          <a:off x="5020608" y="10109947"/>
          <a:ext cx="961838" cy="177427"/>
        </a:xfrm>
        <a:prstGeom prst="rect">
          <a:avLst/>
        </a:prstGeom>
        <a:solidFill>
          <a:srgbClr val="FAFFC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6</xdr:col>
      <xdr:colOff>49680</xdr:colOff>
      <xdr:row>53</xdr:row>
      <xdr:rowOff>31003</xdr:rowOff>
    </xdr:from>
    <xdr:ext cx="4171203" cy="43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671B6EF6-C163-9C4A-9746-AFE74FA0A5A8}"/>
                </a:ext>
              </a:extLst>
            </xdr:cNvPr>
            <xdr:cNvSpPr txBox="1"/>
          </xdr:nvSpPr>
          <xdr:spPr>
            <a:xfrm>
              <a:off x="5064312" y="10013577"/>
              <a:ext cx="4171203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Costo de Venta</a:t>
              </a:r>
              <a:r>
                <a:rPr lang="es-MX" sz="1400" b="0" i="0" baseline="0">
                  <a:latin typeface="+mn-lt"/>
                </a:rPr>
                <a:t> diaria </a:t>
              </a:r>
              <a14:m>
                <m:oMath xmlns:m="http://schemas.openxmlformats.org/officeDocument/2006/math">
                  <m:r>
                    <a:rPr lang="es-MX" sz="16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𝐶𝑜𝑠𝑡𝑜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𝑑𝑒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𝑣𝑒𝑛𝑡𝑎</m:t>
                      </m:r>
                    </m:num>
                    <m:den>
                      <m:r>
                        <a:rPr lang="es-E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365</m:t>
                      </m:r>
                    </m:den>
                  </m:f>
                </m:oMath>
              </a14:m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671B6EF6-C163-9C4A-9746-AFE74FA0A5A8}"/>
                </a:ext>
              </a:extLst>
            </xdr:cNvPr>
            <xdr:cNvSpPr txBox="1"/>
          </xdr:nvSpPr>
          <xdr:spPr>
            <a:xfrm>
              <a:off x="5064312" y="10013577"/>
              <a:ext cx="4171203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400" b="0" i="0">
                  <a:latin typeface="+mn-lt"/>
                </a:rPr>
                <a:t>Costo de Venta</a:t>
              </a:r>
              <a:r>
                <a:rPr lang="es-MX" sz="1400" b="0" i="0" baseline="0">
                  <a:latin typeface="+mn-lt"/>
                </a:rPr>
                <a:t> diaria </a:t>
              </a:r>
              <a:r>
                <a:rPr lang="es-MX" sz="1600" b="0" i="0">
                  <a:latin typeface="Cambria Math" panose="02040503050406030204" pitchFamily="18" charset="0"/>
                </a:rPr>
                <a:t>= 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𝐶𝑜𝑠𝑡𝑜 𝑑𝑒 𝑣𝑒𝑛𝑡𝑎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365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ES" sz="16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1814</xdr:colOff>
      <xdr:row>58</xdr:row>
      <xdr:rowOff>0</xdr:rowOff>
    </xdr:from>
    <xdr:ext cx="4227286" cy="43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7D6DEF10-383E-4FCF-A794-46E351880797}"/>
                </a:ext>
              </a:extLst>
            </xdr:cNvPr>
            <xdr:cNvSpPr txBox="1"/>
          </xdr:nvSpPr>
          <xdr:spPr>
            <a:xfrm>
              <a:off x="788662" y="11131826"/>
              <a:ext cx="4227286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Razon</a:t>
              </a:r>
              <a:r>
                <a:rPr lang="es-MX" sz="1200" b="0" i="0" baseline="0">
                  <a:latin typeface="+mn-lt"/>
                </a:rPr>
                <a:t> de endeudamiento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𝐴𝑐𝑡𝑖𝑣𝑜</m:t>
                      </m:r>
                    </m:num>
                    <m:den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𝑃𝑎𝑠𝑖𝑣𝑜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den>
                  </m:f>
                  <m:r>
                    <a:rPr lang="es-ES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&gt;1</m:t>
                  </m:r>
                </m:oMath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7D6DEF10-383E-4FCF-A794-46E351880797}"/>
                </a:ext>
              </a:extLst>
            </xdr:cNvPr>
            <xdr:cNvSpPr txBox="1"/>
          </xdr:nvSpPr>
          <xdr:spPr>
            <a:xfrm>
              <a:off x="788662" y="11131826"/>
              <a:ext cx="4227286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Razon</a:t>
              </a:r>
              <a:r>
                <a:rPr lang="es-MX" sz="1200" b="0" i="0" baseline="0">
                  <a:latin typeface="+mn-lt"/>
                </a:rPr>
                <a:t> de endeudamiento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𝐴𝑐𝑡𝑖𝑣𝑜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𝑃𝑎𝑠𝑖𝑣𝑜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&gt;1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10886</xdr:colOff>
      <xdr:row>65</xdr:row>
      <xdr:rowOff>18142</xdr:rowOff>
    </xdr:from>
    <xdr:ext cx="4227286" cy="43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98C02C-0510-483B-8C59-8CEA95113170}"/>
                </a:ext>
              </a:extLst>
            </xdr:cNvPr>
            <xdr:cNvSpPr txBox="1"/>
          </xdr:nvSpPr>
          <xdr:spPr>
            <a:xfrm>
              <a:off x="797734" y="12483468"/>
              <a:ext cx="4227286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Razon</a:t>
              </a:r>
              <a:r>
                <a:rPr lang="es-MX" sz="1200" b="0" i="0" baseline="0">
                  <a:latin typeface="+mn-lt"/>
                </a:rPr>
                <a:t> Apalancamiento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𝐴𝑐𝑡𝑖𝑣𝑜</m:t>
                      </m:r>
                    </m:num>
                    <m:den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𝐶𝑎𝑝𝑖𝑡𝑎𝑙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den>
                  </m:f>
                  <m:r>
                    <a:rPr lang="es-ES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&gt;1</m:t>
                  </m:r>
                </m:oMath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98C02C-0510-483B-8C59-8CEA95113170}"/>
                </a:ext>
              </a:extLst>
            </xdr:cNvPr>
            <xdr:cNvSpPr txBox="1"/>
          </xdr:nvSpPr>
          <xdr:spPr>
            <a:xfrm>
              <a:off x="797734" y="12483468"/>
              <a:ext cx="4227286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Razon</a:t>
              </a:r>
              <a:r>
                <a:rPr lang="es-MX" sz="1200" b="0" i="0" baseline="0">
                  <a:latin typeface="+mn-lt"/>
                </a:rPr>
                <a:t> Apalancamiento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𝐴𝑐𝑡𝑖𝑣𝑜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𝐶𝑎𝑝𝑖𝑡𝑎𝑙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&gt;1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786847</xdr:colOff>
      <xdr:row>61</xdr:row>
      <xdr:rowOff>16565</xdr:rowOff>
    </xdr:from>
    <xdr:ext cx="5110370" cy="5351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7C5E0D24-7070-4EA5-A387-ED2F36C26BD7}"/>
                </a:ext>
              </a:extLst>
            </xdr:cNvPr>
            <xdr:cNvSpPr txBox="1"/>
          </xdr:nvSpPr>
          <xdr:spPr>
            <a:xfrm>
              <a:off x="786847" y="11719891"/>
              <a:ext cx="5110370" cy="535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Razon</a:t>
              </a:r>
              <a:r>
                <a:rPr lang="es-MX" sz="1200" b="0" i="0" baseline="0">
                  <a:latin typeface="+mn-lt"/>
                </a:rPr>
                <a:t> cobertura de intereses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𝑈𝑡𝑖𝑙𝑖𝑑𝑎𝑑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𝑂𝑝𝑒𝑟𝑎𝑡𝑖𝑣𝑎</m:t>
                      </m:r>
                    </m:num>
                    <m:den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𝐺𝑎𝑠𝑡𝑜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𝑝𝑜𝑟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𝐼𝑛𝑡𝑒𝑟𝑒𝑠𝑒𝑠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𝑐𝑜𝑠𝑡𝑜𝑠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𝑓𝑖𝑛𝑎𝑛𝑐𝑖𝑒𝑟𝑜𝑠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 </m:t>
                      </m:r>
                    </m:den>
                  </m:f>
                </m:oMath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7C5E0D24-7070-4EA5-A387-ED2F36C26BD7}"/>
                </a:ext>
              </a:extLst>
            </xdr:cNvPr>
            <xdr:cNvSpPr txBox="1"/>
          </xdr:nvSpPr>
          <xdr:spPr>
            <a:xfrm>
              <a:off x="786847" y="11719891"/>
              <a:ext cx="5110370" cy="535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Razon</a:t>
              </a:r>
              <a:r>
                <a:rPr lang="es-MX" sz="1200" b="0" i="0" baseline="0">
                  <a:latin typeface="+mn-lt"/>
                </a:rPr>
                <a:t> cobertura de intereses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𝑈𝑡𝑖𝑙𝑖𝑑𝑎𝑑 𝑂𝑝𝑒𝑟𝑎𝑡𝑖𝑣𝑎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𝐺𝑎𝑠𝑡𝑜 𝑝𝑜𝑟 𝐼𝑛𝑡𝑒𝑟𝑒𝑠𝑒𝑠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𝑜 𝑐𝑜𝑠𝑡𝑜𝑠 𝑓𝑖𝑛𝑎𝑛𝑐𝑖𝑒𝑟𝑜𝑠 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70</xdr:row>
      <xdr:rowOff>0</xdr:rowOff>
    </xdr:from>
    <xdr:ext cx="4227286" cy="43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66B5E5B1-9C65-456C-ACA5-61DA5905D0F2}"/>
                </a:ext>
              </a:extLst>
            </xdr:cNvPr>
            <xdr:cNvSpPr txBox="1"/>
          </xdr:nvSpPr>
          <xdr:spPr>
            <a:xfrm>
              <a:off x="786848" y="13417826"/>
              <a:ext cx="4227286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EPS</a:t>
              </a:r>
              <a:r>
                <a:rPr lang="es-MX" sz="1200" b="0" i="0" baseline="0">
                  <a:latin typeface="+mn-lt"/>
                </a:rPr>
                <a:t> Utilidad por accion 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𝑈𝑡𝑖𝑙𝑖𝑑𝑎𝑑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𝑁𝑒𝑡𝑎</m:t>
                      </m:r>
                    </m:num>
                    <m:den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𝑛𝑢𝑚𝑒𝑟𝑜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𝑑𝑒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𝑎𝑐𝑐𝑖𝑜𝑛𝑒𝑠</m:t>
                      </m:r>
                    </m:den>
                  </m:f>
                </m:oMath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66B5E5B1-9C65-456C-ACA5-61DA5905D0F2}"/>
                </a:ext>
              </a:extLst>
            </xdr:cNvPr>
            <xdr:cNvSpPr txBox="1"/>
          </xdr:nvSpPr>
          <xdr:spPr>
            <a:xfrm>
              <a:off x="786848" y="13417826"/>
              <a:ext cx="4227286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>
                  <a:latin typeface="+mn-lt"/>
                </a:rPr>
                <a:t>EPS</a:t>
              </a:r>
              <a:r>
                <a:rPr lang="es-MX" sz="1200" b="0" i="0" baseline="0">
                  <a:latin typeface="+mn-lt"/>
                </a:rPr>
                <a:t> Utilidad por accion 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𝑈𝑡𝑖𝑙𝑖𝑑𝑎𝑑 𝑁𝑒𝑡𝑎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𝑛𝑢𝑚𝑒𝑟𝑜 𝑑𝑒 𝑎𝑐𝑐𝑖𝑜𝑛𝑒𝑠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25400</xdr:colOff>
      <xdr:row>73</xdr:row>
      <xdr:rowOff>152400</xdr:rowOff>
    </xdr:from>
    <xdr:ext cx="4227286" cy="43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D9F70C18-3606-4A85-8395-764D5F1FEEF3}"/>
                </a:ext>
              </a:extLst>
            </xdr:cNvPr>
            <xdr:cNvSpPr txBox="1"/>
          </xdr:nvSpPr>
          <xdr:spPr>
            <a:xfrm>
              <a:off x="812248" y="14141726"/>
              <a:ext cx="4227286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 baseline="0">
                  <a:latin typeface="+mn-lt"/>
                </a:rPr>
                <a:t>PER (razon precio utilidad) 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𝑃𝑟𝑒𝑐𝑖𝑜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𝑝𝑜𝑟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𝑎𝑐𝑐𝑖𝑜𝑛</m:t>
                      </m:r>
                    </m:num>
                    <m:den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𝑈𝑡𝑖𝑙𝑖𝑑𝑎𝑑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𝑝𝑜𝑟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𝑎𝑐𝑐𝑖𝑜𝑛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𝐸𝑃𝑆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  </m:t>
                      </m:r>
                    </m:den>
                  </m:f>
                </m:oMath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D9F70C18-3606-4A85-8395-764D5F1FEEF3}"/>
                </a:ext>
              </a:extLst>
            </xdr:cNvPr>
            <xdr:cNvSpPr txBox="1"/>
          </xdr:nvSpPr>
          <xdr:spPr>
            <a:xfrm>
              <a:off x="812248" y="14141726"/>
              <a:ext cx="4227286" cy="43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 baseline="0">
                  <a:latin typeface="+mn-lt"/>
                </a:rPr>
                <a:t>PER (razon precio utilidad) 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𝑃𝑟𝑒𝑐𝑖𝑜 𝑝𝑜𝑟 𝑎𝑐𝑐𝑖𝑜𝑛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𝑈𝑡𝑖𝑙𝑖𝑑𝑎𝑑 𝑝𝑜𝑟 𝑎𝑐𝑐𝑖𝑜𝑛(𝐸𝑃𝑆)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37352</xdr:colOff>
      <xdr:row>76</xdr:row>
      <xdr:rowOff>121664</xdr:rowOff>
    </xdr:from>
    <xdr:ext cx="8505266" cy="581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A01E37D3-6283-45EF-A967-98A60099B754}"/>
                </a:ext>
              </a:extLst>
            </xdr:cNvPr>
            <xdr:cNvSpPr txBox="1"/>
          </xdr:nvSpPr>
          <xdr:spPr>
            <a:xfrm>
              <a:off x="824200" y="14682490"/>
              <a:ext cx="8505266" cy="581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 baseline="0">
                  <a:latin typeface="+mn-lt"/>
                </a:rPr>
                <a:t>Precio Valor Contable 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𝑉𝑎𝑙𝑜𝑟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𝑀𝑒𝑟𝑐𝑎𝑑𝑜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𝐸𝑚𝑝𝑟𝑒𝑠𝑎</m:t>
                      </m:r>
                    </m:num>
                    <m:den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𝑉𝑎𝑙𝑜𝑟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𝑒𝑛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𝑙𝑖𝑏𝑟𝑜𝑠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𝐸𝑚𝑝𝑟𝑒𝑠𝑎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 </m:t>
                      </m:r>
                    </m:den>
                  </m:f>
                </m:oMath>
              </a14:m>
              <a:r>
                <a:rPr lang="es-ES" sz="14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𝑁𝑢𝑚𝑒𝑟𝑜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𝑎𝑐𝑐𝑖𝑜𝑛𝑒𝑠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∗(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𝑃𝑟𝑒𝑐𝑖𝑜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𝐴𝑐𝑐𝑖𝑜𝑛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num>
                    <m:den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𝑉𝑎𝑙𝑜𝑟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𝐶𝑎𝑝𝑖𝑡𝑎𝑙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𝑆𝑜𝑐𝑖𝑎𝑙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𝑏𝑎𝑙𝑎𝑛𝑐𝑒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𝑔𝑒𝑛𝑒𝑟𝑎𝑙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  </m:t>
                      </m:r>
                    </m:den>
                  </m:f>
                </m:oMath>
              </a14:m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A01E37D3-6283-45EF-A967-98A60099B754}"/>
                </a:ext>
              </a:extLst>
            </xdr:cNvPr>
            <xdr:cNvSpPr txBox="1"/>
          </xdr:nvSpPr>
          <xdr:spPr>
            <a:xfrm>
              <a:off x="824200" y="14682490"/>
              <a:ext cx="8505266" cy="581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 baseline="0">
                  <a:latin typeface="+mn-lt"/>
                </a:rPr>
                <a:t>Precio Valor Contable 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𝑉𝑎𝑙𝑜𝑟 𝑀𝑒𝑟𝑐𝑎𝑑𝑜 𝐸𝑚𝑝𝑟𝑒𝑠𝑎)/(𝑉𝑎𝑙𝑜𝑟 𝑒𝑛 𝑙𝑖𝑏𝑟𝑜𝑠 𝐸𝑚𝑝𝑟𝑒𝑠𝑎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ES" sz="14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(𝑁𝑢𝑚𝑒𝑟𝑜 𝑎𝑐𝑐𝑖𝑜𝑛𝑒𝑠∗(𝑃𝑟𝑒𝑐𝑖𝑜 𝐴𝑐𝑐𝑖𝑜𝑛))/(𝑉𝑎𝑙𝑜𝑟 𝐶𝑎𝑝𝑖𝑡𝑎𝑙 𝑆𝑜𝑐𝑖𝑎𝑙(𝑏𝑎𝑙𝑎𝑛𝑐𝑒 𝑔𝑒𝑛𝑒𝑟𝑎𝑙)  )</a:t>
              </a:r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7620</xdr:colOff>
      <xdr:row>80</xdr:row>
      <xdr:rowOff>26489</xdr:rowOff>
    </xdr:from>
    <xdr:ext cx="8505266" cy="581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F1817ADF-6331-43AC-BAEA-74D502B9AA17}"/>
                </a:ext>
              </a:extLst>
            </xdr:cNvPr>
            <xdr:cNvSpPr txBox="1"/>
          </xdr:nvSpPr>
          <xdr:spPr>
            <a:xfrm>
              <a:off x="794468" y="15349315"/>
              <a:ext cx="8505266" cy="581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 baseline="0">
                  <a:latin typeface="+mn-lt"/>
                </a:rPr>
                <a:t>Precio-Ventas </a:t>
              </a:r>
              <a14:m>
                <m:oMath xmlns:m="http://schemas.openxmlformats.org/officeDocument/2006/math">
                  <m:r>
                    <a:rPr lang="es-MX" sz="1400" b="0" i="0">
                      <a:latin typeface="Cambria Math" panose="02040503050406030204" pitchFamily="18" charset="0"/>
                    </a:rPr>
                    <m:t>=   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𝑉𝑎𝑙𝑜𝑟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𝑀𝑒𝑟𝑐𝑎𝑑𝑜</m:t>
                      </m:r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>
                        <a:rPr lang="es-MX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𝑒𝑛𝑡𝑎𝑠</m:t>
                      </m:r>
                      <m:r>
                        <a:rPr lang="es-E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 </m:t>
                      </m:r>
                    </m:den>
                  </m:f>
                </m:oMath>
              </a14:m>
              <a:r>
                <a:rPr lang="es-ES" sz="14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numero de acciones*precio</a:t>
              </a:r>
              <a:r>
                <a:rPr lang="es-ES" sz="1400" b="0" i="1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por accion /Ingresos totales</a:t>
              </a: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F1817ADF-6331-43AC-BAEA-74D502B9AA17}"/>
                </a:ext>
              </a:extLst>
            </xdr:cNvPr>
            <xdr:cNvSpPr txBox="1"/>
          </xdr:nvSpPr>
          <xdr:spPr>
            <a:xfrm>
              <a:off x="794468" y="15349315"/>
              <a:ext cx="8505266" cy="581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200" b="0" i="0" baseline="0">
                  <a:latin typeface="+mn-lt"/>
                </a:rPr>
                <a:t>Precio-Ventas </a:t>
              </a:r>
              <a:r>
                <a:rPr lang="es-MX" sz="1400" b="0" i="0">
                  <a:latin typeface="Cambria Math" panose="02040503050406030204" pitchFamily="18" charset="0"/>
                </a:rPr>
                <a:t>= 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 𝑉𝑎𝑙𝑜𝑟 𝑀𝑒𝑟𝑐𝑎𝑑𝑜 )/(𝑉</a:t>
              </a:r>
              <a:r>
                <a:rPr lang="es-E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𝑒𝑛𝑡𝑎𝑠 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ES" sz="14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numero de acciones*precio</a:t>
              </a:r>
              <a:r>
                <a:rPr lang="es-ES" sz="1400" b="0" i="1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por accion /Ingresos totales</a:t>
              </a: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ES" sz="14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71194</xdr:colOff>
      <xdr:row>8</xdr:row>
      <xdr:rowOff>66559</xdr:rowOff>
    </xdr:from>
    <xdr:ext cx="65" cy="172098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1A27CB2-AB0A-1C49-B29B-F9FB6478EE22}"/>
            </a:ext>
          </a:extLst>
        </xdr:cNvPr>
        <xdr:cNvSpPr txBox="1"/>
      </xdr:nvSpPr>
      <xdr:spPr>
        <a:xfrm>
          <a:off x="5328994" y="1590559"/>
          <a:ext cx="65" cy="172098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MX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0</xdr:col>
      <xdr:colOff>701558</xdr:colOff>
      <xdr:row>14</xdr:row>
      <xdr:rowOff>131449</xdr:rowOff>
    </xdr:from>
    <xdr:ext cx="1041216" cy="490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37C16E8D-D0B5-D049-A83E-982E3D484C4D}"/>
                </a:ext>
              </a:extLst>
            </xdr:cNvPr>
            <xdr:cNvSpPr txBox="1"/>
          </xdr:nvSpPr>
          <xdr:spPr>
            <a:xfrm>
              <a:off x="701558" y="2798449"/>
              <a:ext cx="1041216" cy="49019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0" lang="es-E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kumimoji="0" lang="es-E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𝐹𝐸𝑂</m:t>
                        </m:r>
                      </m:num>
                      <m:den>
                        <m:r>
                          <a:rPr kumimoji="0" lang="es-E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𝐴𝐶𝑇𝐼𝑉𝑂</m:t>
                        </m:r>
                      </m:den>
                    </m:f>
                    <m:r>
                      <a:rPr kumimoji="0" lang="es-ES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&gt;</m:t>
                    </m:r>
                    <m:r>
                      <a:rPr kumimoji="0" lang="es-ES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𝑅𝑂𝐴</m:t>
                    </m:r>
                  </m:oMath>
                </m:oMathPara>
              </a14:m>
              <a:endParaRPr kumimoji="0" lang="es-E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s-MX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37C16E8D-D0B5-D049-A83E-982E3D484C4D}"/>
                </a:ext>
              </a:extLst>
            </xdr:cNvPr>
            <xdr:cNvSpPr txBox="1"/>
          </xdr:nvSpPr>
          <xdr:spPr>
            <a:xfrm>
              <a:off x="701558" y="2798449"/>
              <a:ext cx="1041216" cy="49019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E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𝐹𝐸𝑂/𝐴𝐶𝑇𝐼𝑉𝑂</a:t>
              </a:r>
              <a:r>
                <a:rPr kumimoji="0" lang="es-E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&gt;𝑅𝑂𝐴</a:t>
              </a:r>
              <a:endParaRPr kumimoji="0" lang="es-E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s-MX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1</xdr:col>
      <xdr:colOff>509855</xdr:colOff>
      <xdr:row>13</xdr:row>
      <xdr:rowOff>176131</xdr:rowOff>
    </xdr:from>
    <xdr:to>
      <xdr:col>1</xdr:col>
      <xdr:colOff>574745</xdr:colOff>
      <xdr:row>15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1ACC2AA-1C2D-C04C-9226-E3349672ECAB}"/>
            </a:ext>
          </a:extLst>
        </xdr:cNvPr>
        <xdr:cNvCxnSpPr/>
      </xdr:nvCxnSpPr>
      <xdr:spPr>
        <a:xfrm flipH="1" flipV="1">
          <a:off x="1335355" y="2652631"/>
          <a:ext cx="64890" cy="204869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71194</xdr:colOff>
      <xdr:row>18</xdr:row>
      <xdr:rowOff>66559</xdr:rowOff>
    </xdr:from>
    <xdr:ext cx="65" cy="172098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F5DE1539-B428-6346-8028-C087F023EA9C}"/>
            </a:ext>
          </a:extLst>
        </xdr:cNvPr>
        <xdr:cNvSpPr txBox="1"/>
      </xdr:nvSpPr>
      <xdr:spPr>
        <a:xfrm>
          <a:off x="4185994" y="1610879"/>
          <a:ext cx="65" cy="172098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MX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71194</xdr:colOff>
      <xdr:row>25</xdr:row>
      <xdr:rowOff>66559</xdr:rowOff>
    </xdr:from>
    <xdr:ext cx="65" cy="172098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7A2EDA98-54D4-8848-B717-282909EC3890}"/>
            </a:ext>
          </a:extLst>
        </xdr:cNvPr>
        <xdr:cNvSpPr txBox="1"/>
      </xdr:nvSpPr>
      <xdr:spPr>
        <a:xfrm>
          <a:off x="4185994" y="3541279"/>
          <a:ext cx="65" cy="172098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MX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71194</xdr:colOff>
      <xdr:row>33</xdr:row>
      <xdr:rowOff>66559</xdr:rowOff>
    </xdr:from>
    <xdr:ext cx="65" cy="172098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753AFF5-68B5-E24A-BEA9-F0790C706185}"/>
            </a:ext>
          </a:extLst>
        </xdr:cNvPr>
        <xdr:cNvSpPr txBox="1"/>
      </xdr:nvSpPr>
      <xdr:spPr>
        <a:xfrm>
          <a:off x="5069914" y="1610879"/>
          <a:ext cx="65" cy="172098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MX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F5EA-AA89-4731-AED0-6894CA98AD26}">
  <dimension ref="A2:J69"/>
  <sheetViews>
    <sheetView tabSelected="1" zoomScale="115" zoomScaleNormal="115" workbookViewId="0">
      <selection activeCell="H86" sqref="H86"/>
    </sheetView>
  </sheetViews>
  <sheetFormatPr baseColWidth="10" defaultColWidth="11.5" defaultRowHeight="15" x14ac:dyDescent="0.2"/>
  <cols>
    <col min="1" max="1" width="11.83203125" bestFit="1" customWidth="1"/>
  </cols>
  <sheetData>
    <row r="2" spans="1:7" x14ac:dyDescent="0.2">
      <c r="A2" s="122" t="s">
        <v>0</v>
      </c>
      <c r="B2" s="122"/>
      <c r="C2" s="122"/>
      <c r="D2" s="3"/>
    </row>
    <row r="3" spans="1:7" x14ac:dyDescent="0.2">
      <c r="A3" s="123"/>
      <c r="B3" s="123"/>
      <c r="C3" s="123"/>
      <c r="D3" s="123"/>
      <c r="E3" s="123"/>
      <c r="F3" s="123"/>
      <c r="G3" s="123"/>
    </row>
    <row r="4" spans="1:7" x14ac:dyDescent="0.2">
      <c r="A4" s="123"/>
      <c r="B4" s="123"/>
      <c r="C4" s="123"/>
      <c r="D4" s="123"/>
      <c r="E4" s="123"/>
      <c r="F4" s="123"/>
      <c r="G4" s="123"/>
    </row>
    <row r="5" spans="1:7" x14ac:dyDescent="0.2">
      <c r="A5" s="123"/>
      <c r="B5" s="123"/>
      <c r="C5" s="123"/>
      <c r="D5" s="123"/>
      <c r="E5" s="123"/>
      <c r="F5" s="123"/>
      <c r="G5" s="123"/>
    </row>
    <row r="6" spans="1:7" x14ac:dyDescent="0.2">
      <c r="A6" s="123"/>
      <c r="B6" s="123"/>
      <c r="C6" s="123"/>
      <c r="D6" s="123"/>
      <c r="E6" s="123"/>
      <c r="F6" s="123"/>
      <c r="G6" s="123"/>
    </row>
    <row r="7" spans="1:7" x14ac:dyDescent="0.2">
      <c r="A7" s="1" t="s">
        <v>1</v>
      </c>
      <c r="B7" s="1"/>
      <c r="C7" s="1"/>
      <c r="D7" s="1"/>
      <c r="E7" s="1"/>
      <c r="F7" s="1"/>
    </row>
    <row r="8" spans="1:7" x14ac:dyDescent="0.2">
      <c r="A8" s="123" t="s">
        <v>2</v>
      </c>
      <c r="B8" s="123"/>
      <c r="C8" s="123"/>
      <c r="D8" s="123"/>
      <c r="E8" s="123"/>
      <c r="F8" s="123"/>
    </row>
    <row r="9" spans="1:7" x14ac:dyDescent="0.2">
      <c r="A9" s="123" t="s">
        <v>3</v>
      </c>
      <c r="B9" s="123"/>
      <c r="C9" s="123"/>
      <c r="D9" s="123"/>
      <c r="E9" s="123"/>
      <c r="F9" s="123"/>
    </row>
    <row r="11" spans="1:7" x14ac:dyDescent="0.2">
      <c r="A11" s="124" t="s">
        <v>4</v>
      </c>
      <c r="B11" s="124"/>
      <c r="C11" s="124"/>
      <c r="D11" s="1"/>
      <c r="E11" s="1"/>
      <c r="F11" s="1"/>
    </row>
    <row r="12" spans="1:7" x14ac:dyDescent="0.2">
      <c r="A12" s="119" t="s">
        <v>5</v>
      </c>
      <c r="B12" s="119"/>
      <c r="C12" s="119"/>
      <c r="D12" s="1"/>
      <c r="E12" s="1"/>
      <c r="F12" s="1"/>
    </row>
    <row r="13" spans="1:7" x14ac:dyDescent="0.2">
      <c r="A13" s="1"/>
      <c r="B13" s="1"/>
      <c r="C13" s="1"/>
      <c r="D13" s="1"/>
      <c r="E13" s="1"/>
      <c r="F13" s="1"/>
    </row>
    <row r="14" spans="1:7" x14ac:dyDescent="0.2">
      <c r="A14" s="1"/>
      <c r="B14" s="1"/>
      <c r="C14" s="1"/>
      <c r="D14" s="1"/>
      <c r="E14" s="1"/>
      <c r="F14" s="1"/>
    </row>
    <row r="19" spans="1:10" x14ac:dyDescent="0.2">
      <c r="A19" s="120" t="s">
        <v>6</v>
      </c>
      <c r="B19" s="120"/>
      <c r="C19" s="120"/>
    </row>
    <row r="20" spans="1:10" x14ac:dyDescent="0.2">
      <c r="B20" s="81" t="s">
        <v>7</v>
      </c>
    </row>
    <row r="23" spans="1:10" ht="21.75" customHeight="1" x14ac:dyDescent="0.2">
      <c r="B23" s="80"/>
      <c r="C23" s="80"/>
      <c r="D23" s="80"/>
      <c r="E23" s="80"/>
      <c r="F23" s="80"/>
      <c r="G23" s="80"/>
    </row>
    <row r="24" spans="1:10" x14ac:dyDescent="0.2">
      <c r="B24" s="121" t="s">
        <v>8</v>
      </c>
      <c r="C24" s="121"/>
      <c r="D24" s="121"/>
      <c r="E24" s="121"/>
      <c r="F24" s="121"/>
      <c r="G24" s="121"/>
      <c r="J24" t="s">
        <v>9</v>
      </c>
    </row>
    <row r="25" spans="1:10" x14ac:dyDescent="0.2">
      <c r="B25" t="s">
        <v>10</v>
      </c>
    </row>
    <row r="30" spans="1:10" x14ac:dyDescent="0.2">
      <c r="G30" t="s">
        <v>11</v>
      </c>
    </row>
    <row r="32" spans="1:10" x14ac:dyDescent="0.2">
      <c r="B32" s="81" t="s">
        <v>12</v>
      </c>
    </row>
    <row r="35" spans="1:3" x14ac:dyDescent="0.2">
      <c r="B35" s="82"/>
    </row>
    <row r="37" spans="1:3" x14ac:dyDescent="0.2">
      <c r="C37" s="82"/>
    </row>
    <row r="40" spans="1:3" x14ac:dyDescent="0.2">
      <c r="A40" s="118" t="s">
        <v>13</v>
      </c>
      <c r="B40" s="118"/>
      <c r="C40" s="118"/>
    </row>
    <row r="57" spans="1:3" x14ac:dyDescent="0.2">
      <c r="A57" s="116" t="s">
        <v>14</v>
      </c>
      <c r="B57" s="116"/>
      <c r="C57" s="116"/>
    </row>
    <row r="69" spans="1:3" x14ac:dyDescent="0.2">
      <c r="A69" s="117" t="s">
        <v>15</v>
      </c>
      <c r="B69" s="117"/>
      <c r="C69" s="117"/>
    </row>
  </sheetData>
  <mergeCells count="11">
    <mergeCell ref="A2:C2"/>
    <mergeCell ref="A3:G6"/>
    <mergeCell ref="A8:F8"/>
    <mergeCell ref="A9:F9"/>
    <mergeCell ref="A11:C11"/>
    <mergeCell ref="A57:C57"/>
    <mergeCell ref="A69:C69"/>
    <mergeCell ref="A40:C40"/>
    <mergeCell ref="A12:C12"/>
    <mergeCell ref="A19:C19"/>
    <mergeCell ref="B24:G24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362B-1166-4B73-A9D8-BB29D4182A48}">
  <dimension ref="A1:N73"/>
  <sheetViews>
    <sheetView topLeftCell="A22" zoomScale="85" zoomScaleNormal="85" workbookViewId="0">
      <selection activeCell="A33" sqref="A33"/>
    </sheetView>
  </sheetViews>
  <sheetFormatPr baseColWidth="10" defaultColWidth="11.5" defaultRowHeight="15" x14ac:dyDescent="0.2"/>
  <cols>
    <col min="1" max="1" width="42.5" customWidth="1"/>
    <col min="2" max="6" width="18.33203125" customWidth="1"/>
    <col min="8" max="8" width="10.33203125" customWidth="1"/>
    <col min="9" max="9" width="42.6640625" customWidth="1"/>
    <col min="10" max="10" width="17.6640625" customWidth="1"/>
  </cols>
  <sheetData>
    <row r="1" spans="1:14" x14ac:dyDescent="0.2">
      <c r="A1" s="133" t="s">
        <v>16</v>
      </c>
      <c r="B1" s="134"/>
      <c r="C1" s="134"/>
      <c r="D1" s="134"/>
      <c r="E1" s="14"/>
      <c r="F1" s="15"/>
    </row>
    <row r="2" spans="1:14" x14ac:dyDescent="0.2">
      <c r="A2" s="135" t="s">
        <v>17</v>
      </c>
      <c r="B2" s="136"/>
      <c r="C2" s="136"/>
      <c r="F2" s="17"/>
    </row>
    <row r="3" spans="1:14" x14ac:dyDescent="0.2">
      <c r="A3" s="135" t="s">
        <v>18</v>
      </c>
      <c r="B3" s="136"/>
      <c r="C3" s="136"/>
      <c r="D3" s="136"/>
      <c r="F3" s="17"/>
    </row>
    <row r="4" spans="1:14" x14ac:dyDescent="0.2">
      <c r="A4" s="135" t="s">
        <v>19</v>
      </c>
      <c r="B4" s="136"/>
      <c r="F4" s="17"/>
    </row>
    <row r="5" spans="1:14" x14ac:dyDescent="0.2">
      <c r="A5" s="18"/>
      <c r="F5" s="17"/>
      <c r="I5" t="s">
        <v>20</v>
      </c>
    </row>
    <row r="6" spans="1:14" x14ac:dyDescent="0.2">
      <c r="A6" s="19"/>
      <c r="B6" s="20">
        <v>2016</v>
      </c>
      <c r="C6" s="20">
        <v>2017</v>
      </c>
      <c r="D6" s="20">
        <v>2018</v>
      </c>
      <c r="E6" s="20">
        <v>2019</v>
      </c>
      <c r="F6" s="21">
        <v>2020</v>
      </c>
      <c r="I6" s="67"/>
      <c r="J6" s="68"/>
      <c r="K6" s="68">
        <v>2017</v>
      </c>
      <c r="L6" s="68">
        <v>2018</v>
      </c>
      <c r="M6" s="68">
        <v>2019</v>
      </c>
      <c r="N6" s="69">
        <v>2020</v>
      </c>
    </row>
    <row r="7" spans="1:14" x14ac:dyDescent="0.2">
      <c r="A7" s="127" t="s">
        <v>21</v>
      </c>
      <c r="B7" s="128"/>
      <c r="C7" s="128"/>
      <c r="D7" s="128"/>
      <c r="E7" s="128"/>
      <c r="F7" s="129"/>
      <c r="I7" s="127" t="s">
        <v>21</v>
      </c>
      <c r="J7" s="128"/>
      <c r="K7" s="128"/>
      <c r="L7" s="128"/>
      <c r="M7" s="128"/>
      <c r="N7" s="129"/>
    </row>
    <row r="8" spans="1:14" x14ac:dyDescent="0.2">
      <c r="A8" s="18" t="s">
        <v>22</v>
      </c>
      <c r="B8" s="24">
        <v>47347867</v>
      </c>
      <c r="C8" s="7">
        <v>52113334</v>
      </c>
      <c r="D8" s="24">
        <v>64530511</v>
      </c>
      <c r="E8" s="7">
        <v>63407954</v>
      </c>
      <c r="F8" s="25">
        <v>22976908</v>
      </c>
      <c r="I8" s="18" t="s">
        <v>22</v>
      </c>
      <c r="K8" s="70">
        <f>(C8-B8)/B8</f>
        <v>0.10064797639141801</v>
      </c>
      <c r="L8" s="70">
        <f t="shared" ref="L8:N8" si="0">(D8-C8)/C8</f>
        <v>0.23827255036110337</v>
      </c>
      <c r="M8" s="70">
        <f t="shared" si="0"/>
        <v>-1.7395755629457204E-2</v>
      </c>
      <c r="N8" s="71">
        <f t="shared" si="0"/>
        <v>-0.63763366343597838</v>
      </c>
    </row>
    <row r="9" spans="1:14" x14ac:dyDescent="0.2">
      <c r="A9" s="18" t="s">
        <v>23</v>
      </c>
      <c r="B9" s="24" t="s">
        <v>24</v>
      </c>
      <c r="C9" s="24" t="s">
        <v>24</v>
      </c>
      <c r="D9" s="24" t="s">
        <v>24</v>
      </c>
      <c r="E9" s="24" t="s">
        <v>24</v>
      </c>
      <c r="F9" s="26" t="s">
        <v>24</v>
      </c>
      <c r="I9" s="18" t="s">
        <v>23</v>
      </c>
      <c r="K9" s="72" t="s">
        <v>24</v>
      </c>
      <c r="L9" s="72" t="s">
        <v>24</v>
      </c>
      <c r="M9" s="72" t="s">
        <v>24</v>
      </c>
      <c r="N9" s="73" t="s">
        <v>24</v>
      </c>
    </row>
    <row r="10" spans="1:14" x14ac:dyDescent="0.2">
      <c r="A10" s="27" t="s">
        <v>25</v>
      </c>
      <c r="B10" s="24">
        <f>SUM(B8,B9)</f>
        <v>47347867</v>
      </c>
      <c r="C10" s="24">
        <f t="shared" ref="C10:F10" si="1">SUM(C8,C9)</f>
        <v>52113334</v>
      </c>
      <c r="D10" s="24">
        <f t="shared" si="1"/>
        <v>64530511</v>
      </c>
      <c r="E10" s="24">
        <f t="shared" si="1"/>
        <v>63407954</v>
      </c>
      <c r="F10" s="26">
        <f t="shared" si="1"/>
        <v>22976908</v>
      </c>
      <c r="I10" s="27" t="s">
        <v>25</v>
      </c>
      <c r="K10" s="70">
        <f t="shared" ref="K10:K37" si="2">(C10-B10)/B10</f>
        <v>0.10064797639141801</v>
      </c>
      <c r="L10" s="70">
        <f t="shared" ref="L10:L37" si="3">(D10-C10)/C10</f>
        <v>0.23827255036110337</v>
      </c>
      <c r="M10" s="70">
        <f t="shared" ref="M10:M37" si="4">(E10-D10)/D10</f>
        <v>-1.7395755629457204E-2</v>
      </c>
      <c r="N10" s="71">
        <f t="shared" ref="N10:N37" si="5">(F10-E10)/E10</f>
        <v>-0.63763366343597838</v>
      </c>
    </row>
    <row r="11" spans="1:14" x14ac:dyDescent="0.2">
      <c r="A11" s="18" t="s">
        <v>26</v>
      </c>
      <c r="B11" s="24">
        <v>3360059</v>
      </c>
      <c r="C11" s="7">
        <v>4345837</v>
      </c>
      <c r="D11" s="7">
        <v>4701302</v>
      </c>
      <c r="E11" s="24">
        <v>4223945</v>
      </c>
      <c r="F11" s="25">
        <v>4623957</v>
      </c>
      <c r="I11" s="18" t="s">
        <v>26</v>
      </c>
      <c r="K11" s="70">
        <f t="shared" si="2"/>
        <v>0.29338115789038227</v>
      </c>
      <c r="L11" s="70">
        <f t="shared" si="3"/>
        <v>8.1794370106379966E-2</v>
      </c>
      <c r="M11" s="70">
        <f t="shared" si="4"/>
        <v>-0.10153719118661171</v>
      </c>
      <c r="N11" s="71">
        <f t="shared" si="5"/>
        <v>9.4701043692567016E-2</v>
      </c>
    </row>
    <row r="12" spans="1:14" x14ac:dyDescent="0.2">
      <c r="A12" s="18" t="s">
        <v>27</v>
      </c>
      <c r="B12" s="24">
        <v>3216803</v>
      </c>
      <c r="C12" s="7">
        <v>5022026</v>
      </c>
      <c r="D12" s="24">
        <v>1032212</v>
      </c>
      <c r="E12" s="7">
        <v>1134104</v>
      </c>
      <c r="F12" s="25">
        <v>921270</v>
      </c>
      <c r="I12" s="18" t="s">
        <v>27</v>
      </c>
      <c r="K12" s="70">
        <f t="shared" si="2"/>
        <v>0.56118543783999209</v>
      </c>
      <c r="L12" s="70">
        <f t="shared" si="3"/>
        <v>-0.79446303145383956</v>
      </c>
      <c r="M12" s="70">
        <f t="shared" si="4"/>
        <v>9.8712280035496577E-2</v>
      </c>
      <c r="N12" s="71">
        <f t="shared" si="5"/>
        <v>-0.18766709225961639</v>
      </c>
    </row>
    <row r="13" spans="1:14" x14ac:dyDescent="0.2">
      <c r="A13" s="28" t="s">
        <v>28</v>
      </c>
      <c r="B13" s="29">
        <f>SUM(B10:B12)</f>
        <v>53924729</v>
      </c>
      <c r="C13" s="29">
        <f t="shared" ref="C13:F13" si="6">SUM(C10:C12)</f>
        <v>61481197</v>
      </c>
      <c r="D13" s="29">
        <f t="shared" si="6"/>
        <v>70264025</v>
      </c>
      <c r="E13" s="29">
        <f t="shared" si="6"/>
        <v>68766003</v>
      </c>
      <c r="F13" s="30">
        <f t="shared" si="6"/>
        <v>28522135</v>
      </c>
      <c r="I13" s="28" t="s">
        <v>28</v>
      </c>
      <c r="K13" s="70">
        <f t="shared" si="2"/>
        <v>0.14012992072709349</v>
      </c>
      <c r="L13" s="70">
        <f t="shared" si="3"/>
        <v>0.14285388750645178</v>
      </c>
      <c r="M13" s="70">
        <f t="shared" si="4"/>
        <v>-2.1319900190744836E-2</v>
      </c>
      <c r="N13" s="71">
        <f t="shared" si="5"/>
        <v>-0.58522912841102603</v>
      </c>
    </row>
    <row r="14" spans="1:14" x14ac:dyDescent="0.2">
      <c r="A14" s="127" t="s">
        <v>29</v>
      </c>
      <c r="B14" s="128"/>
      <c r="C14" s="128"/>
      <c r="D14" s="128"/>
      <c r="E14" s="128"/>
      <c r="F14" s="129"/>
      <c r="H14" s="5"/>
      <c r="I14" s="127" t="s">
        <v>29</v>
      </c>
      <c r="J14" s="128"/>
      <c r="K14" s="128"/>
      <c r="L14" s="128"/>
      <c r="M14" s="128"/>
      <c r="N14" s="129"/>
    </row>
    <row r="15" spans="1:14" x14ac:dyDescent="0.2">
      <c r="A15" s="18" t="s">
        <v>30</v>
      </c>
      <c r="B15" s="6">
        <v>10659608</v>
      </c>
      <c r="C15" s="7">
        <v>12223494</v>
      </c>
      <c r="D15" s="7">
        <v>13860141</v>
      </c>
      <c r="E15" s="7">
        <v>13370290</v>
      </c>
      <c r="F15" s="25">
        <v>10161499</v>
      </c>
      <c r="I15" s="18" t="s">
        <v>30</v>
      </c>
      <c r="K15" s="70">
        <f t="shared" si="2"/>
        <v>0.14671139876813483</v>
      </c>
      <c r="L15" s="70">
        <f t="shared" si="3"/>
        <v>0.13389354958574037</v>
      </c>
      <c r="M15" s="70">
        <f t="shared" si="4"/>
        <v>-3.5342425448629998E-2</v>
      </c>
      <c r="N15" s="71">
        <f t="shared" si="5"/>
        <v>-0.2399941212943025</v>
      </c>
    </row>
    <row r="16" spans="1:14" x14ac:dyDescent="0.2">
      <c r="A16" s="18" t="s">
        <v>31</v>
      </c>
      <c r="B16" s="6">
        <v>11182809</v>
      </c>
      <c r="C16" s="7">
        <v>14991754</v>
      </c>
      <c r="D16" s="6">
        <v>20235343</v>
      </c>
      <c r="E16" s="7">
        <v>19585173</v>
      </c>
      <c r="F16" s="25">
        <v>7404583</v>
      </c>
      <c r="I16" s="18" t="s">
        <v>31</v>
      </c>
      <c r="K16" s="70">
        <f t="shared" si="2"/>
        <v>0.34060717660473322</v>
      </c>
      <c r="L16" s="70">
        <f t="shared" si="3"/>
        <v>0.34976487741194257</v>
      </c>
      <c r="M16" s="70">
        <f t="shared" si="4"/>
        <v>-3.2130416568673929E-2</v>
      </c>
      <c r="N16" s="71">
        <f t="shared" si="5"/>
        <v>-0.62192915017906658</v>
      </c>
    </row>
    <row r="17" spans="1:14" x14ac:dyDescent="0.2">
      <c r="A17" s="18" t="s">
        <v>32</v>
      </c>
      <c r="B17" s="6">
        <v>7563050</v>
      </c>
      <c r="C17" s="7">
        <v>8261747</v>
      </c>
      <c r="D17" s="6">
        <v>9289228</v>
      </c>
      <c r="E17" s="7">
        <v>8592595</v>
      </c>
      <c r="F17" s="25">
        <v>4901852</v>
      </c>
      <c r="I17" s="18" t="s">
        <v>32</v>
      </c>
      <c r="K17" s="70">
        <f t="shared" si="2"/>
        <v>9.2382967189163098E-2</v>
      </c>
      <c r="L17" s="70">
        <f t="shared" si="3"/>
        <v>0.12436606930713323</v>
      </c>
      <c r="M17" s="70">
        <f t="shared" si="4"/>
        <v>-7.4993637792074866E-2</v>
      </c>
      <c r="N17" s="71">
        <f t="shared" si="5"/>
        <v>-0.42952600465866247</v>
      </c>
    </row>
    <row r="18" spans="1:14" x14ac:dyDescent="0.2">
      <c r="A18" s="18" t="s">
        <v>33</v>
      </c>
      <c r="B18" s="6">
        <v>3924639</v>
      </c>
      <c r="C18" s="7">
        <v>4534483</v>
      </c>
      <c r="D18" s="6">
        <v>4931051</v>
      </c>
      <c r="E18" s="7">
        <v>4740503</v>
      </c>
      <c r="F18" s="25">
        <v>3791300</v>
      </c>
      <c r="I18" s="18" t="s">
        <v>33</v>
      </c>
      <c r="K18" s="70">
        <f t="shared" si="2"/>
        <v>0.15538855930443538</v>
      </c>
      <c r="L18" s="70">
        <f t="shared" si="3"/>
        <v>8.7456056181046446E-2</v>
      </c>
      <c r="M18" s="70">
        <f t="shared" si="4"/>
        <v>-3.8642471959831684E-2</v>
      </c>
      <c r="N18" s="71">
        <f t="shared" si="5"/>
        <v>-0.20023254916197711</v>
      </c>
    </row>
    <row r="19" spans="1:14" x14ac:dyDescent="0.2">
      <c r="A19" s="18" t="s">
        <v>34</v>
      </c>
      <c r="B19" s="6">
        <v>4241699</v>
      </c>
      <c r="C19" s="7">
        <v>4527846</v>
      </c>
      <c r="D19" s="6">
        <v>4952120</v>
      </c>
      <c r="E19" s="7">
        <v>4626767</v>
      </c>
      <c r="F19" s="25">
        <v>3946215</v>
      </c>
      <c r="I19" s="18" t="s">
        <v>34</v>
      </c>
      <c r="K19" s="70">
        <f t="shared" si="2"/>
        <v>6.7460468081304209E-2</v>
      </c>
      <c r="L19" s="70">
        <f t="shared" si="3"/>
        <v>9.3703275243901846E-2</v>
      </c>
      <c r="M19" s="70">
        <f t="shared" si="4"/>
        <v>-6.5699740717107019E-2</v>
      </c>
      <c r="N19" s="71">
        <f t="shared" si="5"/>
        <v>-0.14709018197804211</v>
      </c>
    </row>
    <row r="20" spans="1:14" x14ac:dyDescent="0.2">
      <c r="A20" s="18" t="s">
        <v>35</v>
      </c>
      <c r="B20" s="6">
        <v>1807255</v>
      </c>
      <c r="C20" s="7">
        <v>2011090</v>
      </c>
      <c r="D20" s="6">
        <v>2215375</v>
      </c>
      <c r="E20" s="7">
        <v>1989462</v>
      </c>
      <c r="F20" s="25">
        <v>820980</v>
      </c>
      <c r="I20" s="18" t="s">
        <v>35</v>
      </c>
      <c r="K20" s="70">
        <f t="shared" si="2"/>
        <v>0.1127870721065926</v>
      </c>
      <c r="L20" s="70">
        <f t="shared" si="3"/>
        <v>0.10157924309702698</v>
      </c>
      <c r="M20" s="70">
        <f t="shared" si="4"/>
        <v>-0.10197506065564521</v>
      </c>
      <c r="N20" s="71">
        <f t="shared" si="5"/>
        <v>-0.58733567165394462</v>
      </c>
    </row>
    <row r="21" spans="1:14" x14ac:dyDescent="0.2">
      <c r="A21" s="18" t="s">
        <v>36</v>
      </c>
      <c r="B21" s="6">
        <v>1297958</v>
      </c>
      <c r="C21" s="7">
        <v>1583338</v>
      </c>
      <c r="D21" s="6">
        <v>1870222</v>
      </c>
      <c r="E21" s="7">
        <v>1825430</v>
      </c>
      <c r="F21" s="25">
        <v>725811</v>
      </c>
      <c r="I21" s="18" t="s">
        <v>36</v>
      </c>
      <c r="K21" s="70">
        <f t="shared" si="2"/>
        <v>0.21986843950266496</v>
      </c>
      <c r="L21" s="70">
        <f t="shared" si="3"/>
        <v>0.18118936070504213</v>
      </c>
      <c r="M21" s="70">
        <f t="shared" si="4"/>
        <v>-2.3950097902815815E-2</v>
      </c>
      <c r="N21" s="71">
        <f t="shared" si="5"/>
        <v>-0.60238902614726397</v>
      </c>
    </row>
    <row r="22" spans="1:14" x14ac:dyDescent="0.2">
      <c r="A22" s="18" t="s">
        <v>37</v>
      </c>
      <c r="B22" s="6">
        <v>7134197</v>
      </c>
      <c r="C22" s="7">
        <v>7541800</v>
      </c>
      <c r="D22" s="7">
        <v>7757380</v>
      </c>
      <c r="E22" s="7">
        <v>230014</v>
      </c>
      <c r="F22" s="25">
        <v>1640978</v>
      </c>
      <c r="I22" s="18" t="s">
        <v>37</v>
      </c>
      <c r="K22" s="70">
        <f t="shared" si="2"/>
        <v>5.7133690028464308E-2</v>
      </c>
      <c r="L22" s="70">
        <f t="shared" si="3"/>
        <v>2.8584688005515925E-2</v>
      </c>
      <c r="M22" s="70">
        <f t="shared" si="4"/>
        <v>-0.97034900958828885</v>
      </c>
      <c r="N22" s="71">
        <f t="shared" si="5"/>
        <v>6.1342526976618812</v>
      </c>
    </row>
    <row r="23" spans="1:14" x14ac:dyDescent="0.2">
      <c r="A23" s="18" t="s">
        <v>38</v>
      </c>
      <c r="B23" s="6">
        <v>3036866</v>
      </c>
      <c r="C23" s="7">
        <v>4170680</v>
      </c>
      <c r="D23" s="6">
        <v>4800234</v>
      </c>
      <c r="E23" s="7">
        <v>11941721</v>
      </c>
      <c r="F23" s="25">
        <v>12767821</v>
      </c>
      <c r="I23" s="18" t="s">
        <v>38</v>
      </c>
      <c r="K23" s="70">
        <f t="shared" si="2"/>
        <v>0.37335002598073147</v>
      </c>
      <c r="L23" s="70">
        <f t="shared" si="3"/>
        <v>0.15094756730317357</v>
      </c>
      <c r="M23" s="70">
        <f t="shared" si="4"/>
        <v>1.4877372644750235</v>
      </c>
      <c r="N23" s="71">
        <f t="shared" si="5"/>
        <v>6.9177633609092029E-2</v>
      </c>
    </row>
    <row r="24" spans="1:14" x14ac:dyDescent="0.2">
      <c r="A24" s="18" t="s">
        <v>39</v>
      </c>
      <c r="B24" s="24" t="s">
        <v>24</v>
      </c>
      <c r="C24" s="24" t="s">
        <v>24</v>
      </c>
      <c r="D24" s="24" t="s">
        <v>24</v>
      </c>
      <c r="E24" s="24" t="s">
        <v>24</v>
      </c>
      <c r="F24" s="25">
        <v>13989653</v>
      </c>
      <c r="I24" s="18" t="s">
        <v>39</v>
      </c>
      <c r="K24" s="72" t="s">
        <v>24</v>
      </c>
      <c r="L24" s="72" t="s">
        <v>24</v>
      </c>
      <c r="M24" s="72" t="s">
        <v>24</v>
      </c>
      <c r="N24" s="73" t="s">
        <v>24</v>
      </c>
    </row>
    <row r="25" spans="1:14" x14ac:dyDescent="0.2">
      <c r="A25" s="18" t="s">
        <v>40</v>
      </c>
      <c r="B25" s="24" t="s">
        <v>24</v>
      </c>
      <c r="C25" s="24" t="s">
        <v>24</v>
      </c>
      <c r="D25" s="24" t="s">
        <v>24</v>
      </c>
      <c r="E25" s="24" t="s">
        <v>24</v>
      </c>
      <c r="F25" s="25">
        <v>3824213</v>
      </c>
      <c r="I25" s="18" t="s">
        <v>40</v>
      </c>
      <c r="K25" s="72" t="s">
        <v>24</v>
      </c>
      <c r="L25" s="72" t="s">
        <v>24</v>
      </c>
      <c r="M25" s="72" t="s">
        <v>24</v>
      </c>
      <c r="N25" s="73" t="s">
        <v>24</v>
      </c>
    </row>
    <row r="26" spans="1:14" x14ac:dyDescent="0.2">
      <c r="A26" s="18" t="s">
        <v>41</v>
      </c>
      <c r="B26" s="6">
        <f>-45796</f>
        <v>-45796</v>
      </c>
      <c r="C26" s="7">
        <v>-997971</v>
      </c>
      <c r="D26" s="7">
        <v>316131</v>
      </c>
      <c r="E26" s="7">
        <v>-143700</v>
      </c>
      <c r="F26" s="25">
        <v>50949</v>
      </c>
      <c r="I26" s="18" t="s">
        <v>41</v>
      </c>
      <c r="K26" s="70">
        <f t="shared" si="2"/>
        <v>20.791663027338632</v>
      </c>
      <c r="L26" s="70">
        <f t="shared" si="3"/>
        <v>-1.3167737339060954</v>
      </c>
      <c r="M26" s="70">
        <f t="shared" si="4"/>
        <v>-1.4545583950957039</v>
      </c>
      <c r="N26" s="71">
        <f t="shared" si="5"/>
        <v>-1.3545511482254697</v>
      </c>
    </row>
    <row r="27" spans="1:14" x14ac:dyDescent="0.2">
      <c r="A27" s="130" t="s">
        <v>42</v>
      </c>
      <c r="B27" s="6">
        <v>-446545</v>
      </c>
      <c r="C27" s="7">
        <v>-477139</v>
      </c>
      <c r="D27" s="7">
        <v>28234</v>
      </c>
      <c r="E27" s="7">
        <v>-766655</v>
      </c>
      <c r="F27" s="25">
        <v>-303650</v>
      </c>
      <c r="I27" s="130" t="s">
        <v>42</v>
      </c>
      <c r="K27" s="70">
        <f t="shared" si="2"/>
        <v>6.8512691889955096E-2</v>
      </c>
      <c r="L27" s="70">
        <f t="shared" si="3"/>
        <v>-1.0591735322411289</v>
      </c>
      <c r="M27" s="70">
        <f t="shared" si="4"/>
        <v>-28.153609123751504</v>
      </c>
      <c r="N27" s="71">
        <f t="shared" si="5"/>
        <v>-0.60392875543758273</v>
      </c>
    </row>
    <row r="28" spans="1:14" x14ac:dyDescent="0.2">
      <c r="A28" s="130"/>
      <c r="C28" s="6"/>
      <c r="D28" s="6"/>
      <c r="E28" s="6"/>
      <c r="F28" s="31"/>
      <c r="I28" s="130"/>
      <c r="K28" s="70"/>
      <c r="L28" s="70"/>
      <c r="M28" s="70"/>
      <c r="N28" s="71"/>
    </row>
    <row r="29" spans="1:14" x14ac:dyDescent="0.2">
      <c r="A29" s="28" t="s">
        <v>43</v>
      </c>
      <c r="B29" s="32">
        <f>SUM(B15:B27)</f>
        <v>50355740</v>
      </c>
      <c r="C29" s="32">
        <f t="shared" ref="C29:D29" si="7">SUM(C15:C27)</f>
        <v>58371122</v>
      </c>
      <c r="D29" s="32">
        <f t="shared" si="7"/>
        <v>70255459</v>
      </c>
      <c r="E29" s="32">
        <f>SUM(E15:E27)</f>
        <v>65991600</v>
      </c>
      <c r="F29" s="33">
        <f>SUM(F15:F27)</f>
        <v>63722204</v>
      </c>
      <c r="I29" s="28" t="s">
        <v>43</v>
      </c>
      <c r="K29" s="70">
        <f t="shared" si="2"/>
        <v>0.15917514070888442</v>
      </c>
      <c r="L29" s="70">
        <f t="shared" si="3"/>
        <v>0.20359959844527231</v>
      </c>
      <c r="M29" s="70">
        <f t="shared" si="4"/>
        <v>-6.0690785608560324E-2</v>
      </c>
      <c r="N29" s="71">
        <f t="shared" si="5"/>
        <v>-3.4389164681565533E-2</v>
      </c>
    </row>
    <row r="30" spans="1:14" x14ac:dyDescent="0.2">
      <c r="A30" s="34" t="s">
        <v>44</v>
      </c>
      <c r="B30" s="35">
        <f t="shared" ref="B30:E30" si="8">B13-B29</f>
        <v>3568989</v>
      </c>
      <c r="C30" s="35">
        <f t="shared" si="8"/>
        <v>3110075</v>
      </c>
      <c r="D30" s="35">
        <f t="shared" si="8"/>
        <v>8566</v>
      </c>
      <c r="E30" s="35">
        <f t="shared" si="8"/>
        <v>2774403</v>
      </c>
      <c r="F30" s="36">
        <f>F13-F29</f>
        <v>-35200069</v>
      </c>
      <c r="I30" s="34" t="s">
        <v>44</v>
      </c>
      <c r="K30" s="70">
        <f t="shared" si="2"/>
        <v>-0.12858375298999242</v>
      </c>
      <c r="L30" s="70">
        <f t="shared" si="3"/>
        <v>-0.99724572558539581</v>
      </c>
      <c r="M30" s="70">
        <f t="shared" si="4"/>
        <v>322.88547746906374</v>
      </c>
      <c r="N30" s="71">
        <f t="shared" si="5"/>
        <v>-13.687439063466988</v>
      </c>
    </row>
    <row r="31" spans="1:14" x14ac:dyDescent="0.2">
      <c r="A31" s="37" t="s">
        <v>45</v>
      </c>
      <c r="B31" s="131"/>
      <c r="C31" s="131"/>
      <c r="D31" s="131"/>
      <c r="E31" s="131"/>
      <c r="F31" s="132"/>
      <c r="I31" s="37" t="s">
        <v>45</v>
      </c>
      <c r="K31" s="70"/>
      <c r="L31" s="70"/>
      <c r="M31" s="70"/>
      <c r="N31" s="71"/>
    </row>
    <row r="32" spans="1:14" x14ac:dyDescent="0.2">
      <c r="A32" s="18" t="s">
        <v>46</v>
      </c>
      <c r="B32" s="6">
        <v>271326</v>
      </c>
      <c r="C32" s="7">
        <v>483985</v>
      </c>
      <c r="D32" s="7">
        <v>508733</v>
      </c>
      <c r="E32" s="7">
        <v>217190</v>
      </c>
      <c r="F32" s="25">
        <v>147660</v>
      </c>
      <c r="I32" s="18" t="s">
        <v>46</v>
      </c>
      <c r="K32" s="70">
        <f t="shared" si="2"/>
        <v>0.78377671140989069</v>
      </c>
      <c r="L32" s="70">
        <f t="shared" si="3"/>
        <v>5.1133816130665206E-2</v>
      </c>
      <c r="M32" s="70">
        <f t="shared" si="4"/>
        <v>-0.57307664334729613</v>
      </c>
      <c r="N32" s="71">
        <f t="shared" si="5"/>
        <v>-0.32013444449560291</v>
      </c>
    </row>
    <row r="33" spans="1:14" x14ac:dyDescent="0.2">
      <c r="A33" s="18" t="s">
        <v>47</v>
      </c>
      <c r="B33" s="6">
        <v>-2356850</v>
      </c>
      <c r="C33" s="7">
        <v>-3643898</v>
      </c>
      <c r="D33" s="7">
        <v>-3647995</v>
      </c>
      <c r="E33" s="7">
        <v>-6314320</v>
      </c>
      <c r="F33" s="25">
        <v>-7930678</v>
      </c>
      <c r="G33" s="5"/>
      <c r="H33" s="5"/>
      <c r="I33" s="18" t="s">
        <v>47</v>
      </c>
      <c r="K33" s="70">
        <f t="shared" si="2"/>
        <v>0.54608821095954341</v>
      </c>
      <c r="L33" s="70">
        <f t="shared" si="3"/>
        <v>1.1243454125225239E-3</v>
      </c>
      <c r="M33" s="70">
        <f t="shared" si="4"/>
        <v>0.73090149520490022</v>
      </c>
      <c r="N33" s="71">
        <f t="shared" si="5"/>
        <v>0.25598290869008855</v>
      </c>
    </row>
    <row r="34" spans="1:14" x14ac:dyDescent="0.2">
      <c r="A34" s="38" t="s">
        <v>48</v>
      </c>
      <c r="B34" s="32">
        <f>SUM(B32:B33)</f>
        <v>-2085524</v>
      </c>
      <c r="C34" s="32">
        <f t="shared" ref="C34" si="9">SUM(C32:C33)</f>
        <v>-3159913</v>
      </c>
      <c r="D34" s="32">
        <f t="shared" ref="D34" si="10">SUM(D32:D33)</f>
        <v>-3139262</v>
      </c>
      <c r="E34" s="32">
        <f t="shared" ref="E34" si="11">SUM(E32:E33)</f>
        <v>-6097130</v>
      </c>
      <c r="F34" s="33">
        <f>SUM(F32:F33)</f>
        <v>-7783018</v>
      </c>
      <c r="H34" s="6"/>
      <c r="I34" s="38" t="s">
        <v>48</v>
      </c>
      <c r="K34" s="70">
        <f t="shared" si="2"/>
        <v>0.51516501368481016</v>
      </c>
      <c r="L34" s="70">
        <f t="shared" si="3"/>
        <v>-6.535306510021004E-3</v>
      </c>
      <c r="M34" s="70">
        <f t="shared" si="4"/>
        <v>0.94221762949381094</v>
      </c>
      <c r="N34" s="71">
        <f t="shared" si="5"/>
        <v>0.27650517538579628</v>
      </c>
    </row>
    <row r="35" spans="1:14" x14ac:dyDescent="0.2">
      <c r="A35" s="39" t="s">
        <v>49</v>
      </c>
      <c r="B35" s="6">
        <f>SUM(B30,B34)</f>
        <v>1483465</v>
      </c>
      <c r="C35" s="6">
        <f t="shared" ref="C35:E35" si="12">SUM(C30,C34)</f>
        <v>-49838</v>
      </c>
      <c r="D35" s="6">
        <f t="shared" si="12"/>
        <v>-3130696</v>
      </c>
      <c r="E35" s="6">
        <f t="shared" si="12"/>
        <v>-3322727</v>
      </c>
      <c r="F35" s="25">
        <f>SUM(F34,F30)</f>
        <v>-42983087</v>
      </c>
      <c r="I35" s="39" t="s">
        <v>49</v>
      </c>
      <c r="K35" s="70">
        <f t="shared" si="2"/>
        <v>-1.0335956695978672</v>
      </c>
      <c r="L35" s="70">
        <f t="shared" si="3"/>
        <v>61.81744853324772</v>
      </c>
      <c r="M35" s="70">
        <f t="shared" si="4"/>
        <v>6.1338117785949192E-2</v>
      </c>
      <c r="N35" s="71">
        <f t="shared" si="5"/>
        <v>11.936087436614564</v>
      </c>
    </row>
    <row r="36" spans="1:14" x14ac:dyDescent="0.2">
      <c r="A36" s="18" t="s">
        <v>50</v>
      </c>
      <c r="B36" s="6">
        <v>371684</v>
      </c>
      <c r="C36" s="7">
        <v>-67993</v>
      </c>
      <c r="D36" s="7">
        <v>-1252149</v>
      </c>
      <c r="E36" s="6">
        <v>-953797</v>
      </c>
      <c r="F36" s="25">
        <v>-454000</v>
      </c>
      <c r="I36" s="18" t="s">
        <v>50</v>
      </c>
      <c r="K36" s="70">
        <f t="shared" si="2"/>
        <v>-1.1829322758041778</v>
      </c>
      <c r="L36" s="70">
        <f t="shared" si="3"/>
        <v>17.415851631785625</v>
      </c>
      <c r="M36" s="70">
        <f t="shared" si="4"/>
        <v>-0.23827196284148291</v>
      </c>
      <c r="N36" s="71">
        <f t="shared" si="5"/>
        <v>-0.52400772910797577</v>
      </c>
    </row>
    <row r="37" spans="1:14" x14ac:dyDescent="0.2">
      <c r="A37" s="40" t="s">
        <v>51</v>
      </c>
      <c r="B37" s="41">
        <f>B35-B36</f>
        <v>1111781</v>
      </c>
      <c r="C37" s="41">
        <f>C35-C36</f>
        <v>18155</v>
      </c>
      <c r="D37" s="41">
        <f t="shared" ref="D37" si="13">D35-D36</f>
        <v>-1878547</v>
      </c>
      <c r="E37" s="41">
        <f t="shared" ref="E37" si="14">E35-E36</f>
        <v>-2368930</v>
      </c>
      <c r="F37" s="42">
        <f>F35-F36</f>
        <v>-42529087</v>
      </c>
      <c r="I37" s="40" t="s">
        <v>51</v>
      </c>
      <c r="J37" s="74"/>
      <c r="K37" s="75">
        <f t="shared" si="2"/>
        <v>-0.98367034514890972</v>
      </c>
      <c r="L37" s="75">
        <f t="shared" si="3"/>
        <v>-104.47270724318369</v>
      </c>
      <c r="M37" s="75">
        <f t="shared" si="4"/>
        <v>0.26104377478977103</v>
      </c>
      <c r="N37" s="76">
        <f t="shared" si="5"/>
        <v>16.952867750418964</v>
      </c>
    </row>
    <row r="40" spans="1:14" x14ac:dyDescent="0.2">
      <c r="F40" s="5"/>
    </row>
    <row r="41" spans="1:14" x14ac:dyDescent="0.2">
      <c r="B41" s="6"/>
      <c r="C41" s="7"/>
      <c r="D41" s="7"/>
      <c r="E41" s="7"/>
      <c r="I41" t="s">
        <v>52</v>
      </c>
    </row>
    <row r="42" spans="1:14" x14ac:dyDescent="0.2">
      <c r="I42" s="58"/>
      <c r="J42" s="58">
        <v>2016</v>
      </c>
      <c r="K42" s="58">
        <v>2017</v>
      </c>
      <c r="L42" s="58">
        <v>2018</v>
      </c>
      <c r="M42" s="58">
        <v>2019</v>
      </c>
      <c r="N42" s="58">
        <v>2020</v>
      </c>
    </row>
    <row r="43" spans="1:14" x14ac:dyDescent="0.2">
      <c r="I43" s="125" t="s">
        <v>21</v>
      </c>
      <c r="J43" s="125"/>
      <c r="K43" s="125"/>
      <c r="L43" s="125"/>
      <c r="M43" s="125"/>
      <c r="N43" s="125"/>
    </row>
    <row r="44" spans="1:14" x14ac:dyDescent="0.2">
      <c r="I44" s="43" t="s">
        <v>22</v>
      </c>
      <c r="J44" s="43">
        <f>B8/B$13</f>
        <v>0.8780362530890049</v>
      </c>
      <c r="K44" s="43">
        <f t="shared" ref="K44:N44" si="15">C8/C$13</f>
        <v>0.84763043894542256</v>
      </c>
      <c r="L44" s="43">
        <f t="shared" si="15"/>
        <v>0.91840043322311804</v>
      </c>
      <c r="M44" s="43">
        <f t="shared" si="15"/>
        <v>0.9220828786573505</v>
      </c>
      <c r="N44" s="43">
        <f t="shared" si="15"/>
        <v>0.80558162984643333</v>
      </c>
    </row>
    <row r="45" spans="1:14" x14ac:dyDescent="0.2">
      <c r="I45" s="43" t="s">
        <v>23</v>
      </c>
      <c r="J45" s="59" t="s">
        <v>24</v>
      </c>
      <c r="K45" s="59" t="s">
        <v>24</v>
      </c>
      <c r="L45" s="59" t="s">
        <v>24</v>
      </c>
      <c r="M45" s="59" t="s">
        <v>24</v>
      </c>
      <c r="N45" s="59" t="s">
        <v>24</v>
      </c>
    </row>
    <row r="46" spans="1:14" x14ac:dyDescent="0.2">
      <c r="E46" t="s">
        <v>53</v>
      </c>
      <c r="I46" s="60" t="s">
        <v>25</v>
      </c>
      <c r="J46" s="43">
        <f t="shared" ref="J46:J51" si="16">B10/B$13</f>
        <v>0.8780362530890049</v>
      </c>
      <c r="K46" s="43">
        <f t="shared" ref="K46:K49" si="17">C10/C$13</f>
        <v>0.84763043894542256</v>
      </c>
      <c r="L46" s="43">
        <f t="shared" ref="L46:L49" si="18">D10/D$13</f>
        <v>0.91840043322311804</v>
      </c>
      <c r="M46" s="43">
        <f t="shared" ref="M46:M49" si="19">E10/E$13</f>
        <v>0.9220828786573505</v>
      </c>
      <c r="N46" s="43">
        <f t="shared" ref="N46:N49" si="20">F10/F$13</f>
        <v>0.80558162984643333</v>
      </c>
    </row>
    <row r="47" spans="1:14" x14ac:dyDescent="0.2">
      <c r="I47" s="43" t="s">
        <v>26</v>
      </c>
      <c r="J47" s="43">
        <f t="shared" si="16"/>
        <v>6.2310169421528297E-2</v>
      </c>
      <c r="K47" s="43">
        <f t="shared" si="17"/>
        <v>7.0685627672473592E-2</v>
      </c>
      <c r="L47" s="43">
        <f t="shared" si="18"/>
        <v>6.6909090391562398E-2</v>
      </c>
      <c r="M47" s="43">
        <f t="shared" si="19"/>
        <v>6.1424902069704412E-2</v>
      </c>
      <c r="N47" s="43">
        <f t="shared" si="20"/>
        <v>0.16211819346623246</v>
      </c>
    </row>
    <row r="48" spans="1:14" x14ac:dyDescent="0.2">
      <c r="I48" s="43" t="s">
        <v>27</v>
      </c>
      <c r="J48" s="43">
        <f t="shared" si="16"/>
        <v>5.9653577489466848E-2</v>
      </c>
      <c r="K48" s="43">
        <f t="shared" si="17"/>
        <v>8.1683933382103793E-2</v>
      </c>
      <c r="L48" s="43">
        <f t="shared" si="18"/>
        <v>1.4690476385319515E-2</v>
      </c>
      <c r="M48" s="43">
        <f t="shared" si="19"/>
        <v>1.6492219272945093E-2</v>
      </c>
      <c r="N48" s="43">
        <f t="shared" si="20"/>
        <v>3.2300176687334238E-2</v>
      </c>
    </row>
    <row r="49" spans="9:14" x14ac:dyDescent="0.2">
      <c r="I49" s="61" t="s">
        <v>28</v>
      </c>
      <c r="J49" s="43">
        <f t="shared" si="16"/>
        <v>1</v>
      </c>
      <c r="K49" s="43">
        <f t="shared" si="17"/>
        <v>1</v>
      </c>
      <c r="L49" s="43">
        <f t="shared" si="18"/>
        <v>1</v>
      </c>
      <c r="M49" s="43">
        <f t="shared" si="19"/>
        <v>1</v>
      </c>
      <c r="N49" s="43">
        <f t="shared" si="20"/>
        <v>1</v>
      </c>
    </row>
    <row r="50" spans="9:14" x14ac:dyDescent="0.2">
      <c r="I50" s="125" t="s">
        <v>29</v>
      </c>
      <c r="J50" s="125"/>
      <c r="K50" s="125"/>
      <c r="L50" s="125"/>
      <c r="M50" s="125"/>
      <c r="N50" s="125"/>
    </row>
    <row r="51" spans="9:14" x14ac:dyDescent="0.2">
      <c r="I51" s="43" t="s">
        <v>30</v>
      </c>
      <c r="J51" s="43">
        <f t="shared" si="16"/>
        <v>0.1976756897563639</v>
      </c>
      <c r="K51" s="43">
        <f t="shared" ref="K51" si="21">C15/C$13</f>
        <v>0.1988167862118885</v>
      </c>
      <c r="L51" s="43">
        <f t="shared" ref="L51" si="22">D15/D$13</f>
        <v>0.19725799938161812</v>
      </c>
      <c r="M51" s="43">
        <f t="shared" ref="M51" si="23">E15/E$13</f>
        <v>0.19443168741391004</v>
      </c>
      <c r="N51" s="43">
        <f t="shared" ref="N51" si="24">F15/F$13</f>
        <v>0.35626712376194841</v>
      </c>
    </row>
    <row r="52" spans="9:14" x14ac:dyDescent="0.2">
      <c r="I52" s="43" t="s">
        <v>31</v>
      </c>
      <c r="J52" s="43">
        <f t="shared" ref="J52:J73" si="25">B16/B$13</f>
        <v>0.20737812145518617</v>
      </c>
      <c r="K52" s="43">
        <f t="shared" ref="K52:K73" si="26">C16/C$13</f>
        <v>0.24384291021529722</v>
      </c>
      <c r="L52" s="43">
        <f t="shared" ref="L52:L73" si="27">D16/D$13</f>
        <v>0.28799009165785761</v>
      </c>
      <c r="M52" s="43">
        <f t="shared" ref="M52:M73" si="28">E16/E$13</f>
        <v>0.28480894839852766</v>
      </c>
      <c r="N52" s="43">
        <f t="shared" ref="N52:N73" si="29">F16/F$13</f>
        <v>0.25960830071100921</v>
      </c>
    </row>
    <row r="53" spans="9:14" x14ac:dyDescent="0.2">
      <c r="I53" s="43" t="s">
        <v>32</v>
      </c>
      <c r="J53" s="43">
        <f t="shared" si="25"/>
        <v>0.14025197975496548</v>
      </c>
      <c r="K53" s="43">
        <f t="shared" si="26"/>
        <v>0.1343784344341897</v>
      </c>
      <c r="L53" s="43">
        <f t="shared" si="27"/>
        <v>0.13220460968468573</v>
      </c>
      <c r="M53" s="43">
        <f t="shared" si="28"/>
        <v>0.12495411431721573</v>
      </c>
      <c r="N53" s="43">
        <f t="shared" si="29"/>
        <v>0.17186132805275622</v>
      </c>
    </row>
    <row r="54" spans="9:14" x14ac:dyDescent="0.2">
      <c r="I54" s="43" t="s">
        <v>33</v>
      </c>
      <c r="J54" s="43">
        <f t="shared" si="25"/>
        <v>7.2779948509337902E-2</v>
      </c>
      <c r="K54" s="43">
        <f t="shared" si="26"/>
        <v>7.3753980424291349E-2</v>
      </c>
      <c r="L54" s="43">
        <f t="shared" si="27"/>
        <v>7.0178885994646625E-2</v>
      </c>
      <c r="M54" s="43">
        <f t="shared" si="28"/>
        <v>6.8936724445072081E-2</v>
      </c>
      <c r="N54" s="43">
        <f t="shared" si="29"/>
        <v>0.13292483188933787</v>
      </c>
    </row>
    <row r="55" spans="9:14" x14ac:dyDescent="0.2">
      <c r="I55" s="43" t="s">
        <v>34</v>
      </c>
      <c r="J55" s="43">
        <f t="shared" si="25"/>
        <v>7.8659625716431508E-2</v>
      </c>
      <c r="K55" s="43">
        <f t="shared" si="26"/>
        <v>7.3646028719967824E-2</v>
      </c>
      <c r="L55" s="43">
        <f t="shared" si="27"/>
        <v>7.047874072115852E-2</v>
      </c>
      <c r="M55" s="43">
        <f t="shared" si="28"/>
        <v>6.728276761992405E-2</v>
      </c>
      <c r="N55" s="43">
        <f t="shared" si="29"/>
        <v>0.13835622754046989</v>
      </c>
    </row>
    <row r="56" spans="9:14" x14ac:dyDescent="0.2">
      <c r="I56" s="43" t="s">
        <v>35</v>
      </c>
      <c r="J56" s="43">
        <f t="shared" si="25"/>
        <v>3.3514401157213047E-2</v>
      </c>
      <c r="K56" s="43">
        <f t="shared" si="26"/>
        <v>3.2710651355730758E-2</v>
      </c>
      <c r="L56" s="43">
        <f t="shared" si="27"/>
        <v>3.1529292550490806E-2</v>
      </c>
      <c r="M56" s="43">
        <f t="shared" si="28"/>
        <v>2.8930894820220973E-2</v>
      </c>
      <c r="N56" s="43">
        <f t="shared" si="29"/>
        <v>2.878396024701517E-2</v>
      </c>
    </row>
    <row r="57" spans="9:14" x14ac:dyDescent="0.2">
      <c r="I57" s="43" t="s">
        <v>36</v>
      </c>
      <c r="J57" s="43">
        <f t="shared" si="25"/>
        <v>2.4069810346195711E-2</v>
      </c>
      <c r="K57" s="43">
        <f t="shared" si="26"/>
        <v>2.5753207114689064E-2</v>
      </c>
      <c r="L57" s="43">
        <f t="shared" si="27"/>
        <v>2.661706328380704E-2</v>
      </c>
      <c r="M57" s="43">
        <f t="shared" si="28"/>
        <v>2.6545530063743852E-2</v>
      </c>
      <c r="N57" s="43">
        <f t="shared" si="29"/>
        <v>2.5447288570788967E-2</v>
      </c>
    </row>
    <row r="58" spans="9:14" x14ac:dyDescent="0.2">
      <c r="I58" s="43" t="s">
        <v>37</v>
      </c>
      <c r="J58" s="43">
        <f t="shared" si="25"/>
        <v>0.13229917205518085</v>
      </c>
      <c r="K58" s="43">
        <f t="shared" si="26"/>
        <v>0.12266839892528443</v>
      </c>
      <c r="L58" s="43">
        <f t="shared" si="27"/>
        <v>0.11040329670837958</v>
      </c>
      <c r="M58" s="43">
        <f t="shared" si="28"/>
        <v>3.344879591154949E-3</v>
      </c>
      <c r="N58" s="43">
        <f t="shared" si="29"/>
        <v>5.7533491093846936E-2</v>
      </c>
    </row>
    <row r="59" spans="9:14" x14ac:dyDescent="0.2">
      <c r="I59" s="43" t="s">
        <v>38</v>
      </c>
      <c r="J59" s="43">
        <f t="shared" si="25"/>
        <v>5.6316759607637525E-2</v>
      </c>
      <c r="K59" s="43">
        <f t="shared" si="26"/>
        <v>6.7836675333435681E-2</v>
      </c>
      <c r="L59" s="43">
        <f t="shared" si="27"/>
        <v>6.8317093989420624E-2</v>
      </c>
      <c r="M59" s="43">
        <f t="shared" si="28"/>
        <v>0.17365733762365104</v>
      </c>
      <c r="N59" s="43">
        <f t="shared" si="29"/>
        <v>0.44764604753466036</v>
      </c>
    </row>
    <row r="60" spans="9:14" x14ac:dyDescent="0.2">
      <c r="I60" s="43" t="s">
        <v>39</v>
      </c>
      <c r="J60" s="59" t="s">
        <v>24</v>
      </c>
      <c r="K60" s="59" t="s">
        <v>24</v>
      </c>
      <c r="L60" s="59" t="s">
        <v>24</v>
      </c>
      <c r="M60" s="59" t="s">
        <v>24</v>
      </c>
      <c r="N60" s="43">
        <f t="shared" si="29"/>
        <v>0.49048407491234441</v>
      </c>
    </row>
    <row r="61" spans="9:14" x14ac:dyDescent="0.2">
      <c r="I61" s="43" t="s">
        <v>40</v>
      </c>
      <c r="J61" s="59" t="s">
        <v>24</v>
      </c>
      <c r="K61" s="59" t="s">
        <v>24</v>
      </c>
      <c r="L61" s="59" t="s">
        <v>24</v>
      </c>
      <c r="M61" s="59" t="s">
        <v>24</v>
      </c>
      <c r="N61" s="43">
        <f t="shared" si="29"/>
        <v>0.1340787777633056</v>
      </c>
    </row>
    <row r="62" spans="9:14" x14ac:dyDescent="0.2">
      <c r="I62" s="43" t="s">
        <v>41</v>
      </c>
      <c r="J62" s="43">
        <f t="shared" si="25"/>
        <v>-8.4925786089717762E-4</v>
      </c>
      <c r="K62" s="43">
        <f t="shared" si="26"/>
        <v>-1.6232133541576946E-2</v>
      </c>
      <c r="L62" s="43">
        <f t="shared" si="27"/>
        <v>4.4991871729523035E-3</v>
      </c>
      <c r="M62" s="43">
        <f t="shared" si="28"/>
        <v>-2.0896953978843296E-3</v>
      </c>
      <c r="N62" s="43">
        <f t="shared" si="29"/>
        <v>1.7862968533035833E-3</v>
      </c>
    </row>
    <row r="63" spans="9:14" x14ac:dyDescent="0.2">
      <c r="I63" s="126" t="s">
        <v>42</v>
      </c>
      <c r="J63" s="43">
        <f t="shared" si="25"/>
        <v>-8.2808946522475793E-3</v>
      </c>
      <c r="K63" s="43">
        <f t="shared" si="26"/>
        <v>-7.7607304880547463E-3</v>
      </c>
      <c r="L63" s="43">
        <f t="shared" si="27"/>
        <v>4.0182725085845852E-4</v>
      </c>
      <c r="M63" s="43">
        <f t="shared" si="28"/>
        <v>-1.1148750349791306E-2</v>
      </c>
      <c r="N63" s="43">
        <f t="shared" si="29"/>
        <v>-1.0646117480335886E-2</v>
      </c>
    </row>
    <row r="64" spans="9:14" x14ac:dyDescent="0.2">
      <c r="I64" s="126"/>
      <c r="J64" s="43"/>
      <c r="K64" s="43"/>
      <c r="L64" s="43"/>
      <c r="M64" s="43"/>
      <c r="N64" s="43"/>
    </row>
    <row r="65" spans="9:14" x14ac:dyDescent="0.2">
      <c r="I65" s="61" t="s">
        <v>43</v>
      </c>
      <c r="J65" s="43">
        <f t="shared" si="25"/>
        <v>0.93381535584536735</v>
      </c>
      <c r="K65" s="43">
        <f t="shared" si="26"/>
        <v>0.94941420870514281</v>
      </c>
      <c r="L65" s="43">
        <f t="shared" si="27"/>
        <v>0.99987808839587544</v>
      </c>
      <c r="M65" s="43">
        <f t="shared" si="28"/>
        <v>0.95965443854574473</v>
      </c>
      <c r="N65" s="43">
        <f t="shared" si="29"/>
        <v>2.2341316314504507</v>
      </c>
    </row>
    <row r="66" spans="9:14" x14ac:dyDescent="0.2">
      <c r="I66" s="62" t="s">
        <v>44</v>
      </c>
      <c r="J66" s="43">
        <f t="shared" si="25"/>
        <v>6.6184644154632655E-2</v>
      </c>
      <c r="K66" s="43">
        <f t="shared" si="26"/>
        <v>5.0585791294857192E-2</v>
      </c>
      <c r="L66" s="43">
        <f t="shared" si="27"/>
        <v>1.219116041245858E-4</v>
      </c>
      <c r="M66" s="43">
        <f t="shared" si="28"/>
        <v>4.034556145425524E-2</v>
      </c>
      <c r="N66" s="43">
        <f t="shared" si="29"/>
        <v>-1.2341316314504507</v>
      </c>
    </row>
    <row r="67" spans="9:14" x14ac:dyDescent="0.2">
      <c r="I67" s="63" t="s">
        <v>45</v>
      </c>
      <c r="J67" s="43"/>
      <c r="K67" s="43"/>
      <c r="L67" s="43"/>
      <c r="M67" s="43"/>
      <c r="N67" s="43"/>
    </row>
    <row r="68" spans="9:14" x14ac:dyDescent="0.2">
      <c r="I68" s="43" t="s">
        <v>46</v>
      </c>
      <c r="J68" s="43">
        <f t="shared" si="25"/>
        <v>5.0315690969907328E-3</v>
      </c>
      <c r="K68" s="43">
        <f t="shared" si="26"/>
        <v>7.8720816056980798E-3</v>
      </c>
      <c r="L68" s="43">
        <f t="shared" si="27"/>
        <v>7.2403054052198124E-3</v>
      </c>
      <c r="M68" s="43">
        <f t="shared" si="28"/>
        <v>3.1583920909290016E-3</v>
      </c>
      <c r="N68" s="43">
        <f t="shared" si="29"/>
        <v>5.1770318035448612E-3</v>
      </c>
    </row>
    <row r="69" spans="9:14" x14ac:dyDescent="0.2">
      <c r="I69" s="43" t="s">
        <v>47</v>
      </c>
      <c r="J69" s="43">
        <f t="shared" si="25"/>
        <v>-4.3706292895788125E-2</v>
      </c>
      <c r="K69" s="43">
        <f t="shared" si="26"/>
        <v>-5.9268494723679503E-2</v>
      </c>
      <c r="L69" s="43">
        <f t="shared" si="27"/>
        <v>-5.1918389246844311E-2</v>
      </c>
      <c r="M69" s="43">
        <f t="shared" si="28"/>
        <v>-9.182328075691705E-2</v>
      </c>
      <c r="N69" s="43">
        <f t="shared" si="29"/>
        <v>-0.27805344866364318</v>
      </c>
    </row>
    <row r="70" spans="9:14" x14ac:dyDescent="0.2">
      <c r="I70" s="64" t="s">
        <v>48</v>
      </c>
      <c r="J70" s="43">
        <f t="shared" si="25"/>
        <v>-3.8674723798797397E-2</v>
      </c>
      <c r="K70" s="43">
        <f t="shared" si="26"/>
        <v>-5.1396413117981418E-2</v>
      </c>
      <c r="L70" s="43">
        <f t="shared" si="27"/>
        <v>-4.46780838416245E-2</v>
      </c>
      <c r="M70" s="43">
        <f t="shared" si="28"/>
        <v>-8.866488866598804E-2</v>
      </c>
      <c r="N70" s="43">
        <f t="shared" si="29"/>
        <v>-0.27287641686009828</v>
      </c>
    </row>
    <row r="71" spans="9:14" x14ac:dyDescent="0.2">
      <c r="I71" s="65" t="s">
        <v>49</v>
      </c>
      <c r="J71" s="43">
        <f t="shared" si="25"/>
        <v>2.7509920355835261E-2</v>
      </c>
      <c r="K71" s="43">
        <f t="shared" si="26"/>
        <v>-8.1062182312423097E-4</v>
      </c>
      <c r="L71" s="43">
        <f t="shared" si="27"/>
        <v>-4.4556172237499914E-2</v>
      </c>
      <c r="M71" s="43">
        <f t="shared" si="28"/>
        <v>-4.8319327211732807E-2</v>
      </c>
      <c r="N71" s="43">
        <f t="shared" si="29"/>
        <v>-1.507008048310549</v>
      </c>
    </row>
    <row r="72" spans="9:14" x14ac:dyDescent="0.2">
      <c r="I72" s="43" t="s">
        <v>50</v>
      </c>
      <c r="J72" s="43">
        <f t="shared" si="25"/>
        <v>6.8926447456045632E-3</v>
      </c>
      <c r="K72" s="43">
        <f t="shared" si="26"/>
        <v>-1.1059153581541362E-3</v>
      </c>
      <c r="L72" s="43">
        <f t="shared" si="27"/>
        <v>-1.7820627269787063E-2</v>
      </c>
      <c r="M72" s="43">
        <f t="shared" si="28"/>
        <v>-1.3870182334139735E-2</v>
      </c>
      <c r="N72" s="43">
        <f t="shared" si="29"/>
        <v>-1.5917461999250756E-2</v>
      </c>
    </row>
    <row r="73" spans="9:14" x14ac:dyDescent="0.2">
      <c r="I73" s="66" t="s">
        <v>51</v>
      </c>
      <c r="J73" s="43">
        <f t="shared" si="25"/>
        <v>2.0617275610230697E-2</v>
      </c>
      <c r="K73" s="43">
        <f t="shared" si="26"/>
        <v>2.9529353502990517E-4</v>
      </c>
      <c r="L73" s="43">
        <f t="shared" si="27"/>
        <v>-2.6735544967712851E-2</v>
      </c>
      <c r="M73" s="43">
        <f t="shared" si="28"/>
        <v>-3.4449144877593076E-2</v>
      </c>
      <c r="N73" s="43">
        <f t="shared" si="29"/>
        <v>-1.4910905863112982</v>
      </c>
    </row>
  </sheetData>
  <mergeCells count="14">
    <mergeCell ref="B31:F31"/>
    <mergeCell ref="A14:F14"/>
    <mergeCell ref="A27:A28"/>
    <mergeCell ref="A1:D1"/>
    <mergeCell ref="A2:C2"/>
    <mergeCell ref="A3:D3"/>
    <mergeCell ref="A4:B4"/>
    <mergeCell ref="A7:F7"/>
    <mergeCell ref="I43:N43"/>
    <mergeCell ref="I50:N50"/>
    <mergeCell ref="I63:I64"/>
    <mergeCell ref="I7:N7"/>
    <mergeCell ref="I14:N14"/>
    <mergeCell ref="I27:I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AA76-823E-4B11-BD04-E928CA53C7CD}">
  <dimension ref="A1:N114"/>
  <sheetViews>
    <sheetView topLeftCell="A27" zoomScaleNormal="100" workbookViewId="0">
      <selection activeCell="B63" sqref="B63"/>
    </sheetView>
  </sheetViews>
  <sheetFormatPr baseColWidth="10" defaultColWidth="11.5" defaultRowHeight="15" x14ac:dyDescent="0.2"/>
  <cols>
    <col min="1" max="1" width="50.1640625" customWidth="1"/>
    <col min="2" max="3" width="15.5" customWidth="1"/>
    <col min="4" max="4" width="16.5" customWidth="1"/>
    <col min="5" max="5" width="15.83203125" customWidth="1"/>
    <col min="6" max="6" width="18" customWidth="1"/>
    <col min="7" max="8" width="15.33203125" customWidth="1"/>
    <col min="9" max="9" width="22.5" customWidth="1"/>
    <col min="10" max="10" width="16.33203125" customWidth="1"/>
    <col min="11" max="11" width="13.33203125" customWidth="1"/>
    <col min="12" max="12" width="13.83203125" customWidth="1"/>
    <col min="13" max="13" width="14.83203125" customWidth="1"/>
    <col min="14" max="14" width="13.5" customWidth="1"/>
  </cols>
  <sheetData>
    <row r="1" spans="1:14" x14ac:dyDescent="0.2">
      <c r="A1" s="133" t="s">
        <v>16</v>
      </c>
      <c r="B1" s="134"/>
      <c r="C1" s="134"/>
      <c r="D1" s="134"/>
      <c r="E1" s="14"/>
      <c r="F1" s="15"/>
    </row>
    <row r="2" spans="1:14" x14ac:dyDescent="0.2">
      <c r="A2" s="135" t="s">
        <v>54</v>
      </c>
      <c r="B2" s="136"/>
      <c r="C2" s="136"/>
      <c r="F2" s="17"/>
    </row>
    <row r="3" spans="1:14" x14ac:dyDescent="0.2">
      <c r="A3" s="135" t="s">
        <v>18</v>
      </c>
      <c r="B3" s="136"/>
      <c r="C3" s="136"/>
      <c r="D3" s="136"/>
      <c r="F3" s="17"/>
    </row>
    <row r="4" spans="1:14" x14ac:dyDescent="0.2">
      <c r="A4" s="135" t="s">
        <v>19</v>
      </c>
      <c r="B4" s="136"/>
      <c r="F4" s="17"/>
    </row>
    <row r="5" spans="1:14" x14ac:dyDescent="0.2">
      <c r="A5" s="18"/>
      <c r="F5" s="17"/>
      <c r="H5" s="2" t="s">
        <v>20</v>
      </c>
    </row>
    <row r="6" spans="1:14" x14ac:dyDescent="0.2">
      <c r="A6" s="49"/>
      <c r="B6" s="45">
        <v>2016</v>
      </c>
      <c r="C6" s="45">
        <v>2017</v>
      </c>
      <c r="D6" s="45">
        <v>2018</v>
      </c>
      <c r="E6" s="45">
        <v>2019</v>
      </c>
      <c r="F6" s="50">
        <v>2020</v>
      </c>
      <c r="I6" s="67"/>
      <c r="J6" s="77"/>
      <c r="K6" s="77">
        <v>2017</v>
      </c>
      <c r="L6" s="77">
        <v>2018</v>
      </c>
      <c r="M6" s="77">
        <v>2019</v>
      </c>
      <c r="N6" s="78">
        <v>2020</v>
      </c>
    </row>
    <row r="7" spans="1:14" x14ac:dyDescent="0.2">
      <c r="A7" s="127" t="s">
        <v>55</v>
      </c>
      <c r="B7" s="136"/>
      <c r="C7" s="136"/>
      <c r="D7" s="136"/>
      <c r="E7" s="136"/>
      <c r="F7" s="138"/>
      <c r="I7" s="127" t="s">
        <v>55</v>
      </c>
      <c r="J7" s="136"/>
      <c r="K7" s="136"/>
      <c r="L7" s="136"/>
      <c r="M7" s="136"/>
      <c r="N7" s="138"/>
    </row>
    <row r="8" spans="1:14" x14ac:dyDescent="0.2">
      <c r="A8" s="127" t="s">
        <v>56</v>
      </c>
      <c r="B8" s="128"/>
      <c r="C8" s="128"/>
      <c r="D8" s="128"/>
      <c r="E8" s="128"/>
      <c r="F8" s="129"/>
      <c r="I8" s="127" t="s">
        <v>56</v>
      </c>
      <c r="J8" s="128"/>
      <c r="K8" s="128"/>
      <c r="L8" s="128"/>
      <c r="M8" s="128"/>
      <c r="N8" s="129"/>
    </row>
    <row r="9" spans="1:14" x14ac:dyDescent="0.2">
      <c r="A9" s="16" t="s">
        <v>57</v>
      </c>
      <c r="B9" s="6">
        <v>8970833</v>
      </c>
      <c r="C9" s="7">
        <v>9344167</v>
      </c>
      <c r="D9" s="7">
        <v>7686629</v>
      </c>
      <c r="E9" s="6">
        <v>6974826</v>
      </c>
      <c r="F9" s="26">
        <v>7381822</v>
      </c>
      <c r="I9" s="16" t="s">
        <v>57</v>
      </c>
      <c r="K9" s="70">
        <f>(C9-B9)/B9</f>
        <v>4.1616425141344178E-2</v>
      </c>
      <c r="L9" s="70">
        <f t="shared" ref="L9:N9" si="0">(D9-C9)/C9</f>
        <v>-0.17738745465486649</v>
      </c>
      <c r="M9" s="70">
        <f t="shared" si="0"/>
        <v>-9.2602752129704716E-2</v>
      </c>
      <c r="N9" s="71">
        <f t="shared" si="0"/>
        <v>5.8352136669789327E-2</v>
      </c>
    </row>
    <row r="10" spans="1:14" x14ac:dyDescent="0.2">
      <c r="A10" s="16" t="s">
        <v>58</v>
      </c>
      <c r="B10" s="6">
        <v>371654</v>
      </c>
      <c r="C10" s="7">
        <v>842091</v>
      </c>
      <c r="D10" s="7">
        <v>1424510</v>
      </c>
      <c r="E10" s="5">
        <v>2096823</v>
      </c>
      <c r="F10" s="26">
        <v>819440</v>
      </c>
      <c r="I10" s="16" t="s">
        <v>58</v>
      </c>
      <c r="K10" s="70">
        <f>(C10-B10)/B10</f>
        <v>1.2657929149154858</v>
      </c>
      <c r="L10" s="70">
        <f t="shared" ref="L10:L58" si="1">(D10-C10)/C10</f>
        <v>0.69163427705556768</v>
      </c>
      <c r="M10" s="70">
        <f t="shared" ref="M10:M58" si="2">(E10-D10)/D10</f>
        <v>0.47196088479547355</v>
      </c>
      <c r="N10" s="71">
        <f t="shared" ref="N10:N58" si="3">(F10-E10)/E10</f>
        <v>-0.60919925048513868</v>
      </c>
    </row>
    <row r="11" spans="1:14" x14ac:dyDescent="0.2">
      <c r="A11" s="16" t="s">
        <v>59</v>
      </c>
      <c r="B11" s="6">
        <v>746568</v>
      </c>
      <c r="C11" s="7">
        <v>1214423</v>
      </c>
      <c r="D11" s="7">
        <v>700901</v>
      </c>
      <c r="E11" s="8" t="s">
        <v>60</v>
      </c>
      <c r="F11" s="26">
        <v>37617</v>
      </c>
      <c r="I11" s="16" t="s">
        <v>59</v>
      </c>
      <c r="K11" s="70">
        <f t="shared" ref="K11:K58" si="4">(C11-B11)/B11</f>
        <v>0.62667432839339487</v>
      </c>
      <c r="L11" s="70">
        <f t="shared" si="1"/>
        <v>-0.42285266336358912</v>
      </c>
      <c r="M11" s="72" t="s">
        <v>24</v>
      </c>
      <c r="N11" s="73" t="s">
        <v>24</v>
      </c>
    </row>
    <row r="12" spans="1:14" x14ac:dyDescent="0.2">
      <c r="A12" s="16" t="s">
        <v>61</v>
      </c>
      <c r="B12" s="6">
        <v>214653</v>
      </c>
      <c r="C12" s="7">
        <v>461874</v>
      </c>
      <c r="D12" s="7">
        <v>52290</v>
      </c>
      <c r="E12" s="6">
        <v>46922</v>
      </c>
      <c r="F12" s="26" t="s">
        <v>60</v>
      </c>
      <c r="I12" s="16" t="s">
        <v>61</v>
      </c>
      <c r="K12" s="70">
        <f t="shared" si="4"/>
        <v>1.1517239451579993</v>
      </c>
      <c r="L12" s="70">
        <f t="shared" si="1"/>
        <v>-0.88678730562880781</v>
      </c>
      <c r="M12" s="70">
        <f t="shared" si="2"/>
        <v>-0.10265825205584242</v>
      </c>
      <c r="N12" s="73" t="s">
        <v>24</v>
      </c>
    </row>
    <row r="13" spans="1:14" x14ac:dyDescent="0.2">
      <c r="A13" s="16" t="s">
        <v>62</v>
      </c>
      <c r="B13" s="6">
        <v>5112697</v>
      </c>
      <c r="C13" s="7">
        <v>5841154</v>
      </c>
      <c r="D13" s="7">
        <v>6750503</v>
      </c>
      <c r="E13" s="6">
        <v>5949871</v>
      </c>
      <c r="F13" s="26">
        <v>3655657</v>
      </c>
      <c r="I13" s="16" t="s">
        <v>62</v>
      </c>
      <c r="K13" s="70">
        <f t="shared" si="4"/>
        <v>0.14247998659024777</v>
      </c>
      <c r="L13" s="70">
        <f t="shared" si="1"/>
        <v>0.15567968247370298</v>
      </c>
      <c r="M13" s="70">
        <f t="shared" si="2"/>
        <v>-0.11860331000519517</v>
      </c>
      <c r="N13" s="71">
        <f t="shared" si="3"/>
        <v>-0.38559054473617999</v>
      </c>
    </row>
    <row r="14" spans="1:14" x14ac:dyDescent="0.2">
      <c r="A14" s="16" t="s">
        <v>63</v>
      </c>
      <c r="B14" s="6">
        <v>305693</v>
      </c>
      <c r="C14" s="7">
        <v>220661</v>
      </c>
      <c r="D14" s="7">
        <v>80170</v>
      </c>
      <c r="E14" s="6">
        <v>113379</v>
      </c>
      <c r="F14" s="26">
        <v>112879</v>
      </c>
      <c r="I14" s="16" t="s">
        <v>63</v>
      </c>
      <c r="K14" s="70">
        <f t="shared" si="4"/>
        <v>-0.27816142338882471</v>
      </c>
      <c r="L14" s="70">
        <f t="shared" si="1"/>
        <v>-0.63668251299504675</v>
      </c>
      <c r="M14" s="70">
        <f t="shared" si="2"/>
        <v>0.41423225645503303</v>
      </c>
      <c r="N14" s="71">
        <f t="shared" si="3"/>
        <v>-4.4099877402340821E-3</v>
      </c>
    </row>
    <row r="15" spans="1:14" x14ac:dyDescent="0.2">
      <c r="A15" s="16" t="s">
        <v>64</v>
      </c>
      <c r="B15" s="6">
        <v>1028994</v>
      </c>
      <c r="C15" s="7">
        <v>748804</v>
      </c>
      <c r="D15" s="7">
        <v>795444</v>
      </c>
      <c r="E15" s="6">
        <v>317214</v>
      </c>
      <c r="F15" s="26">
        <v>374755</v>
      </c>
      <c r="I15" s="16" t="s">
        <v>64</v>
      </c>
      <c r="K15" s="70">
        <f t="shared" si="4"/>
        <v>-0.27229507655049495</v>
      </c>
      <c r="L15" s="70">
        <f t="shared" si="1"/>
        <v>6.2285992062008216E-2</v>
      </c>
      <c r="M15" s="70">
        <f t="shared" si="2"/>
        <v>-0.6012113989168314</v>
      </c>
      <c r="N15" s="71">
        <f t="shared" si="3"/>
        <v>0.18139489429848621</v>
      </c>
    </row>
    <row r="16" spans="1:14" x14ac:dyDescent="0.2">
      <c r="A16" s="16" t="s">
        <v>65</v>
      </c>
      <c r="B16" s="6">
        <v>1428759</v>
      </c>
      <c r="C16" s="7">
        <v>1492952</v>
      </c>
      <c r="D16" s="7">
        <v>1547679</v>
      </c>
      <c r="E16" s="6">
        <v>1600570</v>
      </c>
      <c r="F16" s="26">
        <v>1359612</v>
      </c>
      <c r="I16" s="16" t="s">
        <v>65</v>
      </c>
      <c r="K16" s="70">
        <f t="shared" si="4"/>
        <v>4.4929200795935494E-2</v>
      </c>
      <c r="L16" s="70">
        <f t="shared" si="1"/>
        <v>3.6656905245446604E-2</v>
      </c>
      <c r="M16" s="70">
        <f t="shared" si="2"/>
        <v>3.4174399213273553E-2</v>
      </c>
      <c r="N16" s="71">
        <f t="shared" si="3"/>
        <v>-0.15054511830160505</v>
      </c>
    </row>
    <row r="17" spans="1:14" x14ac:dyDescent="0.2">
      <c r="A17" s="51" t="s">
        <v>66</v>
      </c>
      <c r="B17" s="32">
        <f>SUM(B9:B16)</f>
        <v>18179851</v>
      </c>
      <c r="C17" s="32">
        <f t="shared" ref="C17:F17" si="5">SUM(C9:C16)</f>
        <v>20166126</v>
      </c>
      <c r="D17" s="32">
        <f t="shared" si="5"/>
        <v>19038126</v>
      </c>
      <c r="E17" s="32">
        <f t="shared" si="5"/>
        <v>17099605</v>
      </c>
      <c r="F17" s="33">
        <f t="shared" si="5"/>
        <v>13741782</v>
      </c>
      <c r="I17" s="51" t="s">
        <v>66</v>
      </c>
      <c r="K17" s="70">
        <f t="shared" si="4"/>
        <v>0.10925694605527846</v>
      </c>
      <c r="L17" s="70">
        <f t="shared" si="1"/>
        <v>-5.5935383920540808E-2</v>
      </c>
      <c r="M17" s="70">
        <f t="shared" si="2"/>
        <v>-0.10182309960549689</v>
      </c>
      <c r="N17" s="71">
        <f t="shared" si="3"/>
        <v>-0.19636845412510992</v>
      </c>
    </row>
    <row r="18" spans="1:14" x14ac:dyDescent="0.2">
      <c r="A18" s="127" t="s">
        <v>67</v>
      </c>
      <c r="B18" s="128"/>
      <c r="C18" s="128"/>
      <c r="D18" s="128"/>
      <c r="E18" s="128"/>
      <c r="F18" s="129"/>
      <c r="I18" s="127" t="s">
        <v>67</v>
      </c>
      <c r="J18" s="128"/>
      <c r="K18" s="128"/>
      <c r="L18" s="128"/>
      <c r="M18" s="128"/>
      <c r="N18" s="129"/>
    </row>
    <row r="19" spans="1:14" x14ac:dyDescent="0.2">
      <c r="A19" s="16" t="s">
        <v>58</v>
      </c>
      <c r="B19" s="6">
        <v>117421</v>
      </c>
      <c r="C19" s="7">
        <v>473258</v>
      </c>
      <c r="D19" s="8" t="s">
        <v>60</v>
      </c>
      <c r="E19" s="8" t="s">
        <v>60</v>
      </c>
      <c r="F19" s="52" t="s">
        <v>60</v>
      </c>
      <c r="H19" s="8"/>
      <c r="I19" s="16" t="s">
        <v>58</v>
      </c>
      <c r="K19" s="70">
        <f t="shared" si="4"/>
        <v>3.0304374856286356</v>
      </c>
      <c r="L19" s="72" t="s">
        <v>24</v>
      </c>
      <c r="M19" s="72" t="s">
        <v>24</v>
      </c>
      <c r="N19" s="73" t="s">
        <v>24</v>
      </c>
    </row>
    <row r="20" spans="1:14" x14ac:dyDescent="0.2">
      <c r="A20" s="16" t="s">
        <v>68</v>
      </c>
      <c r="B20" s="6">
        <v>35305838</v>
      </c>
      <c r="C20" s="7">
        <v>39606506</v>
      </c>
      <c r="D20" s="6">
        <v>40371372</v>
      </c>
      <c r="E20" s="6">
        <v>63866948</v>
      </c>
      <c r="F20" s="53">
        <v>55252231</v>
      </c>
      <c r="I20" s="16" t="s">
        <v>68</v>
      </c>
      <c r="K20" s="70">
        <f t="shared" si="4"/>
        <v>0.12181180914046</v>
      </c>
      <c r="L20" s="70">
        <f t="shared" si="1"/>
        <v>1.9311625216321782E-2</v>
      </c>
      <c r="M20" s="70">
        <f t="shared" si="2"/>
        <v>0.58198606676037667</v>
      </c>
      <c r="N20" s="71">
        <f t="shared" si="3"/>
        <v>-0.13488537138176698</v>
      </c>
    </row>
    <row r="21" spans="1:14" x14ac:dyDescent="0.2">
      <c r="A21" s="16" t="s">
        <v>69</v>
      </c>
      <c r="B21" s="6">
        <v>1210947</v>
      </c>
      <c r="C21" s="7">
        <v>2259127</v>
      </c>
      <c r="D21" s="7">
        <v>2113376</v>
      </c>
      <c r="E21" s="6">
        <v>2017703</v>
      </c>
      <c r="F21" s="53">
        <v>1529305</v>
      </c>
      <c r="I21" s="16" t="s">
        <v>69</v>
      </c>
      <c r="K21" s="70">
        <f t="shared" si="4"/>
        <v>0.86558701578186326</v>
      </c>
      <c r="L21" s="70">
        <f t="shared" si="1"/>
        <v>-6.4516514565139543E-2</v>
      </c>
      <c r="M21" s="70">
        <f t="shared" si="2"/>
        <v>-4.5270221673758007E-2</v>
      </c>
      <c r="N21" s="71">
        <f t="shared" si="3"/>
        <v>-0.24205643744396474</v>
      </c>
    </row>
    <row r="22" spans="1:14" x14ac:dyDescent="0.2">
      <c r="A22" s="16" t="s">
        <v>61</v>
      </c>
      <c r="B22" s="6">
        <v>125345</v>
      </c>
      <c r="C22" s="7">
        <v>210650</v>
      </c>
      <c r="D22" s="7">
        <v>273211</v>
      </c>
      <c r="E22" s="6">
        <v>22472</v>
      </c>
      <c r="F22" s="26" t="s">
        <v>60</v>
      </c>
      <c r="I22" s="16" t="s">
        <v>61</v>
      </c>
      <c r="K22" s="70">
        <f t="shared" si="4"/>
        <v>0.68056164984642387</v>
      </c>
      <c r="L22" s="70">
        <f t="shared" si="1"/>
        <v>0.29699026821742225</v>
      </c>
      <c r="M22" s="70">
        <f t="shared" si="2"/>
        <v>-0.9177485533159353</v>
      </c>
      <c r="N22" s="73" t="s">
        <v>24</v>
      </c>
    </row>
    <row r="23" spans="1:14" x14ac:dyDescent="0.2">
      <c r="A23" s="16" t="s">
        <v>64</v>
      </c>
      <c r="B23" s="6">
        <v>14573548</v>
      </c>
      <c r="C23" s="7">
        <v>12323365</v>
      </c>
      <c r="D23" s="7">
        <v>11808775</v>
      </c>
      <c r="E23" s="6">
        <v>11627735</v>
      </c>
      <c r="F23" s="53">
        <v>4654893</v>
      </c>
      <c r="I23" s="16" t="s">
        <v>64</v>
      </c>
      <c r="K23" s="70">
        <f t="shared" si="4"/>
        <v>-0.15440186562668198</v>
      </c>
      <c r="L23" s="70">
        <f t="shared" si="1"/>
        <v>-4.1757263539625743E-2</v>
      </c>
      <c r="M23" s="70">
        <f t="shared" si="2"/>
        <v>-1.5330972094904001E-2</v>
      </c>
      <c r="N23" s="71">
        <f t="shared" si="3"/>
        <v>-0.59967328116782848</v>
      </c>
    </row>
    <row r="24" spans="1:14" x14ac:dyDescent="0.2">
      <c r="A24" s="16" t="s">
        <v>70</v>
      </c>
      <c r="B24" s="6">
        <v>804149</v>
      </c>
      <c r="C24" s="7">
        <v>1016774</v>
      </c>
      <c r="D24" s="7">
        <v>620662</v>
      </c>
      <c r="E24" s="6">
        <v>753039</v>
      </c>
      <c r="F24" s="53">
        <v>265921</v>
      </c>
      <c r="I24" s="16" t="s">
        <v>70</v>
      </c>
      <c r="K24" s="70">
        <f t="shared" si="4"/>
        <v>0.2644099538767069</v>
      </c>
      <c r="L24" s="70">
        <f t="shared" si="1"/>
        <v>-0.38957723151850854</v>
      </c>
      <c r="M24" s="70">
        <f t="shared" si="2"/>
        <v>0.21328355852299641</v>
      </c>
      <c r="N24" s="71">
        <f t="shared" si="3"/>
        <v>-0.64686955124502188</v>
      </c>
    </row>
    <row r="25" spans="1:14" x14ac:dyDescent="0.2">
      <c r="A25" s="16" t="s">
        <v>71</v>
      </c>
      <c r="B25" s="6">
        <v>62920</v>
      </c>
      <c r="C25" s="24" t="s">
        <v>60</v>
      </c>
      <c r="D25" s="7">
        <v>1032905</v>
      </c>
      <c r="E25" s="6">
        <v>1346861</v>
      </c>
      <c r="F25" s="53">
        <v>649</v>
      </c>
      <c r="I25" s="16" t="s">
        <v>71</v>
      </c>
      <c r="K25" s="72" t="s">
        <v>24</v>
      </c>
      <c r="L25" s="72" t="s">
        <v>24</v>
      </c>
      <c r="M25" s="70">
        <f t="shared" si="2"/>
        <v>0.3039543810902261</v>
      </c>
      <c r="N25" s="71">
        <f t="shared" si="3"/>
        <v>-0.99951813884283536</v>
      </c>
    </row>
    <row r="26" spans="1:14" x14ac:dyDescent="0.2">
      <c r="A26" s="16" t="s">
        <v>72</v>
      </c>
      <c r="B26" s="6">
        <v>357404</v>
      </c>
      <c r="C26" s="7">
        <v>544325</v>
      </c>
      <c r="D26" s="7">
        <v>259460</v>
      </c>
      <c r="E26" s="6">
        <v>228822</v>
      </c>
      <c r="F26" s="53">
        <v>1108489</v>
      </c>
      <c r="I26" s="16" t="s">
        <v>72</v>
      </c>
      <c r="K26" s="70">
        <f t="shared" si="4"/>
        <v>0.52299638504325641</v>
      </c>
      <c r="L26" s="70">
        <f t="shared" si="1"/>
        <v>-0.52333624213475405</v>
      </c>
      <c r="M26" s="70">
        <f t="shared" si="2"/>
        <v>-0.11808371232559932</v>
      </c>
      <c r="N26" s="71">
        <f t="shared" si="3"/>
        <v>3.8443287795753904</v>
      </c>
    </row>
    <row r="27" spans="1:14" x14ac:dyDescent="0.2">
      <c r="A27" s="16" t="s">
        <v>73</v>
      </c>
      <c r="B27" s="6">
        <v>99437</v>
      </c>
      <c r="C27" s="7">
        <v>297172</v>
      </c>
      <c r="D27" s="7">
        <v>1254965</v>
      </c>
      <c r="E27" s="6">
        <v>4025246</v>
      </c>
      <c r="F27" s="53">
        <v>3830473</v>
      </c>
      <c r="I27" s="16" t="s">
        <v>73</v>
      </c>
      <c r="K27" s="70">
        <f t="shared" si="4"/>
        <v>1.9885455112282149</v>
      </c>
      <c r="L27" s="70">
        <f t="shared" si="1"/>
        <v>3.2230257224772187</v>
      </c>
      <c r="M27" s="70">
        <f t="shared" si="2"/>
        <v>2.2074567816632338</v>
      </c>
      <c r="N27" s="71">
        <f t="shared" si="3"/>
        <v>-4.8387850084193613E-2</v>
      </c>
    </row>
    <row r="28" spans="1:14" x14ac:dyDescent="0.2">
      <c r="A28" s="51" t="s">
        <v>74</v>
      </c>
      <c r="B28" s="32">
        <f>SUM(B19:B27)</f>
        <v>52657009</v>
      </c>
      <c r="C28" s="32">
        <f t="shared" ref="C28:F28" si="6">SUM(C19:C27)</f>
        <v>56731177</v>
      </c>
      <c r="D28" s="32">
        <f t="shared" si="6"/>
        <v>57734726</v>
      </c>
      <c r="E28" s="32">
        <f t="shared" si="6"/>
        <v>83888826</v>
      </c>
      <c r="F28" s="33">
        <f t="shared" si="6"/>
        <v>66641961</v>
      </c>
      <c r="H28" s="5"/>
      <c r="I28" s="51" t="s">
        <v>74</v>
      </c>
      <c r="K28" s="70">
        <f t="shared" si="4"/>
        <v>7.7371808186066926E-2</v>
      </c>
      <c r="L28" s="70">
        <f t="shared" si="1"/>
        <v>1.7689550139247067E-2</v>
      </c>
      <c r="M28" s="70">
        <f t="shared" si="2"/>
        <v>0.45300466135406964</v>
      </c>
      <c r="N28" s="71">
        <f t="shared" si="3"/>
        <v>-0.20559192233778548</v>
      </c>
    </row>
    <row r="29" spans="1:14" x14ac:dyDescent="0.2">
      <c r="A29" s="54" t="s">
        <v>75</v>
      </c>
      <c r="B29" s="32">
        <f>SUM(B17,B28)</f>
        <v>70836860</v>
      </c>
      <c r="C29" s="32">
        <f t="shared" ref="C29:F29" si="7">SUM(C17,C28)</f>
        <v>76897303</v>
      </c>
      <c r="D29" s="32">
        <f t="shared" si="7"/>
        <v>76772852</v>
      </c>
      <c r="E29" s="32">
        <f t="shared" si="7"/>
        <v>100988431</v>
      </c>
      <c r="F29" s="33">
        <f t="shared" si="7"/>
        <v>80383743</v>
      </c>
      <c r="H29" s="5"/>
      <c r="I29" s="54" t="s">
        <v>75</v>
      </c>
      <c r="J29" s="5"/>
      <c r="K29" s="70">
        <f t="shared" si="4"/>
        <v>8.5554935664850187E-2</v>
      </c>
      <c r="L29" s="70">
        <f t="shared" si="1"/>
        <v>-1.618405264486324E-3</v>
      </c>
      <c r="M29" s="70">
        <f t="shared" si="2"/>
        <v>0.31541851538874704</v>
      </c>
      <c r="N29" s="71">
        <f t="shared" si="3"/>
        <v>-0.20403018242752974</v>
      </c>
    </row>
    <row r="30" spans="1:14" x14ac:dyDescent="0.2">
      <c r="A30" s="135" t="s">
        <v>76</v>
      </c>
      <c r="B30" s="136"/>
      <c r="C30" s="136"/>
      <c r="D30" s="136"/>
      <c r="E30" s="136"/>
      <c r="F30" s="138"/>
      <c r="I30" s="135" t="s">
        <v>76</v>
      </c>
      <c r="J30" s="136"/>
      <c r="K30" s="136"/>
      <c r="L30" s="136"/>
      <c r="M30" s="136"/>
      <c r="N30" s="138"/>
    </row>
    <row r="31" spans="1:14" x14ac:dyDescent="0.2">
      <c r="A31" s="127" t="s">
        <v>77</v>
      </c>
      <c r="B31" s="128"/>
      <c r="C31" s="128"/>
      <c r="D31" s="128"/>
      <c r="E31" s="128"/>
      <c r="F31" s="129"/>
      <c r="G31" s="4"/>
      <c r="I31" s="127" t="s">
        <v>77</v>
      </c>
      <c r="J31" s="128"/>
      <c r="K31" s="128"/>
      <c r="L31" s="128"/>
      <c r="M31" s="128"/>
      <c r="N31" s="129"/>
    </row>
    <row r="32" spans="1:14" x14ac:dyDescent="0.2">
      <c r="A32" s="16" t="s">
        <v>78</v>
      </c>
      <c r="B32" s="6">
        <v>6937852</v>
      </c>
      <c r="C32" s="7">
        <v>7377366</v>
      </c>
      <c r="D32" s="7">
        <v>8603667</v>
      </c>
      <c r="E32" s="6">
        <v>15628902</v>
      </c>
      <c r="F32" s="53">
        <v>63555110</v>
      </c>
      <c r="G32" s="4"/>
      <c r="I32" s="16" t="s">
        <v>78</v>
      </c>
      <c r="K32" s="70">
        <f t="shared" si="4"/>
        <v>6.3350155062402602E-2</v>
      </c>
      <c r="L32" s="70">
        <f t="shared" si="1"/>
        <v>0.16622477453334972</v>
      </c>
      <c r="M32" s="70">
        <f t="shared" si="2"/>
        <v>0.81653962200071206</v>
      </c>
      <c r="N32" s="71">
        <f t="shared" si="3"/>
        <v>3.0665115182115801</v>
      </c>
    </row>
    <row r="33" spans="1:14" ht="16.5" customHeight="1" x14ac:dyDescent="0.2">
      <c r="A33" s="16" t="s">
        <v>79</v>
      </c>
      <c r="B33" s="6">
        <v>12205187</v>
      </c>
      <c r="C33" s="7">
        <v>14237900</v>
      </c>
      <c r="D33" s="7">
        <v>15563242</v>
      </c>
      <c r="E33" s="6">
        <v>16391404</v>
      </c>
      <c r="F33" s="53">
        <v>21579508</v>
      </c>
      <c r="G33" s="4"/>
      <c r="I33" s="16" t="s">
        <v>79</v>
      </c>
      <c r="K33" s="70">
        <f t="shared" si="4"/>
        <v>0.16654501074010583</v>
      </c>
      <c r="L33" s="70">
        <f t="shared" si="1"/>
        <v>9.3085497158991143E-2</v>
      </c>
      <c r="M33" s="70">
        <f t="shared" si="2"/>
        <v>5.3212691802903278E-2</v>
      </c>
      <c r="N33" s="71">
        <f t="shared" si="3"/>
        <v>0.31651370437822168</v>
      </c>
    </row>
    <row r="34" spans="1:14" x14ac:dyDescent="0.2">
      <c r="A34" s="16" t="s">
        <v>80</v>
      </c>
      <c r="B34" s="6">
        <v>1893095</v>
      </c>
      <c r="C34" s="7">
        <v>1760286</v>
      </c>
      <c r="D34" s="7">
        <v>1945680</v>
      </c>
      <c r="E34" s="6">
        <v>1892261</v>
      </c>
      <c r="F34" s="53">
        <v>483376</v>
      </c>
      <c r="G34" s="4"/>
      <c r="I34" s="16" t="s">
        <v>80</v>
      </c>
      <c r="K34" s="70">
        <f t="shared" si="4"/>
        <v>-7.0154429650915562E-2</v>
      </c>
      <c r="L34" s="70">
        <f t="shared" si="1"/>
        <v>0.10532038543736642</v>
      </c>
      <c r="M34" s="70">
        <f t="shared" si="2"/>
        <v>-2.7455182763866617E-2</v>
      </c>
      <c r="N34" s="71">
        <f t="shared" si="3"/>
        <v>-0.74455109522417895</v>
      </c>
    </row>
    <row r="35" spans="1:14" x14ac:dyDescent="0.2">
      <c r="A35" s="16" t="s">
        <v>81</v>
      </c>
      <c r="B35" s="6">
        <v>1210591</v>
      </c>
      <c r="C35" s="7">
        <v>1222840</v>
      </c>
      <c r="D35" s="7">
        <v>521733</v>
      </c>
      <c r="E35" s="6">
        <v>1782187</v>
      </c>
      <c r="F35" s="53">
        <v>3231345</v>
      </c>
      <c r="G35" s="4"/>
      <c r="I35" s="16" t="s">
        <v>81</v>
      </c>
      <c r="K35" s="70">
        <f t="shared" si="4"/>
        <v>1.0118198466699323E-2</v>
      </c>
      <c r="L35" s="70">
        <f t="shared" si="1"/>
        <v>-0.57334320107291226</v>
      </c>
      <c r="M35" s="70">
        <f t="shared" si="2"/>
        <v>2.41589855347467</v>
      </c>
      <c r="N35" s="71">
        <f t="shared" si="3"/>
        <v>0.81313464860870377</v>
      </c>
    </row>
    <row r="36" spans="1:14" x14ac:dyDescent="0.2">
      <c r="A36" s="16" t="s">
        <v>82</v>
      </c>
      <c r="B36" s="6">
        <v>6969326</v>
      </c>
      <c r="C36" s="7">
        <v>8431674</v>
      </c>
      <c r="D36" s="7">
        <v>6050469</v>
      </c>
      <c r="E36" s="6">
        <v>5874913</v>
      </c>
      <c r="F36" s="53">
        <v>8492875</v>
      </c>
      <c r="G36" s="4"/>
      <c r="I36" s="16" t="s">
        <v>82</v>
      </c>
      <c r="K36" s="70">
        <f t="shared" si="4"/>
        <v>0.20982631605983132</v>
      </c>
      <c r="L36" s="70">
        <f t="shared" si="1"/>
        <v>-0.28241189116182625</v>
      </c>
      <c r="M36" s="70">
        <f t="shared" si="2"/>
        <v>-2.9015271378136143E-2</v>
      </c>
      <c r="N36" s="71">
        <f t="shared" si="3"/>
        <v>0.4456171521178271</v>
      </c>
    </row>
    <row r="37" spans="1:14" ht="15" customHeight="1" x14ac:dyDescent="0.2">
      <c r="A37" s="130" t="s">
        <v>83</v>
      </c>
      <c r="B37" s="6">
        <v>26249</v>
      </c>
      <c r="C37" s="7">
        <v>160872</v>
      </c>
      <c r="D37" s="7">
        <v>96332</v>
      </c>
      <c r="E37" s="6">
        <v>110760</v>
      </c>
      <c r="F37" s="53">
        <v>78400</v>
      </c>
      <c r="G37" s="4"/>
      <c r="H37" s="5"/>
      <c r="I37" s="130" t="s">
        <v>83</v>
      </c>
      <c r="J37" s="137"/>
      <c r="K37" s="70">
        <f t="shared" si="4"/>
        <v>5.1286906167854012</v>
      </c>
      <c r="L37" s="70">
        <f t="shared" si="1"/>
        <v>-0.40118852255209109</v>
      </c>
      <c r="M37" s="70">
        <f t="shared" si="2"/>
        <v>0.14977369928995557</v>
      </c>
      <c r="N37" s="71">
        <f t="shared" si="3"/>
        <v>-0.29216323582520765</v>
      </c>
    </row>
    <row r="38" spans="1:14" x14ac:dyDescent="0.2">
      <c r="A38" s="130"/>
      <c r="B38" s="46"/>
      <c r="C38" s="6"/>
      <c r="D38" s="6"/>
      <c r="E38" s="6"/>
      <c r="F38" s="31"/>
      <c r="G38" s="4"/>
      <c r="I38" s="130"/>
      <c r="J38" s="137"/>
      <c r="K38" s="70"/>
      <c r="L38" s="70"/>
      <c r="M38" s="70"/>
      <c r="N38" s="71"/>
    </row>
    <row r="39" spans="1:14" x14ac:dyDescent="0.2">
      <c r="A39" s="37" t="s">
        <v>84</v>
      </c>
      <c r="B39" s="32">
        <f>SUM(B32:B37)</f>
        <v>29242300</v>
      </c>
      <c r="C39" s="32">
        <f t="shared" ref="C39:F39" si="8">SUM(C32:C37)</f>
        <v>33190938</v>
      </c>
      <c r="D39" s="32">
        <f t="shared" si="8"/>
        <v>32781123</v>
      </c>
      <c r="E39" s="32">
        <f t="shared" si="8"/>
        <v>41680427</v>
      </c>
      <c r="F39" s="33">
        <f t="shared" si="8"/>
        <v>97420614</v>
      </c>
      <c r="G39" s="4"/>
      <c r="I39" s="37" t="s">
        <v>84</v>
      </c>
      <c r="K39" s="70">
        <f t="shared" si="4"/>
        <v>0.13503171775133968</v>
      </c>
      <c r="L39" s="70">
        <f t="shared" si="1"/>
        <v>-1.2347195490528168E-2</v>
      </c>
      <c r="M39" s="70">
        <f t="shared" si="2"/>
        <v>0.27147648358477527</v>
      </c>
      <c r="N39" s="71">
        <f t="shared" si="3"/>
        <v>1.3373228398067996</v>
      </c>
    </row>
    <row r="40" spans="1:14" x14ac:dyDescent="0.2">
      <c r="A40" s="127" t="s">
        <v>85</v>
      </c>
      <c r="B40" s="128"/>
      <c r="C40" s="128"/>
      <c r="D40" s="128"/>
      <c r="E40" s="128"/>
      <c r="F40" s="129"/>
      <c r="G40" s="4"/>
      <c r="I40" s="127" t="s">
        <v>85</v>
      </c>
      <c r="J40" s="128"/>
      <c r="K40" s="128"/>
      <c r="L40" s="128"/>
      <c r="M40" s="128"/>
      <c r="N40" s="129"/>
    </row>
    <row r="41" spans="1:14" x14ac:dyDescent="0.2">
      <c r="A41" s="16" t="s">
        <v>86</v>
      </c>
      <c r="B41" s="7">
        <v>23741240</v>
      </c>
      <c r="C41" s="7">
        <v>26988341</v>
      </c>
      <c r="D41" s="7">
        <v>28021362</v>
      </c>
      <c r="E41" s="6">
        <v>47791772</v>
      </c>
      <c r="F41" s="53">
        <v>9351079</v>
      </c>
      <c r="G41" s="4"/>
      <c r="I41" s="16" t="s">
        <v>86</v>
      </c>
      <c r="K41" s="70">
        <f t="shared" si="4"/>
        <v>0.13677048882029752</v>
      </c>
      <c r="L41" s="70">
        <f t="shared" si="1"/>
        <v>3.8276565425047801E-2</v>
      </c>
      <c r="M41" s="70">
        <f t="shared" si="2"/>
        <v>0.70554778886194036</v>
      </c>
      <c r="N41" s="71">
        <f t="shared" si="3"/>
        <v>-0.80433705199296646</v>
      </c>
    </row>
    <row r="42" spans="1:14" x14ac:dyDescent="0.2">
      <c r="A42" s="18" t="s">
        <v>80</v>
      </c>
      <c r="B42" s="24" t="s">
        <v>60</v>
      </c>
      <c r="C42" s="24" t="s">
        <v>60</v>
      </c>
      <c r="D42" s="24" t="s">
        <v>60</v>
      </c>
      <c r="E42" s="24" t="s">
        <v>60</v>
      </c>
      <c r="F42" s="53">
        <v>1810109</v>
      </c>
      <c r="G42" s="4"/>
      <c r="I42" s="18" t="s">
        <v>80</v>
      </c>
      <c r="K42" s="72" t="s">
        <v>24</v>
      </c>
      <c r="L42" s="72" t="s">
        <v>24</v>
      </c>
      <c r="M42" s="72" t="s">
        <v>24</v>
      </c>
      <c r="N42" s="73" t="s">
        <v>24</v>
      </c>
    </row>
    <row r="43" spans="1:14" x14ac:dyDescent="0.2">
      <c r="A43" s="18" t="s">
        <v>87</v>
      </c>
      <c r="B43" s="24" t="s">
        <v>60</v>
      </c>
      <c r="C43" s="24" t="s">
        <v>60</v>
      </c>
      <c r="D43" s="7">
        <v>70566</v>
      </c>
      <c r="E43" s="47">
        <v>39194</v>
      </c>
      <c r="F43" s="53">
        <v>7823</v>
      </c>
      <c r="G43" s="4"/>
      <c r="I43" s="18" t="s">
        <v>87</v>
      </c>
      <c r="K43" s="72" t="s">
        <v>24</v>
      </c>
      <c r="L43" s="72" t="s">
        <v>24</v>
      </c>
      <c r="M43" s="70">
        <f t="shared" si="2"/>
        <v>-0.44457670832979057</v>
      </c>
      <c r="N43" s="71">
        <f t="shared" si="3"/>
        <v>-0.80040312292697857</v>
      </c>
    </row>
    <row r="44" spans="1:14" x14ac:dyDescent="0.2">
      <c r="A44" s="18" t="s">
        <v>73</v>
      </c>
      <c r="B44" s="24" t="s">
        <v>60</v>
      </c>
      <c r="C44" s="24" t="s">
        <v>60</v>
      </c>
      <c r="D44" s="24" t="s">
        <v>60</v>
      </c>
      <c r="E44" s="6">
        <v>369589</v>
      </c>
      <c r="F44" s="53">
        <v>52214</v>
      </c>
      <c r="G44" s="4"/>
      <c r="I44" s="18" t="s">
        <v>73</v>
      </c>
      <c r="K44" s="72" t="s">
        <v>24</v>
      </c>
      <c r="L44" s="72" t="s">
        <v>24</v>
      </c>
      <c r="M44" s="72" t="s">
        <v>24</v>
      </c>
      <c r="N44" s="71">
        <f t="shared" si="3"/>
        <v>-0.85872415033997229</v>
      </c>
    </row>
    <row r="45" spans="1:14" x14ac:dyDescent="0.2">
      <c r="A45" s="16" t="s">
        <v>88</v>
      </c>
      <c r="B45" s="7">
        <v>3321659</v>
      </c>
      <c r="C45" s="7">
        <v>3468547</v>
      </c>
      <c r="D45" s="7">
        <v>3558236</v>
      </c>
      <c r="E45" s="47">
        <v>4191553</v>
      </c>
      <c r="F45" s="53">
        <v>4097141</v>
      </c>
      <c r="G45" s="4"/>
      <c r="I45" s="16" t="s">
        <v>88</v>
      </c>
      <c r="J45" s="5"/>
      <c r="K45" s="70">
        <f t="shared" si="4"/>
        <v>4.4221276175549627E-2</v>
      </c>
      <c r="L45" s="70">
        <f t="shared" si="1"/>
        <v>2.5857801552062003E-2</v>
      </c>
      <c r="M45" s="70">
        <f t="shared" si="2"/>
        <v>0.17798622688320842</v>
      </c>
      <c r="N45" s="71">
        <f t="shared" si="3"/>
        <v>-2.2524348373979763E-2</v>
      </c>
    </row>
    <row r="46" spans="1:14" x14ac:dyDescent="0.2">
      <c r="A46" s="16" t="s">
        <v>81</v>
      </c>
      <c r="B46" s="7">
        <v>214929</v>
      </c>
      <c r="C46" s="7">
        <v>257012</v>
      </c>
      <c r="D46" s="7">
        <v>249577</v>
      </c>
      <c r="E46" s="24" t="s">
        <v>60</v>
      </c>
      <c r="F46" s="26" t="s">
        <v>60</v>
      </c>
      <c r="G46" s="4"/>
      <c r="H46" s="5"/>
      <c r="I46" s="16" t="s">
        <v>81</v>
      </c>
      <c r="K46" s="70">
        <f t="shared" si="4"/>
        <v>0.19579954310493233</v>
      </c>
      <c r="L46" s="70">
        <f t="shared" si="1"/>
        <v>-2.8928610337260519E-2</v>
      </c>
      <c r="M46" s="72" t="s">
        <v>60</v>
      </c>
      <c r="N46" s="73" t="s">
        <v>60</v>
      </c>
    </row>
    <row r="47" spans="1:14" x14ac:dyDescent="0.2">
      <c r="A47" s="16" t="s">
        <v>61</v>
      </c>
      <c r="B47" s="24" t="s">
        <v>24</v>
      </c>
      <c r="C47" s="24" t="s">
        <v>24</v>
      </c>
      <c r="D47" s="7">
        <v>437703</v>
      </c>
      <c r="E47" s="6">
        <v>1139207</v>
      </c>
      <c r="F47" s="53">
        <v>596423</v>
      </c>
      <c r="G47" s="4"/>
      <c r="I47" s="16" t="s">
        <v>61</v>
      </c>
      <c r="K47" s="72" t="s">
        <v>24</v>
      </c>
      <c r="L47" s="72" t="s">
        <v>24</v>
      </c>
      <c r="M47" s="70">
        <f t="shared" si="2"/>
        <v>1.602694064239907</v>
      </c>
      <c r="N47" s="71">
        <f t="shared" si="3"/>
        <v>-0.47645774648505496</v>
      </c>
    </row>
    <row r="48" spans="1:14" x14ac:dyDescent="0.2">
      <c r="A48" s="51" t="s">
        <v>89</v>
      </c>
      <c r="B48" s="48">
        <f>SUM(B41:B47)</f>
        <v>27277828</v>
      </c>
      <c r="C48" s="48">
        <f t="shared" ref="C48:F48" si="9">SUM(C41:C47)</f>
        <v>30713900</v>
      </c>
      <c r="D48" s="48">
        <f t="shared" si="9"/>
        <v>32337444</v>
      </c>
      <c r="E48" s="48">
        <f t="shared" si="9"/>
        <v>53531315</v>
      </c>
      <c r="F48" s="55">
        <f t="shared" si="9"/>
        <v>15914789</v>
      </c>
      <c r="G48" s="4"/>
      <c r="I48" s="51" t="s">
        <v>89</v>
      </c>
      <c r="K48" s="70">
        <f t="shared" si="4"/>
        <v>0.12596574771275779</v>
      </c>
      <c r="L48" s="70">
        <f t="shared" si="1"/>
        <v>5.2860235919241778E-2</v>
      </c>
      <c r="M48" s="70">
        <f t="shared" si="2"/>
        <v>0.65539722310767667</v>
      </c>
      <c r="N48" s="71">
        <f t="shared" si="3"/>
        <v>-0.70270132538309582</v>
      </c>
    </row>
    <row r="49" spans="1:14" x14ac:dyDescent="0.2">
      <c r="A49" s="56" t="s">
        <v>90</v>
      </c>
      <c r="B49" s="48">
        <f>SUM(B39,B48)</f>
        <v>56520128</v>
      </c>
      <c r="C49" s="48">
        <f t="shared" ref="C49:F49" si="10">SUM(C39,C48)</f>
        <v>63904838</v>
      </c>
      <c r="D49" s="48">
        <f t="shared" si="10"/>
        <v>65118567</v>
      </c>
      <c r="E49" s="48">
        <f>SUM(E39,E48)</f>
        <v>95211742</v>
      </c>
      <c r="F49" s="55">
        <f t="shared" si="10"/>
        <v>113335403</v>
      </c>
      <c r="G49" s="4"/>
      <c r="I49" s="56" t="s">
        <v>90</v>
      </c>
      <c r="K49" s="70">
        <f t="shared" si="4"/>
        <v>0.13065628584563715</v>
      </c>
      <c r="L49" s="70">
        <f t="shared" si="1"/>
        <v>1.8992756072709237E-2</v>
      </c>
      <c r="M49" s="70">
        <f t="shared" si="2"/>
        <v>0.46212895010419991</v>
      </c>
      <c r="N49" s="71">
        <f t="shared" si="3"/>
        <v>0.19035111236595167</v>
      </c>
    </row>
    <row r="50" spans="1:14" x14ac:dyDescent="0.2">
      <c r="A50" s="37" t="s">
        <v>91</v>
      </c>
      <c r="B50" s="22"/>
      <c r="C50" s="22"/>
      <c r="D50" s="22"/>
      <c r="E50" s="22"/>
      <c r="F50" s="23"/>
      <c r="G50" s="4"/>
      <c r="I50" s="127" t="s">
        <v>91</v>
      </c>
      <c r="J50" s="128"/>
      <c r="K50" s="70"/>
      <c r="L50" s="70"/>
      <c r="M50" s="70"/>
      <c r="N50" s="71"/>
    </row>
    <row r="51" spans="1:14" x14ac:dyDescent="0.2">
      <c r="A51" s="16" t="s">
        <v>92</v>
      </c>
      <c r="B51" s="7">
        <v>3478917</v>
      </c>
      <c r="C51" s="7">
        <v>3528512</v>
      </c>
      <c r="D51" s="7">
        <v>3533570</v>
      </c>
      <c r="E51" s="6">
        <v>3539960</v>
      </c>
      <c r="F51" s="53">
        <v>3544643</v>
      </c>
      <c r="G51" s="4"/>
      <c r="I51" s="16" t="s">
        <v>92</v>
      </c>
      <c r="K51" s="70">
        <f t="shared" si="4"/>
        <v>1.4255873307698919E-2</v>
      </c>
      <c r="L51" s="70">
        <f t="shared" si="1"/>
        <v>1.4334654381223586E-3</v>
      </c>
      <c r="M51" s="70">
        <f t="shared" si="2"/>
        <v>1.8083694394054738E-3</v>
      </c>
      <c r="N51" s="71">
        <f t="shared" si="3"/>
        <v>1.3228963039130387E-3</v>
      </c>
    </row>
    <row r="52" spans="1:14" x14ac:dyDescent="0.2">
      <c r="A52" s="16" t="s">
        <v>93</v>
      </c>
      <c r="B52" s="7">
        <v>43443</v>
      </c>
      <c r="C52" s="24" t="s">
        <v>24</v>
      </c>
      <c r="D52" s="24" t="s">
        <v>60</v>
      </c>
      <c r="E52" s="24" t="s">
        <v>60</v>
      </c>
      <c r="F52" s="26" t="s">
        <v>60</v>
      </c>
      <c r="G52" s="4"/>
      <c r="I52" s="16" t="s">
        <v>93</v>
      </c>
      <c r="K52" s="72" t="s">
        <v>24</v>
      </c>
      <c r="L52" s="72" t="s">
        <v>24</v>
      </c>
      <c r="M52" s="72" t="s">
        <v>24</v>
      </c>
      <c r="N52" s="73" t="s">
        <v>24</v>
      </c>
    </row>
    <row r="53" spans="1:14" x14ac:dyDescent="0.2">
      <c r="A53" s="16" t="s">
        <v>94</v>
      </c>
      <c r="B53" s="7">
        <v>6023360</v>
      </c>
      <c r="C53" s="7">
        <v>5719880</v>
      </c>
      <c r="D53" s="7">
        <v>4402337</v>
      </c>
      <c r="E53" s="6">
        <v>-258924</v>
      </c>
      <c r="F53" s="53">
        <v>-42788378</v>
      </c>
      <c r="G53" s="4"/>
      <c r="I53" s="16" t="s">
        <v>94</v>
      </c>
      <c r="K53" s="70">
        <f t="shared" si="4"/>
        <v>-5.0383838920469638E-2</v>
      </c>
      <c r="L53" s="70">
        <f t="shared" si="1"/>
        <v>-0.23034451771715492</v>
      </c>
      <c r="M53" s="70">
        <f t="shared" si="2"/>
        <v>-1.0588151247848585</v>
      </c>
      <c r="N53" s="71">
        <f t="shared" si="3"/>
        <v>164.25458435679968</v>
      </c>
    </row>
    <row r="54" spans="1:14" x14ac:dyDescent="0.2">
      <c r="A54" s="16" t="s">
        <v>95</v>
      </c>
      <c r="B54" s="7">
        <v>4767623</v>
      </c>
      <c r="C54" s="7">
        <v>3740752</v>
      </c>
      <c r="D54" s="7">
        <v>3714703</v>
      </c>
      <c r="E54" s="6">
        <v>2491612</v>
      </c>
      <c r="F54" s="53">
        <v>6287669</v>
      </c>
      <c r="G54" s="4"/>
      <c r="I54" s="16" t="s">
        <v>95</v>
      </c>
      <c r="K54" s="70">
        <f t="shared" si="4"/>
        <v>-0.21538427010692751</v>
      </c>
      <c r="L54" s="70">
        <f t="shared" si="1"/>
        <v>-6.9635730997403729E-3</v>
      </c>
      <c r="M54" s="70">
        <f t="shared" si="2"/>
        <v>-0.32925674004085925</v>
      </c>
      <c r="N54" s="71">
        <f t="shared" si="3"/>
        <v>1.5235345631663357</v>
      </c>
    </row>
    <row r="55" spans="1:14" x14ac:dyDescent="0.2">
      <c r="A55" s="37" t="s">
        <v>96</v>
      </c>
      <c r="B55" s="32">
        <f>SUM(B51:B54)</f>
        <v>14313343</v>
      </c>
      <c r="C55" s="32">
        <f>SUM(C51:C54)</f>
        <v>12989144</v>
      </c>
      <c r="D55" s="32">
        <f t="shared" ref="D55:F55" si="11">SUM(D51:D54)</f>
        <v>11650610</v>
      </c>
      <c r="E55" s="32">
        <f>SUM(E51:E54)</f>
        <v>5772648</v>
      </c>
      <c r="F55" s="33">
        <f t="shared" si="11"/>
        <v>-32956066</v>
      </c>
      <c r="G55" s="4"/>
      <c r="I55" s="37" t="s">
        <v>96</v>
      </c>
      <c r="K55" s="70">
        <f t="shared" si="4"/>
        <v>-9.2515005055073443E-2</v>
      </c>
      <c r="L55" s="70">
        <f t="shared" si="1"/>
        <v>-0.10305020869735528</v>
      </c>
      <c r="M55" s="70">
        <f t="shared" si="2"/>
        <v>-0.50451967751044791</v>
      </c>
      <c r="N55" s="71">
        <f t="shared" si="3"/>
        <v>-6.7090032165481075</v>
      </c>
    </row>
    <row r="56" spans="1:14" x14ac:dyDescent="0.2">
      <c r="A56" s="37" t="s">
        <v>97</v>
      </c>
      <c r="B56" s="35">
        <v>3389</v>
      </c>
      <c r="C56" s="35">
        <v>3321</v>
      </c>
      <c r="D56" s="35">
        <v>3675</v>
      </c>
      <c r="E56" s="32">
        <v>4041</v>
      </c>
      <c r="F56" s="36">
        <v>4406</v>
      </c>
      <c r="I56" s="37" t="s">
        <v>97</v>
      </c>
      <c r="K56" s="70">
        <f t="shared" si="4"/>
        <v>-2.0064915904396578E-2</v>
      </c>
      <c r="L56" s="70">
        <f t="shared" si="1"/>
        <v>0.10659439927732611</v>
      </c>
      <c r="M56" s="70">
        <f t="shared" si="2"/>
        <v>9.9591836734693878E-2</v>
      </c>
      <c r="N56" s="71">
        <f t="shared" si="3"/>
        <v>9.0324177183865387E-2</v>
      </c>
    </row>
    <row r="57" spans="1:14" x14ac:dyDescent="0.2">
      <c r="A57" s="56" t="s">
        <v>98</v>
      </c>
      <c r="B57" s="32">
        <f>B55+B56</f>
        <v>14316732</v>
      </c>
      <c r="C57" s="32">
        <f>C55+C56</f>
        <v>12992465</v>
      </c>
      <c r="D57" s="32">
        <f>D55+D56</f>
        <v>11654285</v>
      </c>
      <c r="E57" s="32">
        <f t="shared" ref="E57:F57" si="12">E55+E56</f>
        <v>5776689</v>
      </c>
      <c r="F57" s="33">
        <f t="shared" si="12"/>
        <v>-32951660</v>
      </c>
      <c r="I57" s="56" t="s">
        <v>98</v>
      </c>
      <c r="K57" s="70">
        <f t="shared" si="4"/>
        <v>-9.2497854957402287E-2</v>
      </c>
      <c r="L57" s="70">
        <f t="shared" si="1"/>
        <v>-0.10299662150330981</v>
      </c>
      <c r="M57" s="70">
        <f t="shared" si="2"/>
        <v>-0.50432918021139861</v>
      </c>
      <c r="N57" s="71">
        <f t="shared" si="3"/>
        <v>-6.70424684451595</v>
      </c>
    </row>
    <row r="58" spans="1:14" x14ac:dyDescent="0.2">
      <c r="A58" s="57" t="s">
        <v>99</v>
      </c>
      <c r="B58" s="41">
        <f>SUM(B49,B57)</f>
        <v>70836860</v>
      </c>
      <c r="C58" s="41">
        <f>SUM(C49,C57)</f>
        <v>76897303</v>
      </c>
      <c r="D58" s="41">
        <f t="shared" ref="D58:F58" si="13">SUM(D49,D57)</f>
        <v>76772852</v>
      </c>
      <c r="E58" s="41">
        <f>SUM(E49,E57)</f>
        <v>100988431</v>
      </c>
      <c r="F58" s="42">
        <f t="shared" si="13"/>
        <v>80383743</v>
      </c>
      <c r="H58" s="7"/>
      <c r="I58" s="57" t="s">
        <v>99</v>
      </c>
      <c r="J58" s="74"/>
      <c r="K58" s="75">
        <f t="shared" si="4"/>
        <v>8.5554935664850187E-2</v>
      </c>
      <c r="L58" s="75">
        <f t="shared" si="1"/>
        <v>-1.618405264486324E-3</v>
      </c>
      <c r="M58" s="75">
        <f t="shared" si="2"/>
        <v>0.31541851538874704</v>
      </c>
      <c r="N58" s="76">
        <f t="shared" si="3"/>
        <v>-0.20403018242752974</v>
      </c>
    </row>
    <row r="59" spans="1:14" x14ac:dyDescent="0.2">
      <c r="A59" s="18"/>
    </row>
    <row r="60" spans="1:14" x14ac:dyDescent="0.2">
      <c r="A60" s="18"/>
    </row>
    <row r="61" spans="1:14" x14ac:dyDescent="0.2">
      <c r="A61" s="43" t="s">
        <v>100</v>
      </c>
      <c r="B61" s="44">
        <v>682120</v>
      </c>
      <c r="C61" s="44">
        <v>682120</v>
      </c>
      <c r="D61" s="44">
        <v>682120</v>
      </c>
      <c r="E61" s="44">
        <v>682120</v>
      </c>
      <c r="F61" s="44">
        <v>682120</v>
      </c>
      <c r="H61" s="2" t="s">
        <v>52</v>
      </c>
    </row>
    <row r="62" spans="1:14" x14ac:dyDescent="0.2">
      <c r="A62" s="43" t="s">
        <v>101</v>
      </c>
      <c r="B62" s="114">
        <v>38.08583325</v>
      </c>
      <c r="C62" s="115">
        <v>36.065833916666655</v>
      </c>
      <c r="D62" s="115">
        <v>26.051667083333331</v>
      </c>
      <c r="E62" s="115">
        <v>17.643333250000001</v>
      </c>
      <c r="F62" s="115">
        <v>7.3599999999999994</v>
      </c>
      <c r="H62" s="79"/>
      <c r="I62" s="68"/>
      <c r="J62" s="68">
        <v>2016</v>
      </c>
      <c r="K62" s="68">
        <v>2017</v>
      </c>
      <c r="L62" s="68">
        <v>2018</v>
      </c>
      <c r="M62" s="68">
        <v>2019</v>
      </c>
      <c r="N62" s="69">
        <v>2020</v>
      </c>
    </row>
    <row r="63" spans="1:14" x14ac:dyDescent="0.2">
      <c r="H63" s="127" t="s">
        <v>55</v>
      </c>
      <c r="I63" s="128"/>
      <c r="J63" s="128"/>
      <c r="K63" s="128"/>
      <c r="L63" s="128"/>
      <c r="M63" s="128"/>
      <c r="N63" s="129"/>
    </row>
    <row r="64" spans="1:14" x14ac:dyDescent="0.2">
      <c r="H64" s="127" t="s">
        <v>56</v>
      </c>
      <c r="I64" s="128"/>
      <c r="J64" s="128"/>
      <c r="K64" s="128"/>
      <c r="L64" s="128"/>
      <c r="M64" s="128"/>
      <c r="N64" s="129"/>
    </row>
    <row r="65" spans="8:14" x14ac:dyDescent="0.2">
      <c r="H65" s="16" t="s">
        <v>57</v>
      </c>
      <c r="J65" s="70">
        <f>B9/B$29</f>
        <v>0.12664074889824309</v>
      </c>
      <c r="K65" s="70">
        <f>C9/C$29</f>
        <v>0.12151488589918427</v>
      </c>
      <c r="L65" s="70">
        <f t="shared" ref="L65" si="14">D9/D$29</f>
        <v>0.10012170708468665</v>
      </c>
      <c r="M65" s="70">
        <f t="shared" ref="M65" si="15">E9/E$29</f>
        <v>6.9065594256039087E-2</v>
      </c>
      <c r="N65" s="71">
        <f t="shared" ref="N65" si="16">F9/F$29</f>
        <v>9.1832275090748136E-2</v>
      </c>
    </row>
    <row r="66" spans="8:14" x14ac:dyDescent="0.2">
      <c r="H66" s="16" t="s">
        <v>58</v>
      </c>
      <c r="J66" s="70">
        <f t="shared" ref="J66:J97" si="17">B10/B$29</f>
        <v>5.2466187801096771E-3</v>
      </c>
      <c r="K66" s="70">
        <f t="shared" ref="K66:K73" si="18">C10/C$29</f>
        <v>1.0950852203490154E-2</v>
      </c>
      <c r="L66" s="70">
        <f t="shared" ref="L66:L73" si="19">D10/D$29</f>
        <v>1.8554866243603925E-2</v>
      </c>
      <c r="M66" s="70">
        <f t="shared" ref="M66:M73" si="20">E10/E$29</f>
        <v>2.0763002051195349E-2</v>
      </c>
      <c r="N66" s="71">
        <f t="shared" ref="N66:N73" si="21">F10/F$29</f>
        <v>1.019410106344513E-2</v>
      </c>
    </row>
    <row r="67" spans="8:14" x14ac:dyDescent="0.2">
      <c r="H67" s="16" t="s">
        <v>59</v>
      </c>
      <c r="J67" s="70">
        <f t="shared" si="17"/>
        <v>1.0539258798314889E-2</v>
      </c>
      <c r="K67" s="70">
        <f t="shared" si="18"/>
        <v>1.579279054819387E-2</v>
      </c>
      <c r="L67" s="70">
        <f t="shared" si="19"/>
        <v>9.1295423022711205E-3</v>
      </c>
      <c r="M67" s="72" t="s">
        <v>24</v>
      </c>
      <c r="N67" s="71">
        <f t="shared" si="21"/>
        <v>4.6796775810750691E-4</v>
      </c>
    </row>
    <row r="68" spans="8:14" x14ac:dyDescent="0.2">
      <c r="H68" s="16" t="s">
        <v>61</v>
      </c>
      <c r="J68" s="70">
        <f t="shared" si="17"/>
        <v>3.0302444235952865E-3</v>
      </c>
      <c r="K68" s="70">
        <f t="shared" si="18"/>
        <v>6.0063745018469634E-3</v>
      </c>
      <c r="L68" s="70">
        <f t="shared" si="19"/>
        <v>6.8110013680356698E-4</v>
      </c>
      <c r="M68" s="70">
        <f t="shared" si="20"/>
        <v>4.6462747797319478E-4</v>
      </c>
      <c r="N68" s="73" t="s">
        <v>24</v>
      </c>
    </row>
    <row r="69" spans="8:14" x14ac:dyDescent="0.2">
      <c r="H69" s="16" t="s">
        <v>62</v>
      </c>
      <c r="J69" s="70">
        <f t="shared" si="17"/>
        <v>7.217565826604963E-2</v>
      </c>
      <c r="K69" s="70">
        <f t="shared" si="18"/>
        <v>7.5960453385471791E-2</v>
      </c>
      <c r="L69" s="70">
        <f t="shared" si="19"/>
        <v>8.7928256201814672E-2</v>
      </c>
      <c r="M69" s="70">
        <f t="shared" si="20"/>
        <v>5.8916362409868514E-2</v>
      </c>
      <c r="N69" s="71">
        <f t="shared" si="21"/>
        <v>4.5477566278544657E-2</v>
      </c>
    </row>
    <row r="70" spans="8:14" x14ac:dyDescent="0.2">
      <c r="H70" s="16" t="s">
        <v>63</v>
      </c>
      <c r="J70" s="70">
        <f t="shared" si="17"/>
        <v>4.3154510236619748E-3</v>
      </c>
      <c r="K70" s="70">
        <f t="shared" si="18"/>
        <v>2.8695544757922132E-3</v>
      </c>
      <c r="L70" s="70">
        <f t="shared" si="19"/>
        <v>1.0442493395972836E-3</v>
      </c>
      <c r="M70" s="70">
        <f t="shared" si="20"/>
        <v>1.1226929547999414E-3</v>
      </c>
      <c r="N70" s="71">
        <f t="shared" si="21"/>
        <v>1.4042516034616602E-3</v>
      </c>
    </row>
    <row r="71" spans="8:14" x14ac:dyDescent="0.2">
      <c r="H71" s="16" t="s">
        <v>64</v>
      </c>
      <c r="J71" s="70">
        <f t="shared" si="17"/>
        <v>1.4526250881250242E-2</v>
      </c>
      <c r="K71" s="70">
        <f t="shared" si="18"/>
        <v>9.7377147284346249E-3</v>
      </c>
      <c r="L71" s="70">
        <f t="shared" si="19"/>
        <v>1.0361006257784978E-2</v>
      </c>
      <c r="M71" s="70">
        <f t="shared" si="20"/>
        <v>3.1410924683046119E-3</v>
      </c>
      <c r="N71" s="71">
        <f t="shared" si="21"/>
        <v>4.6620745192221267E-3</v>
      </c>
    </row>
    <row r="72" spans="8:14" x14ac:dyDescent="0.2">
      <c r="H72" s="16" t="s">
        <v>65</v>
      </c>
      <c r="J72" s="70">
        <f t="shared" si="17"/>
        <v>2.0169711079796593E-2</v>
      </c>
      <c r="K72" s="70">
        <f t="shared" si="18"/>
        <v>1.9414881169499534E-2</v>
      </c>
      <c r="L72" s="70">
        <f t="shared" si="19"/>
        <v>2.0159196378428144E-2</v>
      </c>
      <c r="M72" s="70">
        <f t="shared" si="20"/>
        <v>1.5849043144357793E-2</v>
      </c>
      <c r="N72" s="71">
        <f t="shared" si="21"/>
        <v>1.6914017054418577E-2</v>
      </c>
    </row>
    <row r="73" spans="8:14" x14ac:dyDescent="0.2">
      <c r="H73" s="51" t="s">
        <v>66</v>
      </c>
      <c r="J73" s="70">
        <f t="shared" si="17"/>
        <v>0.25664394215102138</v>
      </c>
      <c r="K73" s="70">
        <f t="shared" si="18"/>
        <v>0.2622475069119134</v>
      </c>
      <c r="L73" s="70">
        <f t="shared" si="19"/>
        <v>0.24797992394499035</v>
      </c>
      <c r="M73" s="70">
        <f t="shared" si="20"/>
        <v>0.16932241476253848</v>
      </c>
      <c r="N73" s="71">
        <f t="shared" si="21"/>
        <v>0.17095225336794778</v>
      </c>
    </row>
    <row r="74" spans="8:14" x14ac:dyDescent="0.2">
      <c r="H74" s="127" t="s">
        <v>67</v>
      </c>
      <c r="I74" s="128"/>
      <c r="J74" s="128"/>
      <c r="K74" s="128"/>
      <c r="L74" s="128"/>
      <c r="M74" s="128"/>
      <c r="N74" s="71"/>
    </row>
    <row r="75" spans="8:14" x14ac:dyDescent="0.2">
      <c r="H75" s="16" t="s">
        <v>58</v>
      </c>
      <c r="J75" s="70">
        <f t="shared" si="17"/>
        <v>1.6576257050354857E-3</v>
      </c>
      <c r="K75" s="70">
        <f t="shared" ref="K75" si="22">C19/C$29</f>
        <v>6.154416104814495E-3</v>
      </c>
      <c r="L75" s="72" t="s">
        <v>24</v>
      </c>
      <c r="M75" s="72" t="s">
        <v>24</v>
      </c>
      <c r="N75" s="73" t="s">
        <v>24</v>
      </c>
    </row>
    <row r="76" spans="8:14" x14ac:dyDescent="0.2">
      <c r="H76" s="16" t="s">
        <v>68</v>
      </c>
      <c r="J76" s="70">
        <f t="shared" ref="J76:J85" si="23">B20/B$29</f>
        <v>0.49841054501851156</v>
      </c>
      <c r="K76" s="70">
        <f t="shared" ref="K76:K85" si="24">C20/C$29</f>
        <v>0.51505715356493065</v>
      </c>
      <c r="L76" s="70">
        <f t="shared" ref="L76:L85" si="25">D20/D$29</f>
        <v>0.52585479044076677</v>
      </c>
      <c r="M76" s="70">
        <f t="shared" ref="M76:M85" si="26">E20/E$29</f>
        <v>0.63241845989269796</v>
      </c>
      <c r="N76" s="71">
        <f t="shared" ref="N76:N85" si="27">F20/F$29</f>
        <v>0.68735578784879425</v>
      </c>
    </row>
    <row r="77" spans="8:14" x14ac:dyDescent="0.2">
      <c r="H77" s="16" t="s">
        <v>69</v>
      </c>
      <c r="J77" s="70">
        <f t="shared" si="23"/>
        <v>1.7094871229470079E-2</v>
      </c>
      <c r="K77" s="70">
        <f t="shared" si="24"/>
        <v>2.9378494587775073E-2</v>
      </c>
      <c r="L77" s="70">
        <f t="shared" si="25"/>
        <v>2.7527647403277396E-2</v>
      </c>
      <c r="M77" s="70">
        <f t="shared" si="26"/>
        <v>1.9979545973934382E-2</v>
      </c>
      <c r="N77" s="71">
        <f t="shared" si="27"/>
        <v>1.9025053361847059E-2</v>
      </c>
    </row>
    <row r="78" spans="8:14" x14ac:dyDescent="0.2">
      <c r="H78" s="16" t="s">
        <v>61</v>
      </c>
      <c r="J78" s="70">
        <f t="shared" si="23"/>
        <v>1.7694883708848754E-3</v>
      </c>
      <c r="K78" s="70">
        <f t="shared" si="24"/>
        <v>2.7393678553329758E-3</v>
      </c>
      <c r="L78" s="70">
        <f t="shared" si="25"/>
        <v>3.5586928566884554E-3</v>
      </c>
      <c r="M78" s="70">
        <f t="shared" si="26"/>
        <v>2.2252053802083527E-4</v>
      </c>
      <c r="N78" s="73" t="s">
        <v>24</v>
      </c>
    </row>
    <row r="79" spans="8:14" x14ac:dyDescent="0.2">
      <c r="H79" s="16" t="s">
        <v>64</v>
      </c>
      <c r="J79" s="70">
        <f t="shared" si="23"/>
        <v>0.20573396392781951</v>
      </c>
      <c r="K79" s="70">
        <f t="shared" si="24"/>
        <v>0.16025744101844508</v>
      </c>
      <c r="L79" s="70">
        <f t="shared" si="25"/>
        <v>0.15381446295625437</v>
      </c>
      <c r="M79" s="70">
        <f t="shared" si="26"/>
        <v>0.11513927768617377</v>
      </c>
      <c r="N79" s="71">
        <f t="shared" si="27"/>
        <v>5.790838826701563E-2</v>
      </c>
    </row>
    <row r="80" spans="8:14" x14ac:dyDescent="0.2">
      <c r="H80" s="16" t="s">
        <v>70</v>
      </c>
      <c r="J80" s="70">
        <f t="shared" si="23"/>
        <v>1.1352126562357507E-2</v>
      </c>
      <c r="K80" s="70">
        <f t="shared" si="24"/>
        <v>1.3222492341506438E-2</v>
      </c>
      <c r="L80" s="70">
        <f t="shared" si="25"/>
        <v>8.0843942074732347E-3</v>
      </c>
      <c r="M80" s="70">
        <f t="shared" si="26"/>
        <v>7.4566858059216708E-3</v>
      </c>
      <c r="N80" s="71">
        <f t="shared" si="27"/>
        <v>3.3081440360397253E-3</v>
      </c>
    </row>
    <row r="81" spans="8:14" x14ac:dyDescent="0.2">
      <c r="H81" s="16" t="s">
        <v>71</v>
      </c>
      <c r="J81" s="70">
        <f t="shared" si="23"/>
        <v>8.8823812913220608E-4</v>
      </c>
      <c r="K81" s="72" t="s">
        <v>24</v>
      </c>
      <c r="L81" s="70">
        <f t="shared" si="25"/>
        <v>1.34540397170604E-2</v>
      </c>
      <c r="M81" s="70">
        <f t="shared" si="26"/>
        <v>1.3336785081847642E-2</v>
      </c>
      <c r="N81" s="71">
        <f t="shared" si="27"/>
        <v>8.0737718321974629E-6</v>
      </c>
    </row>
    <row r="82" spans="8:14" x14ac:dyDescent="0.2">
      <c r="H82" s="16" t="s">
        <v>72</v>
      </c>
      <c r="J82" s="70">
        <f t="shared" si="23"/>
        <v>5.0454523252442306E-3</v>
      </c>
      <c r="K82" s="70">
        <f t="shared" si="24"/>
        <v>7.0785967617095751E-3</v>
      </c>
      <c r="L82" s="70">
        <f t="shared" si="25"/>
        <v>3.3795800630149835E-3</v>
      </c>
      <c r="M82" s="70">
        <f t="shared" si="26"/>
        <v>2.2658238942240821E-3</v>
      </c>
      <c r="N82" s="71">
        <f t="shared" si="27"/>
        <v>1.3789964968414073E-2</v>
      </c>
    </row>
    <row r="83" spans="8:14" x14ac:dyDescent="0.2">
      <c r="H83" s="16" t="s">
        <v>73</v>
      </c>
      <c r="J83" s="70">
        <f t="shared" si="23"/>
        <v>1.4037465805231909E-3</v>
      </c>
      <c r="K83" s="70">
        <f t="shared" si="24"/>
        <v>3.8645308535723288E-3</v>
      </c>
      <c r="L83" s="70">
        <f t="shared" si="25"/>
        <v>1.6346468410474057E-2</v>
      </c>
      <c r="M83" s="70">
        <f t="shared" si="26"/>
        <v>3.9858486364641114E-2</v>
      </c>
      <c r="N83" s="71">
        <f t="shared" si="27"/>
        <v>4.7652334378109264E-2</v>
      </c>
    </row>
    <row r="84" spans="8:14" x14ac:dyDescent="0.2">
      <c r="H84" s="51" t="s">
        <v>74</v>
      </c>
      <c r="J84" s="70">
        <f t="shared" si="23"/>
        <v>0.74335605784897862</v>
      </c>
      <c r="K84" s="70">
        <f t="shared" si="24"/>
        <v>0.73775249308808655</v>
      </c>
      <c r="L84" s="70">
        <f t="shared" si="25"/>
        <v>0.75202007605500965</v>
      </c>
      <c r="M84" s="70">
        <f t="shared" si="26"/>
        <v>0.83067758523746149</v>
      </c>
      <c r="N84" s="71">
        <f t="shared" si="27"/>
        <v>0.82904774663205216</v>
      </c>
    </row>
    <row r="85" spans="8:14" x14ac:dyDescent="0.2">
      <c r="H85" s="54" t="s">
        <v>75</v>
      </c>
      <c r="I85" s="5"/>
      <c r="J85" s="70">
        <f t="shared" si="23"/>
        <v>1</v>
      </c>
      <c r="K85" s="70">
        <f t="shared" si="24"/>
        <v>1</v>
      </c>
      <c r="L85" s="70">
        <f t="shared" si="25"/>
        <v>1</v>
      </c>
      <c r="M85" s="70">
        <f t="shared" si="26"/>
        <v>1</v>
      </c>
      <c r="N85" s="71">
        <f t="shared" si="27"/>
        <v>1</v>
      </c>
    </row>
    <row r="86" spans="8:14" x14ac:dyDescent="0.2">
      <c r="H86" s="135" t="s">
        <v>76</v>
      </c>
      <c r="I86" s="136"/>
      <c r="J86" s="136"/>
      <c r="K86" s="136"/>
      <c r="L86" s="136"/>
      <c r="M86" s="136"/>
      <c r="N86" s="71"/>
    </row>
    <row r="87" spans="8:14" x14ac:dyDescent="0.2">
      <c r="H87" s="127" t="s">
        <v>77</v>
      </c>
      <c r="I87" s="128"/>
      <c r="J87" s="128"/>
      <c r="K87" s="128"/>
      <c r="L87" s="128"/>
      <c r="M87" s="128"/>
      <c r="N87" s="71"/>
    </row>
    <row r="88" spans="8:14" x14ac:dyDescent="0.2">
      <c r="H88" s="16" t="s">
        <v>78</v>
      </c>
      <c r="J88" s="70">
        <f t="shared" si="17"/>
        <v>9.794126955937911E-2</v>
      </c>
      <c r="K88" s="70">
        <f t="shared" ref="K88" si="28">C32/C$29</f>
        <v>9.593790304973375E-2</v>
      </c>
      <c r="L88" s="70">
        <f t="shared" ref="L88" si="29">D32/D$29</f>
        <v>0.1120665284129343</v>
      </c>
      <c r="M88" s="70">
        <f t="shared" ref="M88" si="30">E32/E$29</f>
        <v>0.15475933079899024</v>
      </c>
      <c r="N88" s="71">
        <f t="shared" ref="N88" si="31">F32/F$29</f>
        <v>0.79064631265055674</v>
      </c>
    </row>
    <row r="89" spans="8:14" x14ac:dyDescent="0.2">
      <c r="H89" s="16" t="s">
        <v>79</v>
      </c>
      <c r="J89" s="70">
        <f t="shared" ref="J89:J95" si="32">B33/B$29</f>
        <v>0.17229994384279596</v>
      </c>
      <c r="K89" s="70">
        <f t="shared" ref="K89:K95" si="33">C33/C$29</f>
        <v>0.18515473813171315</v>
      </c>
      <c r="L89" s="70">
        <f t="shared" ref="L89:L95" si="34">D33/D$29</f>
        <v>0.20271803892344653</v>
      </c>
      <c r="M89" s="70">
        <f t="shared" ref="M89:M95" si="35">E33/E$29</f>
        <v>0.16230972040747915</v>
      </c>
      <c r="N89" s="71">
        <f t="shared" ref="N89:N95" si="36">F33/F$29</f>
        <v>0.26845612302477628</v>
      </c>
    </row>
    <row r="90" spans="8:14" x14ac:dyDescent="0.2">
      <c r="H90" s="16" t="s">
        <v>80</v>
      </c>
      <c r="J90" s="70">
        <f t="shared" si="32"/>
        <v>2.6724716482351137E-2</v>
      </c>
      <c r="K90" s="70">
        <f t="shared" si="33"/>
        <v>2.2891388011358475E-2</v>
      </c>
      <c r="L90" s="70">
        <f t="shared" si="34"/>
        <v>2.5343333604436111E-2</v>
      </c>
      <c r="M90" s="70">
        <f t="shared" si="35"/>
        <v>1.8737403693300275E-2</v>
      </c>
      <c r="N90" s="71">
        <f t="shared" si="36"/>
        <v>6.0133552128817892E-3</v>
      </c>
    </row>
    <row r="91" spans="8:14" x14ac:dyDescent="0.2">
      <c r="H91" s="16" t="s">
        <v>81</v>
      </c>
      <c r="J91" s="70">
        <f t="shared" si="32"/>
        <v>1.7089845597334494E-2</v>
      </c>
      <c r="K91" s="70">
        <f t="shared" si="33"/>
        <v>1.590224822319191E-2</v>
      </c>
      <c r="L91" s="70">
        <f t="shared" si="34"/>
        <v>6.7958006822515854E-3</v>
      </c>
      <c r="M91" s="70">
        <f t="shared" si="35"/>
        <v>1.7647437259422319E-2</v>
      </c>
      <c r="N91" s="71">
        <f t="shared" si="36"/>
        <v>4.0198986504024828E-2</v>
      </c>
    </row>
    <row r="92" spans="8:14" x14ac:dyDescent="0.2">
      <c r="H92" s="16" t="s">
        <v>82</v>
      </c>
      <c r="J92" s="70">
        <f t="shared" si="32"/>
        <v>9.8385586261164032E-2</v>
      </c>
      <c r="K92" s="70">
        <f t="shared" si="33"/>
        <v>0.10964850093637224</v>
      </c>
      <c r="L92" s="70">
        <f t="shared" si="34"/>
        <v>7.881000695402067E-2</v>
      </c>
      <c r="M92" s="70">
        <f t="shared" si="35"/>
        <v>5.8174118974083276E-2</v>
      </c>
      <c r="N92" s="71">
        <f t="shared" si="36"/>
        <v>0.10565413705604627</v>
      </c>
    </row>
    <row r="93" spans="8:14" x14ac:dyDescent="0.2">
      <c r="H93" s="130" t="s">
        <v>83</v>
      </c>
      <c r="I93" s="137"/>
      <c r="J93" s="70">
        <f t="shared" si="32"/>
        <v>3.7055566833425421E-4</v>
      </c>
      <c r="K93" s="70">
        <f t="shared" si="33"/>
        <v>2.092036959995853E-3</v>
      </c>
      <c r="L93" s="70">
        <f t="shared" si="34"/>
        <v>1.2547664635410443E-3</v>
      </c>
      <c r="M93" s="70">
        <f t="shared" si="35"/>
        <v>1.0967592911706886E-3</v>
      </c>
      <c r="N93" s="71">
        <f t="shared" si="36"/>
        <v>9.7532158959057181E-4</v>
      </c>
    </row>
    <row r="94" spans="8:14" x14ac:dyDescent="0.2">
      <c r="H94" s="130"/>
      <c r="I94" s="137"/>
      <c r="J94" s="70">
        <f t="shared" si="32"/>
        <v>0</v>
      </c>
      <c r="K94" s="70">
        <f t="shared" si="33"/>
        <v>0</v>
      </c>
      <c r="L94" s="70">
        <f t="shared" si="34"/>
        <v>0</v>
      </c>
      <c r="M94" s="70">
        <f t="shared" si="35"/>
        <v>0</v>
      </c>
      <c r="N94" s="71">
        <f t="shared" si="36"/>
        <v>0</v>
      </c>
    </row>
    <row r="95" spans="8:14" x14ac:dyDescent="0.2">
      <c r="H95" s="37" t="s">
        <v>84</v>
      </c>
      <c r="J95" s="70">
        <f t="shared" si="32"/>
        <v>0.41281191741135898</v>
      </c>
      <c r="K95" s="70">
        <f t="shared" si="33"/>
        <v>0.43162681531236535</v>
      </c>
      <c r="L95" s="70">
        <f t="shared" si="34"/>
        <v>0.42698847504063026</v>
      </c>
      <c r="M95" s="70">
        <f t="shared" si="35"/>
        <v>0.41272477042444594</v>
      </c>
      <c r="N95" s="71">
        <f t="shared" si="36"/>
        <v>1.2119442360378765</v>
      </c>
    </row>
    <row r="96" spans="8:14" x14ac:dyDescent="0.2">
      <c r="H96" s="127" t="s">
        <v>85</v>
      </c>
      <c r="I96" s="128"/>
      <c r="J96" s="128"/>
      <c r="K96" s="128"/>
      <c r="L96" s="128"/>
      <c r="M96" s="128"/>
      <c r="N96" s="71"/>
    </row>
    <row r="97" spans="8:14" x14ac:dyDescent="0.2">
      <c r="H97" s="16" t="s">
        <v>86</v>
      </c>
      <c r="J97" s="70">
        <f t="shared" si="17"/>
        <v>0.33515376034454381</v>
      </c>
      <c r="K97" s="70">
        <f t="shared" ref="K97" si="37">C41/C$29</f>
        <v>0.35096602802831722</v>
      </c>
      <c r="L97" s="70">
        <f t="shared" ref="L97" si="38">D41/D$29</f>
        <v>0.36499050471643285</v>
      </c>
      <c r="M97" s="70">
        <f t="shared" ref="M97" si="39">E41/E$29</f>
        <v>0.47324006845893068</v>
      </c>
      <c r="N97" s="71">
        <f t="shared" ref="N97" si="40">F41/F$29</f>
        <v>0.11633047493197723</v>
      </c>
    </row>
    <row r="98" spans="8:14" x14ac:dyDescent="0.2">
      <c r="H98" s="18" t="s">
        <v>80</v>
      </c>
      <c r="J98" s="72" t="s">
        <v>24</v>
      </c>
      <c r="K98" s="72" t="s">
        <v>24</v>
      </c>
      <c r="L98" s="72" t="s">
        <v>24</v>
      </c>
      <c r="M98" s="72" t="s">
        <v>24</v>
      </c>
      <c r="N98" s="71">
        <f t="shared" ref="N98:N101" si="41">F42/F$29</f>
        <v>2.2518346775665821E-2</v>
      </c>
    </row>
    <row r="99" spans="8:14" x14ac:dyDescent="0.2">
      <c r="H99" s="18" t="s">
        <v>87</v>
      </c>
      <c r="J99" s="72" t="s">
        <v>24</v>
      </c>
      <c r="K99" s="72" t="s">
        <v>24</v>
      </c>
      <c r="L99" s="70">
        <f t="shared" ref="L99:L101" si="42">D43/D$29</f>
        <v>9.1915303602372364E-4</v>
      </c>
      <c r="M99" s="70">
        <f t="shared" ref="M99:M101" si="43">E43/E$29</f>
        <v>3.8810386112444898E-4</v>
      </c>
      <c r="N99" s="71">
        <f t="shared" si="41"/>
        <v>9.7320673410293914E-5</v>
      </c>
    </row>
    <row r="100" spans="8:14" x14ac:dyDescent="0.2">
      <c r="H100" s="18" t="s">
        <v>73</v>
      </c>
      <c r="J100" s="72" t="s">
        <v>24</v>
      </c>
      <c r="K100" s="72" t="s">
        <v>24</v>
      </c>
      <c r="L100" s="72" t="s">
        <v>24</v>
      </c>
      <c r="M100" s="70">
        <f t="shared" si="43"/>
        <v>3.6597162302679999E-3</v>
      </c>
      <c r="N100" s="71">
        <f t="shared" si="41"/>
        <v>6.4955920253676174E-4</v>
      </c>
    </row>
    <row r="101" spans="8:14" x14ac:dyDescent="0.2">
      <c r="H101" s="16" t="s">
        <v>88</v>
      </c>
      <c r="I101" s="5"/>
      <c r="J101" s="70">
        <f t="shared" ref="J101" si="44">B45/B$29</f>
        <v>4.6891674758028516E-2</v>
      </c>
      <c r="K101" s="70">
        <f t="shared" ref="K101" si="45">C45/C$29</f>
        <v>4.5106224336632458E-2</v>
      </c>
      <c r="L101" s="70">
        <f t="shared" si="42"/>
        <v>4.6347581303870282E-2</v>
      </c>
      <c r="M101" s="70">
        <f t="shared" si="43"/>
        <v>4.1505278956160831E-2</v>
      </c>
      <c r="N101" s="71">
        <f t="shared" si="41"/>
        <v>5.0969771337968178E-2</v>
      </c>
    </row>
    <row r="102" spans="8:14" x14ac:dyDescent="0.2">
      <c r="H102" s="16" t="s">
        <v>81</v>
      </c>
      <c r="J102" s="70">
        <f t="shared" ref="J102:J114" si="46">B46/B$29</f>
        <v>3.0341407001947857E-3</v>
      </c>
      <c r="K102" s="70">
        <f t="shared" ref="K102:K114" si="47">C46/C$29</f>
        <v>3.3422758662940365E-3</v>
      </c>
      <c r="L102" s="70">
        <f t="shared" ref="L102:L114" si="48">D46/D$29</f>
        <v>3.2508496623259481E-3</v>
      </c>
      <c r="M102" s="72" t="s">
        <v>24</v>
      </c>
      <c r="N102" s="73" t="s">
        <v>24</v>
      </c>
    </row>
    <row r="103" spans="8:14" x14ac:dyDescent="0.2">
      <c r="H103" s="16" t="s">
        <v>61</v>
      </c>
      <c r="J103" s="72" t="s">
        <v>24</v>
      </c>
      <c r="K103" s="72" t="s">
        <v>24</v>
      </c>
      <c r="L103" s="70">
        <f t="shared" si="48"/>
        <v>5.7012731531713842E-3</v>
      </c>
      <c r="M103" s="70">
        <f t="shared" ref="M103:M114" si="49">E47/E$29</f>
        <v>1.1280569355513604E-2</v>
      </c>
      <c r="N103" s="71">
        <f t="shared" ref="N103:N114" si="50">F47/F$29</f>
        <v>7.419696791178286E-3</v>
      </c>
    </row>
    <row r="104" spans="8:14" x14ac:dyDescent="0.2">
      <c r="H104" s="51" t="s">
        <v>89</v>
      </c>
      <c r="J104" s="70">
        <f t="shared" si="46"/>
        <v>0.38507957580276708</v>
      </c>
      <c r="K104" s="70">
        <f t="shared" si="47"/>
        <v>0.39941452823124368</v>
      </c>
      <c r="L104" s="70">
        <f t="shared" si="48"/>
        <v>0.42120936187182417</v>
      </c>
      <c r="M104" s="70">
        <f t="shared" si="49"/>
        <v>0.53007373686199755</v>
      </c>
      <c r="N104" s="71">
        <f t="shared" si="50"/>
        <v>0.19798516971273655</v>
      </c>
    </row>
    <row r="105" spans="8:14" x14ac:dyDescent="0.2">
      <c r="H105" s="56" t="s">
        <v>90</v>
      </c>
      <c r="J105" s="70">
        <f t="shared" si="46"/>
        <v>0.79789149321412611</v>
      </c>
      <c r="K105" s="70">
        <f t="shared" si="47"/>
        <v>0.83104134354360903</v>
      </c>
      <c r="L105" s="70">
        <f t="shared" si="48"/>
        <v>0.84819783691245443</v>
      </c>
      <c r="M105" s="70">
        <f t="shared" si="49"/>
        <v>0.94279850728644354</v>
      </c>
      <c r="N105" s="71">
        <f t="shared" si="50"/>
        <v>1.4099294057506131</v>
      </c>
    </row>
    <row r="106" spans="8:14" x14ac:dyDescent="0.2">
      <c r="H106" s="127" t="s">
        <v>91</v>
      </c>
      <c r="I106" s="128"/>
      <c r="J106" s="70">
        <f t="shared" si="46"/>
        <v>0</v>
      </c>
      <c r="K106" s="70">
        <f t="shared" si="47"/>
        <v>0</v>
      </c>
      <c r="L106" s="70">
        <f t="shared" si="48"/>
        <v>0</v>
      </c>
      <c r="M106" s="70">
        <f t="shared" si="49"/>
        <v>0</v>
      </c>
      <c r="N106" s="71">
        <f t="shared" si="50"/>
        <v>0</v>
      </c>
    </row>
    <row r="107" spans="8:14" x14ac:dyDescent="0.2">
      <c r="H107" s="16" t="s">
        <v>92</v>
      </c>
      <c r="J107" s="70">
        <f t="shared" si="46"/>
        <v>4.9111677169202589E-2</v>
      </c>
      <c r="K107" s="70">
        <f t="shared" si="47"/>
        <v>4.5886030619305337E-2</v>
      </c>
      <c r="L107" s="70">
        <f t="shared" si="48"/>
        <v>4.6026295857811823E-2</v>
      </c>
      <c r="M107" s="70">
        <f t="shared" si="49"/>
        <v>3.5053124055368284E-2</v>
      </c>
      <c r="N107" s="71">
        <f t="shared" si="50"/>
        <v>4.4096515883814962E-2</v>
      </c>
    </row>
    <row r="108" spans="8:14" x14ac:dyDescent="0.2">
      <c r="H108" s="16" t="s">
        <v>93</v>
      </c>
      <c r="J108" s="70">
        <f t="shared" si="46"/>
        <v>6.1328240692769276E-4</v>
      </c>
      <c r="K108" s="72" t="s">
        <v>24</v>
      </c>
      <c r="L108" s="72" t="s">
        <v>24</v>
      </c>
      <c r="M108" s="72" t="s">
        <v>24</v>
      </c>
      <c r="N108" s="73" t="s">
        <v>24</v>
      </c>
    </row>
    <row r="109" spans="8:14" x14ac:dyDescent="0.2">
      <c r="H109" s="16" t="s">
        <v>94</v>
      </c>
      <c r="J109" s="70">
        <f t="shared" si="46"/>
        <v>8.503143702304139E-2</v>
      </c>
      <c r="K109" s="70">
        <f t="shared" si="47"/>
        <v>7.4383362963978072E-2</v>
      </c>
      <c r="L109" s="70">
        <f t="shared" si="48"/>
        <v>5.734236628333151E-2</v>
      </c>
      <c r="M109" s="70">
        <f t="shared" si="49"/>
        <v>-2.5638976409089868E-3</v>
      </c>
      <c r="N109" s="71">
        <f t="shared" si="50"/>
        <v>-0.53230138835411034</v>
      </c>
    </row>
    <row r="110" spans="8:14" x14ac:dyDescent="0.2">
      <c r="H110" s="16" t="s">
        <v>95</v>
      </c>
      <c r="J110" s="70">
        <f t="shared" si="46"/>
        <v>6.7304267862804759E-2</v>
      </c>
      <c r="K110" s="70">
        <f t="shared" si="47"/>
        <v>4.8646075402670491E-2</v>
      </c>
      <c r="L110" s="70">
        <f t="shared" si="48"/>
        <v>4.8385632462891959E-2</v>
      </c>
      <c r="M110" s="70">
        <f t="shared" si="49"/>
        <v>2.4672251814665782E-2</v>
      </c>
      <c r="N110" s="71">
        <f t="shared" si="50"/>
        <v>7.8220654641573489E-2</v>
      </c>
    </row>
    <row r="111" spans="8:14" x14ac:dyDescent="0.2">
      <c r="H111" s="37" t="s">
        <v>96</v>
      </c>
      <c r="J111" s="70">
        <f t="shared" si="46"/>
        <v>0.20206066446197643</v>
      </c>
      <c r="K111" s="70">
        <f t="shared" si="47"/>
        <v>0.16891546898595391</v>
      </c>
      <c r="L111" s="70">
        <f t="shared" si="48"/>
        <v>0.15175429460403528</v>
      </c>
      <c r="M111" s="70">
        <f t="shared" si="49"/>
        <v>5.7161478229125075E-2</v>
      </c>
      <c r="N111" s="71">
        <f t="shared" si="50"/>
        <v>-0.40998421782872191</v>
      </c>
    </row>
    <row r="112" spans="8:14" x14ac:dyDescent="0.2">
      <c r="H112" s="37" t="s">
        <v>97</v>
      </c>
      <c r="J112" s="70">
        <f t="shared" si="46"/>
        <v>4.7842323897473716E-5</v>
      </c>
      <c r="K112" s="70">
        <f t="shared" si="47"/>
        <v>4.3187470437032101E-5</v>
      </c>
      <c r="L112" s="70">
        <f t="shared" si="48"/>
        <v>4.786848351029085E-5</v>
      </c>
      <c r="M112" s="70">
        <f t="shared" si="49"/>
        <v>4.0014484431389967E-5</v>
      </c>
      <c r="N112" s="71">
        <f t="shared" si="50"/>
        <v>5.4812078108878309E-5</v>
      </c>
    </row>
    <row r="113" spans="8:14" x14ac:dyDescent="0.2">
      <c r="H113" s="56" t="s">
        <v>98</v>
      </c>
      <c r="J113" s="70">
        <f t="shared" si="46"/>
        <v>0.20210850678587391</v>
      </c>
      <c r="K113" s="70">
        <f t="shared" si="47"/>
        <v>0.16895865645639094</v>
      </c>
      <c r="L113" s="70">
        <f t="shared" si="48"/>
        <v>0.15180216308754557</v>
      </c>
      <c r="M113" s="70">
        <f t="shared" si="49"/>
        <v>5.7201492713556464E-2</v>
      </c>
      <c r="N113" s="71">
        <f t="shared" si="50"/>
        <v>-0.40992940575061304</v>
      </c>
    </row>
    <row r="114" spans="8:14" x14ac:dyDescent="0.2">
      <c r="H114" s="57" t="s">
        <v>99</v>
      </c>
      <c r="I114" s="74"/>
      <c r="J114" s="75">
        <f t="shared" si="46"/>
        <v>1</v>
      </c>
      <c r="K114" s="75">
        <f t="shared" si="47"/>
        <v>1</v>
      </c>
      <c r="L114" s="75">
        <f t="shared" si="48"/>
        <v>1</v>
      </c>
      <c r="M114" s="75">
        <f t="shared" si="49"/>
        <v>1</v>
      </c>
      <c r="N114" s="76">
        <f t="shared" si="50"/>
        <v>1</v>
      </c>
    </row>
  </sheetData>
  <mergeCells count="27">
    <mergeCell ref="A40:F40"/>
    <mergeCell ref="A30:F30"/>
    <mergeCell ref="A37:A38"/>
    <mergeCell ref="A1:D1"/>
    <mergeCell ref="A2:C2"/>
    <mergeCell ref="A3:D3"/>
    <mergeCell ref="A4:B4"/>
    <mergeCell ref="A7:F7"/>
    <mergeCell ref="A8:F8"/>
    <mergeCell ref="A18:F18"/>
    <mergeCell ref="A31:F31"/>
    <mergeCell ref="I7:N7"/>
    <mergeCell ref="I8:N8"/>
    <mergeCell ref="I18:N18"/>
    <mergeCell ref="I30:N30"/>
    <mergeCell ref="I31:N31"/>
    <mergeCell ref="H63:N63"/>
    <mergeCell ref="H64:N64"/>
    <mergeCell ref="H74:M74"/>
    <mergeCell ref="I37:J38"/>
    <mergeCell ref="I40:N40"/>
    <mergeCell ref="I50:J50"/>
    <mergeCell ref="H106:I106"/>
    <mergeCell ref="H86:M86"/>
    <mergeCell ref="H87:M87"/>
    <mergeCell ref="H93:I94"/>
    <mergeCell ref="H96:M9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B596-EF65-426A-B2C9-05AF980C5D21}">
  <dimension ref="A1:N61"/>
  <sheetViews>
    <sheetView zoomScale="126" zoomScaleNormal="80" workbookViewId="0">
      <selection activeCell="L1" sqref="L1"/>
    </sheetView>
  </sheetViews>
  <sheetFormatPr baseColWidth="10" defaultColWidth="11.5" defaultRowHeight="15" x14ac:dyDescent="0.2"/>
  <sheetData>
    <row r="1" spans="1:14" x14ac:dyDescent="0.2">
      <c r="A1" s="111" t="s">
        <v>102</v>
      </c>
      <c r="B1" s="111" t="s">
        <v>103</v>
      </c>
      <c r="C1" s="111" t="s">
        <v>104</v>
      </c>
      <c r="D1" s="111" t="s">
        <v>105</v>
      </c>
      <c r="E1" s="111" t="s">
        <v>106</v>
      </c>
      <c r="F1" s="9" t="s">
        <v>107</v>
      </c>
      <c r="G1" s="111" t="s">
        <v>108</v>
      </c>
      <c r="I1" t="s">
        <v>109</v>
      </c>
      <c r="N1" s="9"/>
    </row>
    <row r="2" spans="1:14" x14ac:dyDescent="0.2">
      <c r="A2" s="112">
        <v>42370</v>
      </c>
      <c r="B2" s="113">
        <v>39.290000999999997</v>
      </c>
      <c r="C2" s="113">
        <v>39.990001999999997</v>
      </c>
      <c r="D2" s="113">
        <v>37.650002000000001</v>
      </c>
      <c r="E2" s="113">
        <v>39.57</v>
      </c>
      <c r="F2" s="10">
        <v>39.57</v>
      </c>
      <c r="G2" s="113">
        <v>4661309</v>
      </c>
      <c r="I2" t="s">
        <v>110</v>
      </c>
      <c r="J2" t="s">
        <v>111</v>
      </c>
      <c r="N2" s="10"/>
    </row>
    <row r="3" spans="1:14" x14ac:dyDescent="0.2">
      <c r="A3" s="112">
        <v>42401</v>
      </c>
      <c r="B3" s="113">
        <v>39.57</v>
      </c>
      <c r="C3" s="113">
        <v>41.049999</v>
      </c>
      <c r="D3" s="113">
        <v>38</v>
      </c>
      <c r="E3" s="113">
        <v>38.369999</v>
      </c>
      <c r="F3" s="10">
        <v>38.369999</v>
      </c>
      <c r="G3" s="113">
        <v>4856840</v>
      </c>
      <c r="I3">
        <v>2016</v>
      </c>
      <c r="J3">
        <f>AVERAGE(F2:F13)</f>
        <v>38.08583325</v>
      </c>
      <c r="N3" s="10"/>
    </row>
    <row r="4" spans="1:14" x14ac:dyDescent="0.2">
      <c r="A4" s="112">
        <v>42430</v>
      </c>
      <c r="B4" s="113">
        <v>38.599997999999999</v>
      </c>
      <c r="C4" s="113">
        <v>42.700001</v>
      </c>
      <c r="D4" s="113">
        <v>38.310001</v>
      </c>
      <c r="E4" s="113">
        <v>41.560001</v>
      </c>
      <c r="F4" s="10">
        <v>41.560001</v>
      </c>
      <c r="G4" s="113">
        <v>17447857</v>
      </c>
      <c r="I4">
        <v>2017</v>
      </c>
      <c r="J4">
        <f>AVERAGE(F14:F25)</f>
        <v>36.065833916666655</v>
      </c>
      <c r="N4" s="10"/>
    </row>
    <row r="5" spans="1:14" x14ac:dyDescent="0.2">
      <c r="A5" s="112">
        <v>42461</v>
      </c>
      <c r="B5" s="113">
        <v>41.5</v>
      </c>
      <c r="C5" s="113">
        <v>41.5</v>
      </c>
      <c r="D5" s="113">
        <v>39.200001</v>
      </c>
      <c r="E5" s="113">
        <v>39.240001999999997</v>
      </c>
      <c r="F5" s="10">
        <v>39.240001999999997</v>
      </c>
      <c r="G5" s="113">
        <v>4691557</v>
      </c>
      <c r="I5">
        <v>2018</v>
      </c>
      <c r="J5">
        <f>AVERAGE(F26:F37)</f>
        <v>26.051667083333331</v>
      </c>
      <c r="N5" s="10"/>
    </row>
    <row r="6" spans="1:14" x14ac:dyDescent="0.2">
      <c r="A6" s="112">
        <v>42491</v>
      </c>
      <c r="B6" s="113">
        <v>39.5</v>
      </c>
      <c r="C6" s="113">
        <v>40</v>
      </c>
      <c r="D6" s="113">
        <v>37.889999000000003</v>
      </c>
      <c r="E6" s="113">
        <v>38.090000000000003</v>
      </c>
      <c r="F6" s="10">
        <v>38.090000000000003</v>
      </c>
      <c r="G6" s="113">
        <v>7268996</v>
      </c>
      <c r="I6">
        <v>2019</v>
      </c>
      <c r="J6">
        <f>AVERAGE(F38:F49)</f>
        <v>17.643333250000001</v>
      </c>
      <c r="N6" s="10"/>
    </row>
    <row r="7" spans="1:14" x14ac:dyDescent="0.2">
      <c r="A7" s="112">
        <v>42522</v>
      </c>
      <c r="B7" s="113">
        <v>38.049999</v>
      </c>
      <c r="C7" s="113">
        <v>38.790000999999997</v>
      </c>
      <c r="D7" s="113">
        <v>35</v>
      </c>
      <c r="E7" s="113">
        <v>37.759998000000003</v>
      </c>
      <c r="F7" s="10">
        <v>37.759998000000003</v>
      </c>
      <c r="G7" s="113">
        <v>5480237</v>
      </c>
      <c r="I7">
        <v>2020</v>
      </c>
      <c r="J7">
        <f>AVERAGE(F50:F61)</f>
        <v>7.3599999999999994</v>
      </c>
      <c r="N7" s="10"/>
    </row>
    <row r="8" spans="1:14" x14ac:dyDescent="0.2">
      <c r="A8" s="112">
        <v>42552</v>
      </c>
      <c r="B8" s="113">
        <v>37.759998000000003</v>
      </c>
      <c r="C8" s="113">
        <v>37.970001000000003</v>
      </c>
      <c r="D8" s="113">
        <v>35.669998</v>
      </c>
      <c r="E8" s="113">
        <v>36.729999999999997</v>
      </c>
      <c r="F8" s="10">
        <v>36.729999999999997</v>
      </c>
      <c r="G8" s="113">
        <v>6954313</v>
      </c>
      <c r="N8" s="10"/>
    </row>
    <row r="9" spans="1:14" x14ac:dyDescent="0.2">
      <c r="A9" s="112">
        <v>42583</v>
      </c>
      <c r="B9" s="113">
        <v>36.389999000000003</v>
      </c>
      <c r="C9" s="113">
        <v>38.360000999999997</v>
      </c>
      <c r="D9" s="113">
        <v>35.82</v>
      </c>
      <c r="E9" s="113">
        <v>37.790000999999997</v>
      </c>
      <c r="F9" s="10">
        <v>37.790000999999997</v>
      </c>
      <c r="G9" s="113">
        <v>11127537</v>
      </c>
      <c r="N9" s="10"/>
    </row>
    <row r="10" spans="1:14" x14ac:dyDescent="0.2">
      <c r="A10" s="112">
        <v>42614</v>
      </c>
      <c r="B10" s="113">
        <v>37.299999</v>
      </c>
      <c r="C10" s="113">
        <v>38.029998999999997</v>
      </c>
      <c r="D10" s="113">
        <v>35.049999</v>
      </c>
      <c r="E10" s="113">
        <v>35.529998999999997</v>
      </c>
      <c r="F10" s="10">
        <v>35.529998999999997</v>
      </c>
      <c r="G10" s="113">
        <v>8292570</v>
      </c>
      <c r="N10" s="10"/>
    </row>
    <row r="11" spans="1:14" x14ac:dyDescent="0.2">
      <c r="A11" s="112">
        <v>42644</v>
      </c>
      <c r="B11" s="113">
        <v>35.119999</v>
      </c>
      <c r="C11" s="113">
        <v>39</v>
      </c>
      <c r="D11" s="113">
        <v>35.119999</v>
      </c>
      <c r="E11" s="113">
        <v>37.32</v>
      </c>
      <c r="F11" s="10">
        <v>37.32</v>
      </c>
      <c r="G11" s="113">
        <v>13265778</v>
      </c>
      <c r="N11" s="11"/>
    </row>
    <row r="12" spans="1:14" x14ac:dyDescent="0.2">
      <c r="A12" s="112">
        <v>42675</v>
      </c>
      <c r="B12" s="113">
        <v>37.599997999999999</v>
      </c>
      <c r="C12" s="113">
        <v>39.5</v>
      </c>
      <c r="D12" s="113">
        <v>33.369999</v>
      </c>
      <c r="E12" s="113">
        <v>35.970001000000003</v>
      </c>
      <c r="F12" s="10">
        <v>35.970001000000003</v>
      </c>
      <c r="G12" s="113">
        <v>15544445</v>
      </c>
      <c r="N12" s="11"/>
    </row>
    <row r="13" spans="1:14" x14ac:dyDescent="0.2">
      <c r="A13" s="112">
        <v>42705</v>
      </c>
      <c r="B13" s="113">
        <v>35.939999</v>
      </c>
      <c r="C13" s="113">
        <v>41</v>
      </c>
      <c r="D13" s="113">
        <v>34.919998</v>
      </c>
      <c r="E13" s="113">
        <v>39.099997999999999</v>
      </c>
      <c r="F13" s="10">
        <v>39.099997999999999</v>
      </c>
      <c r="G13" s="113">
        <v>10543923</v>
      </c>
      <c r="N13" s="11"/>
    </row>
    <row r="14" spans="1:14" x14ac:dyDescent="0.2">
      <c r="A14" s="112">
        <v>42736</v>
      </c>
      <c r="B14" s="113">
        <v>37.93</v>
      </c>
      <c r="C14" s="113">
        <v>39.599997999999999</v>
      </c>
      <c r="D14" s="113">
        <v>37.810001</v>
      </c>
      <c r="E14" s="113">
        <v>38.979999999999997</v>
      </c>
      <c r="F14" s="11">
        <v>38.979999999999997</v>
      </c>
      <c r="G14" s="113">
        <v>8877388</v>
      </c>
      <c r="N14" s="11"/>
    </row>
    <row r="15" spans="1:14" x14ac:dyDescent="0.2">
      <c r="A15" s="112">
        <v>42767</v>
      </c>
      <c r="B15" s="113">
        <v>39.009998000000003</v>
      </c>
      <c r="C15" s="113">
        <v>47.990001999999997</v>
      </c>
      <c r="D15" s="113">
        <v>38.119999</v>
      </c>
      <c r="E15" s="113">
        <v>44.689999</v>
      </c>
      <c r="F15" s="11">
        <v>44.689999</v>
      </c>
      <c r="G15" s="113">
        <v>11946603</v>
      </c>
      <c r="N15" s="11"/>
    </row>
    <row r="16" spans="1:14" x14ac:dyDescent="0.2">
      <c r="A16" s="112">
        <v>42795</v>
      </c>
      <c r="B16" s="113">
        <v>44.990001999999997</v>
      </c>
      <c r="C16" s="113">
        <v>46</v>
      </c>
      <c r="D16" s="113">
        <v>36.110000999999997</v>
      </c>
      <c r="E16" s="113">
        <v>38.630001</v>
      </c>
      <c r="F16" s="11">
        <v>38.630001</v>
      </c>
      <c r="G16" s="113">
        <v>23113727</v>
      </c>
      <c r="N16" s="11"/>
    </row>
    <row r="17" spans="1:14" x14ac:dyDescent="0.2">
      <c r="A17" s="112">
        <v>42826</v>
      </c>
      <c r="B17" s="113">
        <v>38.630001</v>
      </c>
      <c r="C17" s="113">
        <v>39.5</v>
      </c>
      <c r="D17" s="113">
        <v>35.970001000000003</v>
      </c>
      <c r="E17" s="113">
        <v>37.220001000000003</v>
      </c>
      <c r="F17" s="11">
        <v>37.220001000000003</v>
      </c>
      <c r="G17" s="113">
        <v>6884463</v>
      </c>
      <c r="N17" s="11"/>
    </row>
    <row r="18" spans="1:14" x14ac:dyDescent="0.2">
      <c r="A18" s="112">
        <v>42856</v>
      </c>
      <c r="B18" s="113">
        <v>37.220001000000003</v>
      </c>
      <c r="C18" s="113">
        <v>39.439999</v>
      </c>
      <c r="D18" s="113">
        <v>37</v>
      </c>
      <c r="E18" s="113">
        <v>38.150002000000001</v>
      </c>
      <c r="F18" s="11">
        <v>38.150002000000001</v>
      </c>
      <c r="G18" s="113">
        <v>9106637</v>
      </c>
      <c r="N18" s="11"/>
    </row>
    <row r="19" spans="1:14" x14ac:dyDescent="0.2">
      <c r="A19" s="112">
        <v>42887</v>
      </c>
      <c r="B19" s="113">
        <v>38.290000999999997</v>
      </c>
      <c r="C19" s="113">
        <v>38.639999000000003</v>
      </c>
      <c r="D19" s="113">
        <v>37.060001</v>
      </c>
      <c r="E19" s="113">
        <v>37.479999999999997</v>
      </c>
      <c r="F19" s="11">
        <v>37.479999999999997</v>
      </c>
      <c r="G19" s="113">
        <v>17037443</v>
      </c>
      <c r="N19" s="11"/>
    </row>
    <row r="20" spans="1:14" x14ac:dyDescent="0.2">
      <c r="A20" s="112">
        <v>42917</v>
      </c>
      <c r="B20" s="113">
        <v>37.479999999999997</v>
      </c>
      <c r="C20" s="113">
        <v>38.299999</v>
      </c>
      <c r="D20" s="113">
        <v>36</v>
      </c>
      <c r="E20" s="113">
        <v>37.130001</v>
      </c>
      <c r="F20" s="11">
        <v>37.130001</v>
      </c>
      <c r="G20" s="113">
        <v>8487162</v>
      </c>
      <c r="N20" s="11"/>
    </row>
    <row r="21" spans="1:14" x14ac:dyDescent="0.2">
      <c r="A21" s="112">
        <v>42948</v>
      </c>
      <c r="B21" s="113">
        <v>37.110000999999997</v>
      </c>
      <c r="C21" s="113">
        <v>37.110000999999997</v>
      </c>
      <c r="D21" s="113">
        <v>36</v>
      </c>
      <c r="E21" s="113">
        <v>36.130001</v>
      </c>
      <c r="F21" s="11">
        <v>36.130001</v>
      </c>
      <c r="G21" s="113">
        <v>5135375</v>
      </c>
      <c r="N21" s="11"/>
    </row>
    <row r="22" spans="1:14" x14ac:dyDescent="0.2">
      <c r="A22" s="112">
        <v>42979</v>
      </c>
      <c r="B22" s="113">
        <v>36.119999</v>
      </c>
      <c r="C22" s="113">
        <v>36.740001999999997</v>
      </c>
      <c r="D22" s="113">
        <v>32.900002000000001</v>
      </c>
      <c r="E22" s="113">
        <v>33.610000999999997</v>
      </c>
      <c r="F22" s="11">
        <v>33.610000999999997</v>
      </c>
      <c r="G22" s="113">
        <v>2703660</v>
      </c>
      <c r="N22" s="11"/>
    </row>
    <row r="23" spans="1:14" x14ac:dyDescent="0.2">
      <c r="A23" s="112">
        <v>43009</v>
      </c>
      <c r="B23" s="113">
        <v>33.590000000000003</v>
      </c>
      <c r="C23" s="113">
        <v>33.950001</v>
      </c>
      <c r="D23" s="113">
        <v>29.610001</v>
      </c>
      <c r="E23" s="113">
        <v>30.4</v>
      </c>
      <c r="F23" s="11">
        <v>30.4</v>
      </c>
      <c r="G23" s="113">
        <v>3054734</v>
      </c>
      <c r="N23" s="12"/>
    </row>
    <row r="24" spans="1:14" x14ac:dyDescent="0.2">
      <c r="A24" s="112">
        <v>43040</v>
      </c>
      <c r="B24" s="113">
        <v>30.75</v>
      </c>
      <c r="C24" s="113">
        <v>32.970001000000003</v>
      </c>
      <c r="D24" s="113">
        <v>29.5</v>
      </c>
      <c r="E24" s="113">
        <v>31.780000999999999</v>
      </c>
      <c r="F24" s="11">
        <v>31.780000999999999</v>
      </c>
      <c r="G24" s="113">
        <v>4863484</v>
      </c>
      <c r="N24" s="12"/>
    </row>
    <row r="25" spans="1:14" x14ac:dyDescent="0.2">
      <c r="A25" s="112">
        <v>43070</v>
      </c>
      <c r="B25" s="113">
        <v>31.040001</v>
      </c>
      <c r="C25" s="113">
        <v>31.969999000000001</v>
      </c>
      <c r="D25" s="113">
        <v>28.309999000000001</v>
      </c>
      <c r="E25" s="113">
        <v>28.59</v>
      </c>
      <c r="F25" s="11">
        <v>28.59</v>
      </c>
      <c r="G25" s="113">
        <v>5079177</v>
      </c>
      <c r="N25" s="12"/>
    </row>
    <row r="26" spans="1:14" x14ac:dyDescent="0.2">
      <c r="A26" s="112">
        <v>43101</v>
      </c>
      <c r="B26" s="113">
        <v>28.59</v>
      </c>
      <c r="C26" s="113">
        <v>29.98</v>
      </c>
      <c r="D26" s="113">
        <v>28.59</v>
      </c>
      <c r="E26" s="113">
        <v>29.530000999999999</v>
      </c>
      <c r="F26" s="12">
        <v>29.530000999999999</v>
      </c>
      <c r="G26" s="113">
        <v>5072639</v>
      </c>
      <c r="N26" s="12"/>
    </row>
    <row r="27" spans="1:14" x14ac:dyDescent="0.2">
      <c r="A27" s="112">
        <v>43132</v>
      </c>
      <c r="B27" s="113">
        <v>29.700001</v>
      </c>
      <c r="C27" s="113">
        <v>29.82</v>
      </c>
      <c r="D27" s="113">
        <v>26.25</v>
      </c>
      <c r="E27" s="113">
        <v>29.200001</v>
      </c>
      <c r="F27" s="12">
        <v>29.200001</v>
      </c>
      <c r="G27" s="113">
        <v>4200138</v>
      </c>
      <c r="N27" s="12"/>
    </row>
    <row r="28" spans="1:14" x14ac:dyDescent="0.2">
      <c r="A28" s="112">
        <v>43160</v>
      </c>
      <c r="B28" s="113">
        <v>29.5</v>
      </c>
      <c r="C28" s="113">
        <v>29.52</v>
      </c>
      <c r="D28" s="113">
        <v>27.51</v>
      </c>
      <c r="E28" s="113">
        <v>29</v>
      </c>
      <c r="F28" s="12">
        <v>29</v>
      </c>
      <c r="G28" s="113">
        <v>11218172</v>
      </c>
      <c r="N28" s="12"/>
    </row>
    <row r="29" spans="1:14" x14ac:dyDescent="0.2">
      <c r="A29" s="112">
        <v>43191</v>
      </c>
      <c r="B29" s="113">
        <v>29</v>
      </c>
      <c r="C29" s="113">
        <v>30.34</v>
      </c>
      <c r="D29" s="113">
        <v>25.440000999999999</v>
      </c>
      <c r="E29" s="113">
        <v>26.15</v>
      </c>
      <c r="F29" s="12">
        <v>26.15</v>
      </c>
      <c r="G29" s="113">
        <v>5633909</v>
      </c>
      <c r="N29" s="12"/>
    </row>
    <row r="30" spans="1:14" x14ac:dyDescent="0.2">
      <c r="A30" s="112">
        <v>43221</v>
      </c>
      <c r="B30" s="113">
        <v>26.15</v>
      </c>
      <c r="C30" s="113">
        <v>26.5</v>
      </c>
      <c r="D30" s="113">
        <v>23.52</v>
      </c>
      <c r="E30" s="113">
        <v>24.35</v>
      </c>
      <c r="F30" s="12">
        <v>24.35</v>
      </c>
      <c r="G30" s="113">
        <v>5184697</v>
      </c>
      <c r="N30" s="12"/>
    </row>
    <row r="31" spans="1:14" x14ac:dyDescent="0.2">
      <c r="A31" s="112">
        <v>43252</v>
      </c>
      <c r="B31" s="113">
        <v>25</v>
      </c>
      <c r="C31" s="113">
        <v>27.5</v>
      </c>
      <c r="D31" s="113">
        <v>22.799999</v>
      </c>
      <c r="E31" s="113">
        <v>26.99</v>
      </c>
      <c r="F31" s="12">
        <v>26.99</v>
      </c>
      <c r="G31" s="113">
        <v>7695766</v>
      </c>
      <c r="N31" s="12"/>
    </row>
    <row r="32" spans="1:14" x14ac:dyDescent="0.2">
      <c r="A32" s="112">
        <v>43282</v>
      </c>
      <c r="B32" s="113">
        <v>26.99</v>
      </c>
      <c r="C32" s="113">
        <v>29.99</v>
      </c>
      <c r="D32" s="113">
        <v>25.889999</v>
      </c>
      <c r="E32" s="113">
        <v>28.549999</v>
      </c>
      <c r="F32" s="12">
        <v>28.549999</v>
      </c>
      <c r="G32" s="113">
        <v>1995149</v>
      </c>
      <c r="N32" s="12"/>
    </row>
    <row r="33" spans="1:14" x14ac:dyDescent="0.2">
      <c r="A33" s="112">
        <v>43313</v>
      </c>
      <c r="B33" s="113">
        <v>27.559999000000001</v>
      </c>
      <c r="C33" s="113">
        <v>29.299999</v>
      </c>
      <c r="D33" s="113">
        <v>26.08</v>
      </c>
      <c r="E33" s="113">
        <v>26.860001</v>
      </c>
      <c r="F33" s="12">
        <v>26.860001</v>
      </c>
      <c r="G33" s="113">
        <v>3882045</v>
      </c>
      <c r="N33" s="12"/>
    </row>
    <row r="34" spans="1:14" x14ac:dyDescent="0.2">
      <c r="A34" s="112">
        <v>43344</v>
      </c>
      <c r="B34" s="113">
        <v>27</v>
      </c>
      <c r="C34" s="113">
        <v>27.540001</v>
      </c>
      <c r="D34" s="113">
        <v>25.190000999999999</v>
      </c>
      <c r="E34" s="113">
        <v>25.690000999999999</v>
      </c>
      <c r="F34" s="12">
        <v>25.690000999999999</v>
      </c>
      <c r="G34" s="113">
        <v>5436525</v>
      </c>
      <c r="N34" s="12"/>
    </row>
    <row r="35" spans="1:14" x14ac:dyDescent="0.2">
      <c r="A35" s="112">
        <v>43374</v>
      </c>
      <c r="B35" s="113">
        <v>25.629999000000002</v>
      </c>
      <c r="C35" s="113">
        <v>26.09</v>
      </c>
      <c r="D35" s="113">
        <v>21.700001</v>
      </c>
      <c r="E35" s="113">
        <v>22.41</v>
      </c>
      <c r="F35" s="12">
        <v>22.41</v>
      </c>
      <c r="G35" s="113">
        <v>3036759</v>
      </c>
      <c r="N35" s="13"/>
    </row>
    <row r="36" spans="1:14" x14ac:dyDescent="0.2">
      <c r="A36" s="112">
        <v>43405</v>
      </c>
      <c r="B36" s="113">
        <v>22.940000999999999</v>
      </c>
      <c r="C36" s="113">
        <v>25</v>
      </c>
      <c r="D36" s="113">
        <v>20.350000000000001</v>
      </c>
      <c r="E36" s="113">
        <v>21.690000999999999</v>
      </c>
      <c r="F36" s="12">
        <v>21.690000999999999</v>
      </c>
      <c r="G36" s="113">
        <v>6611223</v>
      </c>
      <c r="N36" s="13"/>
    </row>
    <row r="37" spans="1:14" x14ac:dyDescent="0.2">
      <c r="A37" s="112">
        <v>43435</v>
      </c>
      <c r="B37" s="113">
        <v>21.879999000000002</v>
      </c>
      <c r="C37" s="113">
        <v>23.51</v>
      </c>
      <c r="D37" s="113">
        <v>20.219999000000001</v>
      </c>
      <c r="E37" s="113">
        <v>22.200001</v>
      </c>
      <c r="F37" s="12">
        <v>22.200001</v>
      </c>
      <c r="G37" s="113">
        <v>4262775</v>
      </c>
      <c r="N37" s="13"/>
    </row>
    <row r="38" spans="1:14" x14ac:dyDescent="0.2">
      <c r="A38" s="112">
        <v>43466</v>
      </c>
      <c r="B38" s="113">
        <v>22.200001</v>
      </c>
      <c r="C38" s="113">
        <v>26.42</v>
      </c>
      <c r="D38" s="113">
        <v>22</v>
      </c>
      <c r="E38" s="113">
        <v>24.32</v>
      </c>
      <c r="F38" s="13">
        <v>24.32</v>
      </c>
      <c r="G38" s="113">
        <v>4201511</v>
      </c>
      <c r="N38" s="13"/>
    </row>
    <row r="39" spans="1:14" x14ac:dyDescent="0.2">
      <c r="A39" s="112">
        <v>43497</v>
      </c>
      <c r="B39" s="113">
        <v>24.32</v>
      </c>
      <c r="C39" s="113">
        <v>25.700001</v>
      </c>
      <c r="D39" s="113">
        <v>20.639999</v>
      </c>
      <c r="E39" s="113">
        <v>20.82</v>
      </c>
      <c r="F39" s="13">
        <v>20.82</v>
      </c>
      <c r="G39" s="113">
        <v>2568318</v>
      </c>
      <c r="N39" s="13"/>
    </row>
    <row r="40" spans="1:14" x14ac:dyDescent="0.2">
      <c r="A40" s="112">
        <v>43525</v>
      </c>
      <c r="B40" s="113">
        <v>20.77</v>
      </c>
      <c r="C40" s="113">
        <v>21.879999000000002</v>
      </c>
      <c r="D40" s="113">
        <v>18.41</v>
      </c>
      <c r="E40" s="113">
        <v>20.48</v>
      </c>
      <c r="F40" s="13">
        <v>20.48</v>
      </c>
      <c r="G40" s="113">
        <v>2858006</v>
      </c>
      <c r="N40" s="13"/>
    </row>
    <row r="41" spans="1:14" x14ac:dyDescent="0.2">
      <c r="A41" s="112">
        <v>43556</v>
      </c>
      <c r="B41" s="113">
        <v>20.5</v>
      </c>
      <c r="C41" s="113">
        <v>21.6</v>
      </c>
      <c r="D41" s="113">
        <v>19.010000000000002</v>
      </c>
      <c r="E41" s="113">
        <v>19.43</v>
      </c>
      <c r="F41" s="13">
        <v>19.43</v>
      </c>
      <c r="G41" s="113">
        <v>1759322</v>
      </c>
      <c r="N41" s="13"/>
    </row>
    <row r="42" spans="1:14" x14ac:dyDescent="0.2">
      <c r="A42" s="112">
        <v>43586</v>
      </c>
      <c r="B42" s="113">
        <v>19.43</v>
      </c>
      <c r="C42" s="113">
        <v>20</v>
      </c>
      <c r="D42" s="113">
        <v>17.5</v>
      </c>
      <c r="E42" s="113">
        <v>17.889999</v>
      </c>
      <c r="F42" s="13">
        <v>17.889999</v>
      </c>
      <c r="G42" s="113">
        <v>3498042</v>
      </c>
      <c r="N42" s="13"/>
    </row>
    <row r="43" spans="1:14" x14ac:dyDescent="0.2">
      <c r="A43" s="112">
        <v>43617</v>
      </c>
      <c r="B43" s="113">
        <v>17.84</v>
      </c>
      <c r="C43" s="113">
        <v>19.399999999999999</v>
      </c>
      <c r="D43" s="113">
        <v>17.639999</v>
      </c>
      <c r="E43" s="113">
        <v>18.16</v>
      </c>
      <c r="F43" s="13">
        <v>18.16</v>
      </c>
      <c r="G43" s="113">
        <v>3269782</v>
      </c>
      <c r="N43" s="13"/>
    </row>
    <row r="44" spans="1:14" x14ac:dyDescent="0.2">
      <c r="A44" s="112">
        <v>43647</v>
      </c>
      <c r="B44" s="113">
        <v>18.43</v>
      </c>
      <c r="C44" s="113">
        <v>18.450001</v>
      </c>
      <c r="D44" s="113">
        <v>14.81</v>
      </c>
      <c r="E44" s="113">
        <v>15.08</v>
      </c>
      <c r="F44" s="13">
        <v>15.08</v>
      </c>
      <c r="G44" s="113">
        <v>5057488</v>
      </c>
      <c r="N44" s="13"/>
    </row>
    <row r="45" spans="1:14" x14ac:dyDescent="0.2">
      <c r="A45" s="112">
        <v>43678</v>
      </c>
      <c r="B45" s="113">
        <v>15.03</v>
      </c>
      <c r="C45" s="113">
        <v>15.95</v>
      </c>
      <c r="D45" s="113">
        <v>14.5</v>
      </c>
      <c r="E45" s="113">
        <v>15.26</v>
      </c>
      <c r="F45" s="13">
        <v>15.26</v>
      </c>
      <c r="G45" s="113">
        <v>7197766</v>
      </c>
      <c r="N45" s="13"/>
    </row>
    <row r="46" spans="1:14" x14ac:dyDescent="0.2">
      <c r="A46" s="112">
        <v>43709</v>
      </c>
      <c r="B46" s="113">
        <v>15.27</v>
      </c>
      <c r="C46" s="113">
        <v>16.709999</v>
      </c>
      <c r="D46" s="113">
        <v>12.65</v>
      </c>
      <c r="E46" s="113">
        <v>14.37</v>
      </c>
      <c r="F46" s="13">
        <v>14.37</v>
      </c>
      <c r="G46" s="113">
        <v>19929980</v>
      </c>
      <c r="N46" s="13"/>
    </row>
    <row r="47" spans="1:14" x14ac:dyDescent="0.2">
      <c r="A47" s="112">
        <v>43739</v>
      </c>
      <c r="B47" s="113">
        <v>14.28</v>
      </c>
      <c r="C47" s="113">
        <v>15.5</v>
      </c>
      <c r="D47" s="113">
        <v>13.7</v>
      </c>
      <c r="E47" s="113">
        <v>14.9</v>
      </c>
      <c r="F47" s="13">
        <v>14.9</v>
      </c>
      <c r="G47" s="113">
        <v>3760352</v>
      </c>
      <c r="N47" s="11"/>
    </row>
    <row r="48" spans="1:14" x14ac:dyDescent="0.2">
      <c r="A48" s="112">
        <v>43770</v>
      </c>
      <c r="B48" s="113">
        <v>15.4</v>
      </c>
      <c r="C48" s="113">
        <v>15.99</v>
      </c>
      <c r="D48" s="113">
        <v>14.1</v>
      </c>
      <c r="E48" s="113">
        <v>15.41</v>
      </c>
      <c r="F48" s="13">
        <v>15.41</v>
      </c>
      <c r="G48" s="113">
        <v>5688054</v>
      </c>
      <c r="N48" s="11"/>
    </row>
    <row r="49" spans="1:14" x14ac:dyDescent="0.2">
      <c r="A49" s="112">
        <v>43800</v>
      </c>
      <c r="B49" s="113">
        <v>15.3</v>
      </c>
      <c r="C49" s="113">
        <v>17.48</v>
      </c>
      <c r="D49" s="113">
        <v>15.16</v>
      </c>
      <c r="E49" s="113">
        <v>15.6</v>
      </c>
      <c r="F49" s="13">
        <v>15.6</v>
      </c>
      <c r="G49" s="113">
        <v>5220160</v>
      </c>
      <c r="N49" s="11"/>
    </row>
    <row r="50" spans="1:14" x14ac:dyDescent="0.2">
      <c r="A50" s="112">
        <v>43831</v>
      </c>
      <c r="B50" s="113">
        <v>15.6</v>
      </c>
      <c r="C50" s="113">
        <v>17</v>
      </c>
      <c r="D50" s="113">
        <v>14.01</v>
      </c>
      <c r="E50" s="113">
        <v>14.21</v>
      </c>
      <c r="F50" s="11">
        <v>14.21</v>
      </c>
      <c r="G50" s="113">
        <v>3507782</v>
      </c>
      <c r="N50" s="11"/>
    </row>
    <row r="51" spans="1:14" x14ac:dyDescent="0.2">
      <c r="A51" s="112">
        <v>43862</v>
      </c>
      <c r="B51" s="113">
        <v>14.21</v>
      </c>
      <c r="C51" s="113">
        <v>14.84</v>
      </c>
      <c r="D51" s="113">
        <v>9</v>
      </c>
      <c r="E51" s="113">
        <v>11.86</v>
      </c>
      <c r="F51" s="11">
        <v>11.86</v>
      </c>
      <c r="G51" s="113">
        <v>4021822</v>
      </c>
      <c r="N51" s="11"/>
    </row>
    <row r="52" spans="1:14" x14ac:dyDescent="0.2">
      <c r="A52" s="112">
        <v>43891</v>
      </c>
      <c r="B52" s="113">
        <v>11.5</v>
      </c>
      <c r="C52" s="113">
        <v>13.17</v>
      </c>
      <c r="D52" s="113">
        <v>8.01</v>
      </c>
      <c r="E52" s="113">
        <v>9.57</v>
      </c>
      <c r="F52" s="11">
        <v>9.57</v>
      </c>
      <c r="G52" s="113">
        <v>5112049</v>
      </c>
      <c r="N52" s="11"/>
    </row>
    <row r="53" spans="1:14" x14ac:dyDescent="0.2">
      <c r="A53" s="112">
        <v>43922</v>
      </c>
      <c r="B53" s="113">
        <v>9.5</v>
      </c>
      <c r="C53" s="113">
        <v>10.199999999999999</v>
      </c>
      <c r="D53" s="113">
        <v>6.84</v>
      </c>
      <c r="E53" s="113">
        <v>9.43</v>
      </c>
      <c r="F53" s="11">
        <v>9.43</v>
      </c>
      <c r="G53" s="113">
        <v>3971215</v>
      </c>
      <c r="N53" s="11"/>
    </row>
    <row r="54" spans="1:14" x14ac:dyDescent="0.2">
      <c r="A54" s="112">
        <v>43952</v>
      </c>
      <c r="B54" s="113">
        <v>9.43</v>
      </c>
      <c r="C54" s="113">
        <v>9.4700000000000006</v>
      </c>
      <c r="D54" s="113">
        <v>6.11</v>
      </c>
      <c r="E54" s="113">
        <v>6.34</v>
      </c>
      <c r="F54" s="11">
        <v>6.34</v>
      </c>
      <c r="G54" s="113">
        <v>18153485</v>
      </c>
      <c r="N54" s="11"/>
    </row>
    <row r="55" spans="1:14" x14ac:dyDescent="0.2">
      <c r="A55" s="112">
        <v>43983</v>
      </c>
      <c r="B55" s="113">
        <v>6.44</v>
      </c>
      <c r="C55" s="113">
        <v>8.27</v>
      </c>
      <c r="D55" s="113">
        <v>5.53</v>
      </c>
      <c r="E55" s="113">
        <v>5.83</v>
      </c>
      <c r="F55" s="11">
        <v>5.83</v>
      </c>
      <c r="G55" s="113">
        <v>24216379</v>
      </c>
      <c r="N55" s="11"/>
    </row>
    <row r="56" spans="1:14" x14ac:dyDescent="0.2">
      <c r="A56" s="112">
        <v>44013</v>
      </c>
      <c r="B56" s="113">
        <v>5.4</v>
      </c>
      <c r="C56" s="113">
        <v>5.4</v>
      </c>
      <c r="D56" s="113">
        <v>2</v>
      </c>
      <c r="E56" s="113">
        <v>4.88</v>
      </c>
      <c r="F56" s="11">
        <v>4.88</v>
      </c>
      <c r="G56" s="113">
        <v>28157476</v>
      </c>
      <c r="N56" s="11"/>
    </row>
    <row r="57" spans="1:14" x14ac:dyDescent="0.2">
      <c r="A57" s="112">
        <v>44044</v>
      </c>
      <c r="B57" s="113">
        <v>4.97</v>
      </c>
      <c r="C57" s="113">
        <v>6.4</v>
      </c>
      <c r="D57" s="113">
        <v>4.5999999999999996</v>
      </c>
      <c r="E57" s="113">
        <v>4.7699999999999996</v>
      </c>
      <c r="F57" s="11">
        <v>4.7699999999999996</v>
      </c>
      <c r="G57" s="113">
        <v>19181161</v>
      </c>
      <c r="N57" s="11"/>
    </row>
    <row r="58" spans="1:14" x14ac:dyDescent="0.2">
      <c r="A58" s="112">
        <v>44075</v>
      </c>
      <c r="B58" s="113">
        <v>4.7699999999999996</v>
      </c>
      <c r="C58" s="113">
        <v>4.92</v>
      </c>
      <c r="D58" s="113">
        <v>3.97</v>
      </c>
      <c r="E58" s="113">
        <v>4.38</v>
      </c>
      <c r="F58" s="11">
        <v>4.38</v>
      </c>
      <c r="G58" s="113">
        <v>15597870</v>
      </c>
      <c r="N58" s="11"/>
    </row>
    <row r="59" spans="1:14" x14ac:dyDescent="0.2">
      <c r="A59" s="112">
        <v>44105</v>
      </c>
      <c r="B59" s="113">
        <v>4.3600000000000003</v>
      </c>
      <c r="C59" s="113">
        <v>5.0599999999999996</v>
      </c>
      <c r="D59" s="113">
        <v>4.09</v>
      </c>
      <c r="E59" s="113">
        <v>4.24</v>
      </c>
      <c r="F59" s="11">
        <v>4.24</v>
      </c>
      <c r="G59" s="113">
        <v>6196577</v>
      </c>
    </row>
    <row r="60" spans="1:14" x14ac:dyDescent="0.2">
      <c r="A60" s="112">
        <v>44136</v>
      </c>
      <c r="B60" s="113">
        <v>4.24</v>
      </c>
      <c r="C60" s="113">
        <v>5.4</v>
      </c>
      <c r="D60" s="113">
        <v>4.21</v>
      </c>
      <c r="E60" s="113">
        <v>5.26</v>
      </c>
      <c r="F60" s="11">
        <v>5.26</v>
      </c>
      <c r="G60" s="113">
        <v>10119687</v>
      </c>
    </row>
    <row r="61" spans="1:14" x14ac:dyDescent="0.2">
      <c r="A61" s="112">
        <v>44166</v>
      </c>
      <c r="B61" s="113">
        <v>5.3</v>
      </c>
      <c r="C61" s="113">
        <v>9.8699999999999992</v>
      </c>
      <c r="D61" s="113">
        <v>5.26</v>
      </c>
      <c r="E61" s="113">
        <v>7.55</v>
      </c>
      <c r="F61" s="11">
        <v>7.55</v>
      </c>
      <c r="G61" s="113">
        <v>32353556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48FD-C8C3-A143-B022-B6FA4603B57D}">
  <dimension ref="A1:G6"/>
  <sheetViews>
    <sheetView zoomScale="130" zoomScaleNormal="130" workbookViewId="0">
      <selection activeCell="C5" sqref="C5:G5"/>
    </sheetView>
  </sheetViews>
  <sheetFormatPr baseColWidth="10" defaultColWidth="11.5" defaultRowHeight="15" x14ac:dyDescent="0.2"/>
  <cols>
    <col min="1" max="1" width="21.33203125" customWidth="1"/>
  </cols>
  <sheetData>
    <row r="1" spans="1:7" x14ac:dyDescent="0.2">
      <c r="A1" s="83"/>
      <c r="B1" s="83"/>
      <c r="C1" s="84">
        <v>2016</v>
      </c>
      <c r="D1" s="84">
        <v>2017</v>
      </c>
      <c r="E1" s="84">
        <v>2018</v>
      </c>
      <c r="F1" s="84">
        <v>2019</v>
      </c>
      <c r="G1" s="84">
        <v>2020</v>
      </c>
    </row>
    <row r="2" spans="1:7" x14ac:dyDescent="0.2">
      <c r="A2" s="139" t="s">
        <v>112</v>
      </c>
      <c r="B2" s="139"/>
      <c r="C2" s="43">
        <f>'Edo de resultados'!B37/'Edo de resultados'!B13</f>
        <v>2.0617275610230697E-2</v>
      </c>
      <c r="D2" s="43">
        <f>'Edo de resultados'!C37/'Edo de resultados'!C13</f>
        <v>2.9529353502990517E-4</v>
      </c>
      <c r="E2" s="43">
        <f>'Edo de resultados'!D37/'Edo de resultados'!D13</f>
        <v>-2.6735544967712851E-2</v>
      </c>
      <c r="F2" s="43">
        <f>'Edo de resultados'!E37/'Edo de resultados'!E13</f>
        <v>-3.4449144877593076E-2</v>
      </c>
      <c r="G2" s="43">
        <f>'Edo de resultados'!F37/'Edo de resultados'!F13</f>
        <v>-1.4910905863112982</v>
      </c>
    </row>
    <row r="3" spans="1:7" x14ac:dyDescent="0.2">
      <c r="A3" s="139" t="s">
        <v>113</v>
      </c>
      <c r="B3" s="139"/>
      <c r="C3" s="59" t="s">
        <v>24</v>
      </c>
      <c r="D3" s="59" t="s">
        <v>24</v>
      </c>
      <c r="E3" s="59" t="s">
        <v>24</v>
      </c>
      <c r="F3" s="59" t="s">
        <v>24</v>
      </c>
      <c r="G3" s="59" t="s">
        <v>24</v>
      </c>
    </row>
    <row r="4" spans="1:7" x14ac:dyDescent="0.2">
      <c r="A4" s="139" t="s">
        <v>114</v>
      </c>
      <c r="B4" s="139"/>
      <c r="C4" s="43">
        <f>'Edo de resultados'!B30/'Edo de resultados'!B13</f>
        <v>6.6184644154632655E-2</v>
      </c>
      <c r="D4" s="43">
        <f>'Edo de resultados'!C30/'Edo de resultados'!C13</f>
        <v>5.0585791294857192E-2</v>
      </c>
      <c r="E4" s="43">
        <f>'Edo de resultados'!D30/'Edo de resultados'!D13</f>
        <v>1.219116041245858E-4</v>
      </c>
      <c r="F4" s="43">
        <f>'Edo de resultados'!E30/'Edo de resultados'!E13</f>
        <v>4.034556145425524E-2</v>
      </c>
      <c r="G4" s="43">
        <f>'Edo de resultados'!F30/'Edo de resultados'!F13</f>
        <v>-1.2341316314504507</v>
      </c>
    </row>
    <row r="5" spans="1:7" x14ac:dyDescent="0.2">
      <c r="A5" s="139" t="s">
        <v>115</v>
      </c>
      <c r="B5" s="139"/>
      <c r="C5" s="43">
        <f>'Edo de resultados'!B37/'Balance General'!B29</f>
        <v>1.5694950340825384E-2</v>
      </c>
      <c r="D5" s="43">
        <f>'Edo de resultados'!C37/'Balance General'!C29</f>
        <v>2.3609410592722609E-4</v>
      </c>
      <c r="E5" s="43">
        <f>'Edo de resultados'!D37/'Balance General'!D29</f>
        <v>-2.4468896896001728E-2</v>
      </c>
      <c r="F5" s="43">
        <f>'Edo de resultados'!E37/'Balance General'!E29</f>
        <v>-2.3457439397191943E-2</v>
      </c>
      <c r="G5" s="43">
        <f>'Edo de resultados'!F37/'Balance General'!F29</f>
        <v>-0.52907572368208833</v>
      </c>
    </row>
    <row r="6" spans="1:7" x14ac:dyDescent="0.2">
      <c r="A6" s="139" t="s">
        <v>116</v>
      </c>
      <c r="B6" s="139"/>
      <c r="C6" s="43">
        <f>'Edo de resultados'!B37/'Balance General'!B57</f>
        <v>7.7656060056163656E-2</v>
      </c>
      <c r="D6" s="43">
        <f>'Edo de resultados'!C37/'Balance General'!C57</f>
        <v>1.3973483861607478E-3</v>
      </c>
      <c r="E6" s="43">
        <f>'Edo de resultados'!D37/'Balance General'!D57</f>
        <v>-0.16118938227441668</v>
      </c>
      <c r="F6" s="43">
        <f>'Edo de resultados'!E37/'Balance General'!E57</f>
        <v>-0.41008439263391194</v>
      </c>
      <c r="G6" s="43">
        <f>'Edo de resultados'!F37/'Balance General'!F57</f>
        <v>1.290650820019386</v>
      </c>
    </row>
  </sheetData>
  <mergeCells count="5"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038A-03BF-8F4A-B71C-36215672425A}">
  <dimension ref="A1:G10"/>
  <sheetViews>
    <sheetView zoomScale="150" workbookViewId="0">
      <selection activeCell="C10" sqref="C10"/>
    </sheetView>
  </sheetViews>
  <sheetFormatPr baseColWidth="10" defaultColWidth="11.5" defaultRowHeight="15" x14ac:dyDescent="0.2"/>
  <cols>
    <col min="2" max="2" width="12.83203125" customWidth="1"/>
    <col min="3" max="3" width="16.33203125" customWidth="1"/>
    <col min="4" max="6" width="14.6640625" customWidth="1"/>
  </cols>
  <sheetData>
    <row r="1" spans="1:7" x14ac:dyDescent="0.2">
      <c r="A1" s="83"/>
      <c r="B1" s="83"/>
      <c r="C1" s="84">
        <v>2016</v>
      </c>
      <c r="D1" s="84">
        <v>2017</v>
      </c>
      <c r="E1" s="84">
        <v>2018</v>
      </c>
      <c r="F1" s="84">
        <v>2019</v>
      </c>
      <c r="G1" s="84">
        <v>2020</v>
      </c>
    </row>
    <row r="2" spans="1:7" x14ac:dyDescent="0.2">
      <c r="A2" s="139" t="s">
        <v>117</v>
      </c>
      <c r="B2" s="139"/>
      <c r="C2" s="43">
        <f>'Edo de resultados'!B13/'Balance General'!B29</f>
        <v>0.76125239035157688</v>
      </c>
      <c r="D2" s="43">
        <f>'Edo de resultados'!C13/'Balance General'!C29</f>
        <v>0.79952345012672288</v>
      </c>
      <c r="E2" s="43">
        <f>'Edo de resultados'!D13/'Balance General'!D29</f>
        <v>0.91521967947732352</v>
      </c>
      <c r="F2" s="43">
        <f>'Edo de resultados'!E13/'Balance General'!E29</f>
        <v>0.68092951161900916</v>
      </c>
      <c r="G2" s="43">
        <f>'Edo de resultados'!F13/'Balance General'!F29</f>
        <v>0.35482466896322556</v>
      </c>
    </row>
    <row r="3" spans="1:7" x14ac:dyDescent="0.2">
      <c r="A3" s="144" t="s">
        <v>118</v>
      </c>
      <c r="B3" s="144"/>
      <c r="C3" s="59" t="s">
        <v>24</v>
      </c>
      <c r="D3" s="59" t="s">
        <v>24</v>
      </c>
      <c r="E3" s="59" t="s">
        <v>24</v>
      </c>
      <c r="F3" s="59" t="s">
        <v>24</v>
      </c>
      <c r="G3" s="59" t="s">
        <v>24</v>
      </c>
    </row>
    <row r="4" spans="1:7" x14ac:dyDescent="0.2">
      <c r="A4" s="144" t="s">
        <v>119</v>
      </c>
      <c r="B4" s="144"/>
      <c r="C4" s="59" t="s">
        <v>24</v>
      </c>
      <c r="D4" s="59" t="s">
        <v>24</v>
      </c>
      <c r="E4" s="59" t="s">
        <v>24</v>
      </c>
      <c r="F4" s="59" t="s">
        <v>24</v>
      </c>
      <c r="G4" s="59" t="s">
        <v>24</v>
      </c>
    </row>
    <row r="5" spans="1:7" x14ac:dyDescent="0.2">
      <c r="A5" s="145" t="s">
        <v>120</v>
      </c>
      <c r="B5" s="145"/>
      <c r="C5" s="43">
        <f>'Edo de resultados'!B13/365</f>
        <v>147738.98356164384</v>
      </c>
      <c r="D5" s="43">
        <f>'Edo de resultados'!C13/365</f>
        <v>168441.63561643835</v>
      </c>
      <c r="E5" s="43">
        <f>'Edo de resultados'!D13/365</f>
        <v>192504.17808219179</v>
      </c>
      <c r="F5" s="43">
        <f>'Edo de resultados'!E13/365</f>
        <v>188400.0082191781</v>
      </c>
      <c r="G5" s="43">
        <f>'Edo de resultados'!F13/365</f>
        <v>78142.835616438359</v>
      </c>
    </row>
    <row r="6" spans="1:7" x14ac:dyDescent="0.2">
      <c r="A6" s="145" t="s">
        <v>121</v>
      </c>
      <c r="B6" s="145"/>
      <c r="C6" s="43">
        <f>'Balance General'!B13/'Razones Operación '!C5</f>
        <v>34.606282490543435</v>
      </c>
      <c r="D6" s="43">
        <f>'Balance General'!C13/'Razones Operación '!D5</f>
        <v>34.677613872742263</v>
      </c>
      <c r="E6" s="43">
        <f>'Balance General'!D13/'Razones Operación '!E5</f>
        <v>35.066786951074889</v>
      </c>
      <c r="F6" s="43">
        <f>'Balance General'!E13/'Razones Operación '!F5</f>
        <v>31.581054885507886</v>
      </c>
      <c r="G6" s="43">
        <f>'Balance General'!F13/'Razones Operación '!G5</f>
        <v>46.781729523403492</v>
      </c>
    </row>
    <row r="7" spans="1:7" x14ac:dyDescent="0.2">
      <c r="A7" s="140" t="s">
        <v>122</v>
      </c>
      <c r="B7" s="140"/>
      <c r="C7" s="59" t="s">
        <v>24</v>
      </c>
      <c r="D7" s="59" t="s">
        <v>24</v>
      </c>
      <c r="E7" s="59" t="s">
        <v>24</v>
      </c>
      <c r="F7" s="59" t="s">
        <v>24</v>
      </c>
      <c r="G7" s="59" t="s">
        <v>24</v>
      </c>
    </row>
    <row r="8" spans="1:7" x14ac:dyDescent="0.2">
      <c r="A8" s="140" t="s">
        <v>123</v>
      </c>
      <c r="B8" s="140"/>
      <c r="C8" s="59" t="s">
        <v>24</v>
      </c>
      <c r="D8" s="59" t="s">
        <v>24</v>
      </c>
      <c r="E8" s="59" t="s">
        <v>24</v>
      </c>
      <c r="F8" s="59" t="s">
        <v>24</v>
      </c>
      <c r="G8" s="59" t="s">
        <v>24</v>
      </c>
    </row>
    <row r="9" spans="1:7" x14ac:dyDescent="0.2">
      <c r="A9" s="141"/>
      <c r="B9" s="141"/>
    </row>
    <row r="10" spans="1:7" x14ac:dyDescent="0.2">
      <c r="A10" s="142" t="s">
        <v>124</v>
      </c>
      <c r="B10" s="143"/>
      <c r="C10" s="43"/>
      <c r="D10" s="43"/>
      <c r="E10" s="43"/>
      <c r="F10" s="43"/>
      <c r="G10" s="43"/>
    </row>
  </sheetData>
  <mergeCells count="9">
    <mergeCell ref="A8:B8"/>
    <mergeCell ref="A9:B9"/>
    <mergeCell ref="A10:B10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2EFB-6885-4C25-85B2-626924251214}">
  <dimension ref="A1:G6"/>
  <sheetViews>
    <sheetView zoomScale="132" workbookViewId="0">
      <selection activeCell="G23" sqref="G23"/>
    </sheetView>
  </sheetViews>
  <sheetFormatPr baseColWidth="10" defaultColWidth="11.5" defaultRowHeight="15" x14ac:dyDescent="0.2"/>
  <cols>
    <col min="3" max="3" width="16.83203125" customWidth="1"/>
    <col min="4" max="4" width="16.6640625" customWidth="1"/>
    <col min="5" max="5" width="19.1640625" customWidth="1"/>
    <col min="6" max="6" width="19" customWidth="1"/>
    <col min="7" max="7" width="20.83203125" customWidth="1"/>
  </cols>
  <sheetData>
    <row r="1" spans="1:7" x14ac:dyDescent="0.2">
      <c r="A1" s="83"/>
      <c r="B1" s="83"/>
      <c r="C1" s="84">
        <v>2016</v>
      </c>
      <c r="D1" s="84">
        <v>2017</v>
      </c>
      <c r="E1" s="84">
        <v>2018</v>
      </c>
      <c r="F1" s="84">
        <v>2019</v>
      </c>
      <c r="G1" s="84">
        <v>2020</v>
      </c>
    </row>
    <row r="2" spans="1:7" x14ac:dyDescent="0.2">
      <c r="A2" s="139" t="s">
        <v>125</v>
      </c>
      <c r="B2" s="139"/>
      <c r="C2" s="86">
        <f>'Balance General'!B17/'Balance General'!B39</f>
        <v>0.62169702793555914</v>
      </c>
      <c r="D2" s="86">
        <f>'Balance General'!C17/'Balance General'!C39</f>
        <v>0.60757927359570252</v>
      </c>
      <c r="E2" s="86">
        <f>'Balance General'!D17/'Balance General'!D39</f>
        <v>0.58076491156205967</v>
      </c>
      <c r="F2" s="86">
        <f>'Balance General'!E17/'Balance General'!E39</f>
        <v>0.41025503409550002</v>
      </c>
      <c r="G2" s="86">
        <f>'Balance General'!F17/'Balance General'!F39</f>
        <v>0.1410562039775278</v>
      </c>
    </row>
    <row r="3" spans="1:7" x14ac:dyDescent="0.2">
      <c r="A3" s="139" t="s">
        <v>126</v>
      </c>
      <c r="B3" s="139"/>
      <c r="C3" s="86">
        <f>('Balance General'!B17-'Balance General'!B16)/'Balance General'!B39</f>
        <v>0.57283770428454672</v>
      </c>
      <c r="D3" s="86">
        <f>('Balance General'!C17-'Balance General'!C16)/'Balance General'!C39</f>
        <v>0.56259856229432259</v>
      </c>
      <c r="E3" s="86">
        <f>('Balance General'!D17-'Balance General'!D16)/'Balance General'!D39</f>
        <v>0.53355240453476838</v>
      </c>
      <c r="F3" s="86">
        <f>('Balance General'!E17-'Balance General'!E16)/'Balance General'!E39</f>
        <v>0.37185403594833616</v>
      </c>
      <c r="G3" s="86">
        <f>('Balance General'!F17-'Balance General'!F16)/'Balance General'!F39</f>
        <v>0.12710010224324803</v>
      </c>
    </row>
    <row r="4" spans="1:7" x14ac:dyDescent="0.2">
      <c r="A4" s="139" t="s">
        <v>127</v>
      </c>
      <c r="B4" s="139"/>
      <c r="C4" s="86">
        <f>'Balance General'!B9/'Balance General'!B39</f>
        <v>0.30677590340021132</v>
      </c>
      <c r="D4" s="86">
        <f>'Balance General'!C9/'Balance General'!C39</f>
        <v>0.28152765673570296</v>
      </c>
      <c r="E4" s="86">
        <f>'Balance General'!D9/'Balance General'!D39</f>
        <v>0.23448339460487672</v>
      </c>
      <c r="F4" s="86">
        <f>'Balance General'!E9/'Balance General'!E39</f>
        <v>0.16734056011470325</v>
      </c>
      <c r="G4" s="86">
        <f>'Balance General'!F9/'Balance General'!F39</f>
        <v>7.577269016185835E-2</v>
      </c>
    </row>
    <row r="5" spans="1:7" x14ac:dyDescent="0.2">
      <c r="A5" s="145" t="s">
        <v>128</v>
      </c>
      <c r="B5" s="145"/>
      <c r="C5" s="85">
        <f>'Balance General'!B17-'Balance General'!B39</f>
        <v>-11062449</v>
      </c>
      <c r="D5" s="85">
        <f>'Balance General'!C17-'Balance General'!C39</f>
        <v>-13024812</v>
      </c>
      <c r="E5" s="85">
        <f>'Balance General'!D17-'Balance General'!D39</f>
        <v>-13742997</v>
      </c>
      <c r="F5" s="85">
        <f>'Balance General'!E17-'Balance General'!E39</f>
        <v>-24580822</v>
      </c>
      <c r="G5" s="85">
        <f>'Balance General'!F17-'Balance General'!F39</f>
        <v>-83678832</v>
      </c>
    </row>
    <row r="6" spans="1:7" x14ac:dyDescent="0.2">
      <c r="A6" s="145" t="s">
        <v>129</v>
      </c>
      <c r="B6" s="145"/>
      <c r="C6" s="86">
        <f>C5/'Balance General'!B29</f>
        <v>-0.15616797526033763</v>
      </c>
      <c r="D6" s="86">
        <f>D5/'Balance General'!C29</f>
        <v>-0.16937930840045196</v>
      </c>
      <c r="E6" s="86">
        <f>E5/'Balance General'!D29</f>
        <v>-0.1790085510956399</v>
      </c>
      <c r="F6" s="86">
        <f>F5/'Balance General'!E29</f>
        <v>-0.24340235566190746</v>
      </c>
      <c r="G6" s="86">
        <f>G5/'Balance General'!F29</f>
        <v>-1.0409919826699288</v>
      </c>
    </row>
  </sheetData>
  <mergeCells count="5"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25F4-A7F6-4DAF-AF9F-ACDD6A583745}">
  <dimension ref="A1:G4"/>
  <sheetViews>
    <sheetView zoomScale="150" workbookViewId="0">
      <selection activeCell="H21" sqref="H21"/>
    </sheetView>
  </sheetViews>
  <sheetFormatPr baseColWidth="10" defaultColWidth="11.5" defaultRowHeight="15" x14ac:dyDescent="0.2"/>
  <cols>
    <col min="2" max="2" width="14.83203125" customWidth="1"/>
  </cols>
  <sheetData>
    <row r="1" spans="1:7" x14ac:dyDescent="0.2">
      <c r="A1" s="83"/>
      <c r="B1" s="83"/>
      <c r="C1" s="84">
        <v>2016</v>
      </c>
      <c r="D1" s="84">
        <v>2017</v>
      </c>
      <c r="E1" s="84">
        <v>2018</v>
      </c>
      <c r="F1" s="84">
        <v>2019</v>
      </c>
      <c r="G1" s="84">
        <v>2020</v>
      </c>
    </row>
    <row r="2" spans="1:7" x14ac:dyDescent="0.2">
      <c r="A2" s="139" t="s">
        <v>130</v>
      </c>
      <c r="B2" s="139"/>
      <c r="C2" s="43">
        <f>'Balance General'!B29/'Balance General'!B49</f>
        <v>1.2533032480039676</v>
      </c>
      <c r="D2" s="43">
        <f>'Balance General'!C29/'Balance General'!C49</f>
        <v>1.2033095678921837</v>
      </c>
      <c r="E2" s="43">
        <f>'Balance General'!D29/'Balance General'!D49</f>
        <v>1.1789702313320254</v>
      </c>
      <c r="F2" s="43">
        <f>'Balance General'!E29/'Balance General'!E49</f>
        <v>1.0606720229948108</v>
      </c>
      <c r="G2" s="43">
        <f>'Balance General'!F29/'Balance General'!F49</f>
        <v>0.70925536833358238</v>
      </c>
    </row>
    <row r="3" spans="1:7" x14ac:dyDescent="0.2">
      <c r="A3" s="139" t="s">
        <v>131</v>
      </c>
      <c r="B3" s="139"/>
      <c r="C3" s="43">
        <f>'Edo de resultados'!B30/'Edo de resultados'!B33</f>
        <v>-1.514304686339818</v>
      </c>
      <c r="D3" s="43">
        <f>'Edo de resultados'!C30/'Edo de resultados'!C33</f>
        <v>-0.85350221109372437</v>
      </c>
      <c r="E3" s="43">
        <f>'Edo de resultados'!D30/'Edo de resultados'!D33</f>
        <v>-2.3481391833048018E-3</v>
      </c>
      <c r="F3" s="43">
        <f>'Edo de resultados'!E30/'Edo de resultados'!E33</f>
        <v>-0.43938270470929569</v>
      </c>
      <c r="G3" s="43">
        <f>'Edo de resultados'!F30/'Edo de resultados'!F33</f>
        <v>4.4384690691010276</v>
      </c>
    </row>
    <row r="4" spans="1:7" x14ac:dyDescent="0.2">
      <c r="A4" s="139" t="s">
        <v>132</v>
      </c>
      <c r="B4" s="139"/>
      <c r="C4" s="43">
        <f>'Balance General'!B29/'Balance General'!B57</f>
        <v>4.9478372578323038</v>
      </c>
      <c r="D4" s="43">
        <f>'Balance General'!C29/'Balance General'!C57</f>
        <v>5.9186076699071348</v>
      </c>
      <c r="E4" s="43">
        <f>'Balance General'!D29/'Balance General'!D57</f>
        <v>6.5875214137975862</v>
      </c>
      <c r="F4" s="43">
        <f>'Balance General'!E29/'Balance General'!E57</f>
        <v>17.482061263813925</v>
      </c>
      <c r="G4" s="43">
        <f>'Balance General'!F29/'Balance General'!F57</f>
        <v>-2.4394444164573197</v>
      </c>
    </row>
  </sheetData>
  <mergeCells count="3"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FF31-C235-4E51-9218-333DEDFA734F}">
  <dimension ref="A1:G5"/>
  <sheetViews>
    <sheetView zoomScale="115" zoomScaleNormal="115" workbookViewId="0">
      <selection activeCell="I17" sqref="I17"/>
    </sheetView>
  </sheetViews>
  <sheetFormatPr baseColWidth="10" defaultColWidth="11.5" defaultRowHeight="15" x14ac:dyDescent="0.2"/>
  <cols>
    <col min="3" max="4" width="11.6640625" bestFit="1" customWidth="1"/>
    <col min="5" max="6" width="12.33203125" bestFit="1" customWidth="1"/>
    <col min="7" max="7" width="13.5" bestFit="1" customWidth="1"/>
  </cols>
  <sheetData>
    <row r="1" spans="1:7" x14ac:dyDescent="0.2">
      <c r="A1" s="147"/>
      <c r="B1" s="148"/>
      <c r="C1" s="84">
        <v>2016</v>
      </c>
      <c r="D1" s="84">
        <v>2017</v>
      </c>
      <c r="E1" s="84">
        <v>2018</v>
      </c>
      <c r="F1" s="84">
        <v>2019</v>
      </c>
      <c r="G1" s="84">
        <v>2020</v>
      </c>
    </row>
    <row r="2" spans="1:7" x14ac:dyDescent="0.2">
      <c r="A2" s="139" t="s">
        <v>133</v>
      </c>
      <c r="B2" s="139"/>
      <c r="C2" s="86">
        <f>'Edo de resultados'!B37/'Balance General'!B61</f>
        <v>1.6298906350788718</v>
      </c>
      <c r="D2" s="86">
        <f>'Edo de resultados'!C37/'Balance General'!C61</f>
        <v>2.6615551515862312E-2</v>
      </c>
      <c r="E2" s="86">
        <f>'Edo de resultados'!D37/'Balance General'!D61</f>
        <v>-2.7539831701166948</v>
      </c>
      <c r="F2" s="86">
        <f>'Edo de resultados'!E37/'Balance General'!E61</f>
        <v>-3.472893332551457</v>
      </c>
      <c r="G2" s="86">
        <f>'Edo de resultados'!F37/'Balance General'!F61</f>
        <v>-62.348394710608105</v>
      </c>
    </row>
    <row r="3" spans="1:7" x14ac:dyDescent="0.2">
      <c r="A3" s="139" t="s">
        <v>134</v>
      </c>
      <c r="B3" s="139"/>
      <c r="C3" s="86">
        <f>'Balance General'!B62/'Razon de valvacion'!C2</f>
        <v>23.367109688409858</v>
      </c>
      <c r="D3" s="86">
        <f>'Balance General'!C62/'Razon de valvacion'!D2</f>
        <v>1355.0661873443491</v>
      </c>
      <c r="E3" s="86">
        <f>'Balance General'!D62/'Razon de valvacion'!E2</f>
        <v>-9.4596319127939488</v>
      </c>
      <c r="F3" s="86">
        <f>'Balance General'!E62/'Razon de valvacion'!F2</f>
        <v>-5.0802980571355008</v>
      </c>
      <c r="G3" s="86">
        <f>'Balance General'!F62/'Razon de valvacion'!G2</f>
        <v>-0.11804634320036073</v>
      </c>
    </row>
    <row r="4" spans="1:7" x14ac:dyDescent="0.2">
      <c r="A4" s="146" t="s">
        <v>135</v>
      </c>
      <c r="B4" s="146"/>
      <c r="C4" s="87">
        <f>('Balance General'!B61*'Balance General'!B62)/'Balance General'!B51</f>
        <v>7.4675850491661633</v>
      </c>
      <c r="D4" s="87">
        <f>('Balance General'!C61*'Balance General'!C62)/'Balance General'!C51</f>
        <v>6.9721249725767285</v>
      </c>
      <c r="E4" s="87">
        <f>('Balance General'!D61*'Balance General'!D62)/'Balance General'!D51</f>
        <v>5.0290112127065072</v>
      </c>
      <c r="F4" s="87">
        <f>('Balance General'!E61*'Balance General'!E62)/'Balance General'!E51</f>
        <v>3.3997193404699488</v>
      </c>
      <c r="G4" s="87">
        <f>('Balance General'!F61*'Balance General'!F62)/'Balance General'!F51</f>
        <v>1.4163353545053758</v>
      </c>
    </row>
    <row r="5" spans="1:7" x14ac:dyDescent="0.2">
      <c r="A5" s="142" t="s">
        <v>136</v>
      </c>
      <c r="B5" s="143"/>
      <c r="C5" s="88">
        <f>('Balance General'!B61*'Balance General'!B62)/'Edo de resultados'!B10</f>
        <v>0.54868593291626</v>
      </c>
      <c r="D5" s="88">
        <f>('Balance General'!C61*'Balance General'!C62)/'Edo de resultados'!C10</f>
        <v>0.47207163201718505</v>
      </c>
      <c r="E5" s="88">
        <f>('Balance General'!D61*'Balance General'!D62)/'Edo de resultados'!D10</f>
        <v>0.2753792411605625</v>
      </c>
      <c r="F5" s="88">
        <f>('Balance General'!E61*'Balance General'!E62)/'Edo de resultados'!E10</f>
        <v>0.18980064356736695</v>
      </c>
      <c r="G5" s="88">
        <f>('Balance General'!F61*'Balance General'!F62)/'Edo de resultados'!F10</f>
        <v>0.21849777176284987</v>
      </c>
    </row>
  </sheetData>
  <mergeCells count="5">
    <mergeCell ref="A2:B2"/>
    <mergeCell ref="A3:B3"/>
    <mergeCell ref="A4:B4"/>
    <mergeCell ref="A1:B1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E064-E962-654F-8BDE-142EB4C6C423}">
  <dimension ref="A1:M39"/>
  <sheetViews>
    <sheetView zoomScale="125" workbookViewId="0">
      <selection activeCell="I37" sqref="I37"/>
    </sheetView>
  </sheetViews>
  <sheetFormatPr baseColWidth="10" defaultColWidth="11.5" defaultRowHeight="15" x14ac:dyDescent="0.2"/>
  <cols>
    <col min="2" max="2" width="22.33203125" customWidth="1"/>
    <col min="3" max="5" width="12.6640625" bestFit="1" customWidth="1"/>
    <col min="6" max="6" width="14.5" customWidth="1"/>
    <col min="7" max="7" width="15.83203125" customWidth="1"/>
  </cols>
  <sheetData>
    <row r="1" spans="1:13" x14ac:dyDescent="0.2">
      <c r="A1" s="89" t="s">
        <v>137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3" x14ac:dyDescent="0.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</row>
    <row r="3" spans="1:13" x14ac:dyDescent="0.2">
      <c r="A3" s="90" t="s">
        <v>5</v>
      </c>
      <c r="B3" s="89"/>
      <c r="C3" s="89"/>
      <c r="D3" s="89"/>
      <c r="E3" s="89"/>
      <c r="F3" s="89"/>
      <c r="G3" s="89"/>
      <c r="H3" s="89"/>
      <c r="I3" s="89"/>
      <c r="J3" s="89"/>
      <c r="K3" s="89"/>
    </row>
    <row r="4" spans="1:13" x14ac:dyDescent="0.2">
      <c r="A4" s="156"/>
      <c r="B4" s="157"/>
      <c r="C4" s="84">
        <v>2016</v>
      </c>
      <c r="D4" s="84">
        <v>2017</v>
      </c>
      <c r="E4" s="84">
        <v>2018</v>
      </c>
      <c r="F4" s="84">
        <v>2019</v>
      </c>
      <c r="G4" s="84">
        <v>2020</v>
      </c>
      <c r="H4" s="101"/>
      <c r="I4" s="101"/>
      <c r="J4" s="101"/>
      <c r="K4" s="101"/>
    </row>
    <row r="5" spans="1:13" x14ac:dyDescent="0.2">
      <c r="A5" s="158" t="s">
        <v>115</v>
      </c>
      <c r="B5" s="158"/>
      <c r="C5" s="91">
        <v>1.5694950340825384E-2</v>
      </c>
      <c r="D5" s="91">
        <v>2.3609410592722609E-4</v>
      </c>
      <c r="E5" s="91">
        <v>-2.4468896896001728E-2</v>
      </c>
      <c r="F5" s="91">
        <v>-2.3457439397191943E-2</v>
      </c>
      <c r="G5" s="91">
        <v>-0.52907572368208833</v>
      </c>
      <c r="H5" s="94"/>
      <c r="I5" s="94"/>
      <c r="J5" s="94"/>
      <c r="K5" s="94"/>
    </row>
    <row r="6" spans="1:13" ht="15" customHeight="1" x14ac:dyDescent="0.2">
      <c r="A6" s="158" t="s">
        <v>138</v>
      </c>
      <c r="B6" s="158"/>
      <c r="C6" s="109">
        <v>8769660</v>
      </c>
      <c r="D6" s="109">
        <v>6198732</v>
      </c>
      <c r="E6" s="109">
        <v>2226031</v>
      </c>
      <c r="F6" s="109">
        <v>15017556</v>
      </c>
      <c r="G6" s="109">
        <v>1519324</v>
      </c>
      <c r="H6" s="102"/>
      <c r="I6" s="149" t="s">
        <v>139</v>
      </c>
      <c r="J6" s="149"/>
      <c r="K6" s="149"/>
      <c r="L6" s="149"/>
      <c r="M6" s="149"/>
    </row>
    <row r="7" spans="1:13" x14ac:dyDescent="0.2">
      <c r="A7" s="154" t="s">
        <v>140</v>
      </c>
      <c r="B7" s="155"/>
      <c r="C7" s="92" t="s">
        <v>60</v>
      </c>
      <c r="D7" s="93">
        <f>D5-C5</f>
        <v>-1.5458856234898158E-2</v>
      </c>
      <c r="E7" s="93">
        <f>E5-D5</f>
        <v>-2.4704991001928953E-2</v>
      </c>
      <c r="F7" s="93">
        <f>F5-E5</f>
        <v>1.0114574988097855E-3</v>
      </c>
      <c r="G7" s="93">
        <f t="shared" ref="G7" si="0">G5-F5</f>
        <v>-0.50561828428489641</v>
      </c>
      <c r="H7" s="103"/>
      <c r="I7" s="149"/>
      <c r="J7" s="149"/>
      <c r="K7" s="149"/>
      <c r="L7" s="149"/>
      <c r="M7" s="149"/>
    </row>
    <row r="8" spans="1:13" x14ac:dyDescent="0.2">
      <c r="A8" s="154" t="s">
        <v>141</v>
      </c>
      <c r="B8" s="155"/>
      <c r="C8" s="110">
        <f>C6/'Balance General'!B29</f>
        <v>0.12380080088247841</v>
      </c>
      <c r="D8" s="110">
        <f>D6/'Balance General'!C29</f>
        <v>8.0610525443265552E-2</v>
      </c>
      <c r="E8" s="110">
        <f>E6/'Balance General'!D29</f>
        <v>2.8995028086230272E-2</v>
      </c>
      <c r="F8" s="110">
        <f>F6/'Balance General'!E29</f>
        <v>0.14870570669624525</v>
      </c>
      <c r="G8" s="110">
        <f>G6/'Balance General'!F29</f>
        <v>1.8900886464070229E-2</v>
      </c>
      <c r="H8" s="103"/>
      <c r="I8" s="108"/>
      <c r="J8" s="108"/>
      <c r="K8" s="108"/>
      <c r="L8" s="108"/>
      <c r="M8" s="108"/>
    </row>
    <row r="9" spans="1:13" x14ac:dyDescent="0.2">
      <c r="A9" s="94"/>
      <c r="B9" s="94"/>
      <c r="C9" s="94"/>
      <c r="D9" s="94"/>
      <c r="E9" s="94"/>
      <c r="F9" s="94"/>
      <c r="G9" s="94"/>
      <c r="H9" s="94"/>
      <c r="I9" s="94"/>
      <c r="J9" s="89"/>
      <c r="K9" s="89"/>
    </row>
    <row r="10" spans="1:13" x14ac:dyDescent="0.2">
      <c r="A10" s="156"/>
      <c r="B10" s="157"/>
      <c r="C10" s="84">
        <v>2016</v>
      </c>
      <c r="D10" s="84">
        <v>2017</v>
      </c>
      <c r="E10" s="84">
        <v>2018</v>
      </c>
      <c r="F10" s="84">
        <v>2019</v>
      </c>
      <c r="G10" s="84">
        <v>2020</v>
      </c>
      <c r="H10" s="101"/>
      <c r="I10" s="101"/>
      <c r="J10" s="101"/>
      <c r="K10" s="101"/>
    </row>
    <row r="11" spans="1:13" x14ac:dyDescent="0.2">
      <c r="A11" s="158" t="s">
        <v>142</v>
      </c>
      <c r="B11" s="158"/>
      <c r="C11" s="95">
        <f>IF(C5&gt;0,1,0)</f>
        <v>1</v>
      </c>
      <c r="D11" s="95">
        <f t="shared" ref="D11:G13" si="1">IF(D5&gt;0,1,0)</f>
        <v>1</v>
      </c>
      <c r="E11" s="95">
        <f t="shared" si="1"/>
        <v>0</v>
      </c>
      <c r="F11" s="95">
        <f t="shared" si="1"/>
        <v>0</v>
      </c>
      <c r="G11" s="95">
        <f t="shared" si="1"/>
        <v>0</v>
      </c>
      <c r="H11" s="89"/>
      <c r="I11" s="89"/>
      <c r="J11" s="89"/>
      <c r="K11" s="89"/>
    </row>
    <row r="12" spans="1:13" x14ac:dyDescent="0.2">
      <c r="A12" s="158" t="s">
        <v>143</v>
      </c>
      <c r="B12" s="158"/>
      <c r="C12" s="95">
        <f>IF(C6&gt;0,1,0)</f>
        <v>1</v>
      </c>
      <c r="D12" s="95">
        <f t="shared" si="1"/>
        <v>1</v>
      </c>
      <c r="E12" s="95">
        <f t="shared" si="1"/>
        <v>1</v>
      </c>
      <c r="F12" s="95">
        <f t="shared" si="1"/>
        <v>1</v>
      </c>
      <c r="G12" s="95">
        <f t="shared" si="1"/>
        <v>1</v>
      </c>
      <c r="H12" s="89"/>
      <c r="I12" s="89"/>
      <c r="J12" s="89"/>
      <c r="K12" s="89"/>
    </row>
    <row r="13" spans="1:13" x14ac:dyDescent="0.2">
      <c r="A13" s="158" t="s">
        <v>144</v>
      </c>
      <c r="B13" s="158"/>
      <c r="C13" s="96" t="s">
        <v>24</v>
      </c>
      <c r="D13" s="95">
        <f>IF(D7&gt;0,1,0)</f>
        <v>0</v>
      </c>
      <c r="E13" s="95">
        <f t="shared" si="1"/>
        <v>0</v>
      </c>
      <c r="F13" s="95">
        <f t="shared" si="1"/>
        <v>1</v>
      </c>
      <c r="G13" s="95">
        <f t="shared" si="1"/>
        <v>0</v>
      </c>
      <c r="H13" s="89"/>
      <c r="I13" s="89"/>
      <c r="J13" s="89"/>
      <c r="K13" s="89"/>
    </row>
    <row r="14" spans="1:13" x14ac:dyDescent="0.2">
      <c r="A14" s="158" t="s">
        <v>145</v>
      </c>
      <c r="B14" s="158"/>
      <c r="C14" s="95">
        <f>IF(C8&gt;C5,1,0)</f>
        <v>1</v>
      </c>
      <c r="D14" s="95">
        <f t="shared" ref="D14:G14" si="2">IF(D8&gt;D5,1,0)</f>
        <v>1</v>
      </c>
      <c r="E14" s="95">
        <f t="shared" si="2"/>
        <v>1</v>
      </c>
      <c r="F14" s="95">
        <f t="shared" si="2"/>
        <v>1</v>
      </c>
      <c r="G14" s="95">
        <f t="shared" si="2"/>
        <v>1</v>
      </c>
      <c r="H14" s="89"/>
      <c r="I14" s="89"/>
      <c r="J14" s="89"/>
      <c r="K14" s="89"/>
    </row>
    <row r="15" spans="1:13" x14ac:dyDescent="0.2">
      <c r="A15" s="159"/>
      <c r="B15" s="159"/>
      <c r="C15" s="94"/>
      <c r="D15" s="94"/>
      <c r="E15" s="94"/>
      <c r="F15" s="94"/>
      <c r="G15" s="94"/>
      <c r="H15" s="94"/>
      <c r="I15" s="94"/>
      <c r="J15" s="94"/>
      <c r="K15" s="94"/>
    </row>
    <row r="16" spans="1:13" x14ac:dyDescent="0.2">
      <c r="A16" s="159"/>
      <c r="B16" s="159"/>
      <c r="C16" s="94"/>
      <c r="D16" s="94"/>
      <c r="E16" s="94"/>
      <c r="F16" s="94"/>
      <c r="G16" s="94"/>
      <c r="H16" s="94"/>
      <c r="I16" s="94"/>
      <c r="J16" s="94"/>
      <c r="K16" s="94"/>
    </row>
    <row r="17" spans="1:11" x14ac:dyDescent="0.2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</row>
    <row r="18" spans="1:11" x14ac:dyDescent="0.2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</row>
    <row r="19" spans="1:11" x14ac:dyDescent="0.2">
      <c r="A19" s="97" t="s">
        <v>146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</row>
    <row r="20" spans="1:11" x14ac:dyDescent="0.2">
      <c r="A20" s="156"/>
      <c r="B20" s="157"/>
      <c r="C20" s="84">
        <v>2016</v>
      </c>
      <c r="D20" s="84">
        <v>2017</v>
      </c>
      <c r="E20" s="84">
        <v>2018</v>
      </c>
      <c r="F20" s="99">
        <v>2019</v>
      </c>
      <c r="G20" s="84">
        <v>2020</v>
      </c>
      <c r="H20" s="101"/>
      <c r="I20" s="101"/>
      <c r="J20" s="101"/>
      <c r="K20" s="101"/>
    </row>
    <row r="21" spans="1:11" x14ac:dyDescent="0.2">
      <c r="A21" s="154" t="s">
        <v>147</v>
      </c>
      <c r="B21" s="155"/>
      <c r="C21" s="91">
        <v>4.9478372578323038</v>
      </c>
      <c r="D21" s="91">
        <v>5.9186076699071348</v>
      </c>
      <c r="E21" s="91">
        <v>6.5875214137975862</v>
      </c>
      <c r="F21" s="100">
        <v>17.482061263813925</v>
      </c>
      <c r="G21" s="91">
        <v>-2.4394444164573197</v>
      </c>
      <c r="H21" s="94"/>
      <c r="I21" s="94"/>
      <c r="J21" s="94"/>
      <c r="K21" s="94"/>
    </row>
    <row r="22" spans="1:11" x14ac:dyDescent="0.2">
      <c r="A22" s="154" t="s">
        <v>125</v>
      </c>
      <c r="B22" s="155"/>
      <c r="C22" s="91">
        <v>0.62169702793555914</v>
      </c>
      <c r="D22" s="91">
        <v>0.60757927359570252</v>
      </c>
      <c r="E22" s="91">
        <v>0.58076491156205967</v>
      </c>
      <c r="F22" s="100">
        <v>0.41025503409550002</v>
      </c>
      <c r="G22" s="91">
        <v>0.1410562039775278</v>
      </c>
      <c r="H22" s="94"/>
      <c r="I22" s="94"/>
      <c r="J22" s="94"/>
      <c r="K22" s="94"/>
    </row>
    <row r="23" spans="1:11" x14ac:dyDescent="0.2">
      <c r="A23" s="154" t="s">
        <v>148</v>
      </c>
      <c r="B23" s="155"/>
      <c r="C23" s="44">
        <v>682120</v>
      </c>
      <c r="D23" s="44">
        <v>682120</v>
      </c>
      <c r="E23" s="44">
        <v>682120</v>
      </c>
      <c r="F23" s="44">
        <v>682120</v>
      </c>
      <c r="G23" s="44">
        <v>682120</v>
      </c>
      <c r="H23" s="105"/>
      <c r="I23" s="105"/>
      <c r="J23" s="105"/>
      <c r="K23" s="105"/>
    </row>
    <row r="24" spans="1:11" x14ac:dyDescent="0.2">
      <c r="A24" s="154" t="s">
        <v>130</v>
      </c>
      <c r="B24" s="155"/>
      <c r="C24" s="91">
        <v>1.2533032480039676</v>
      </c>
      <c r="D24" s="91">
        <v>1.2033095678921837</v>
      </c>
      <c r="E24" s="91">
        <v>1.1789702313320254</v>
      </c>
      <c r="F24" s="91">
        <v>1.0606720229948108</v>
      </c>
      <c r="G24" s="91">
        <v>0.70925536833358238</v>
      </c>
      <c r="H24" s="94"/>
      <c r="I24" s="94"/>
      <c r="J24" s="94"/>
      <c r="K24" s="94"/>
    </row>
    <row r="25" spans="1:11" x14ac:dyDescent="0.2">
      <c r="A25" s="89"/>
      <c r="B25" s="89"/>
      <c r="C25" s="94"/>
      <c r="D25" s="94"/>
      <c r="E25" s="94"/>
      <c r="F25" s="94"/>
      <c r="G25" s="94"/>
      <c r="H25" s="94"/>
      <c r="I25" s="94"/>
      <c r="J25" s="94"/>
      <c r="K25" s="94"/>
    </row>
    <row r="26" spans="1:11" x14ac:dyDescent="0.2">
      <c r="A26" s="94"/>
      <c r="B26" s="94"/>
      <c r="C26" s="94"/>
      <c r="D26" s="94"/>
      <c r="E26" s="94"/>
      <c r="F26" s="94"/>
      <c r="G26" s="94"/>
      <c r="H26" s="94"/>
      <c r="I26" s="94"/>
      <c r="J26" s="89"/>
      <c r="K26" s="89"/>
    </row>
    <row r="27" spans="1:11" x14ac:dyDescent="0.2">
      <c r="A27" s="156"/>
      <c r="B27" s="157"/>
      <c r="C27" s="84">
        <v>2016</v>
      </c>
      <c r="D27" s="84">
        <v>2017</v>
      </c>
      <c r="E27" s="84">
        <v>2018</v>
      </c>
      <c r="F27" s="99">
        <v>2019</v>
      </c>
      <c r="G27" s="84">
        <v>2020</v>
      </c>
      <c r="H27" s="106"/>
      <c r="I27" s="101"/>
      <c r="J27" s="101"/>
      <c r="K27" s="101"/>
    </row>
    <row r="28" spans="1:11" ht="15" customHeight="1" x14ac:dyDescent="0.2">
      <c r="A28" s="150" t="s">
        <v>149</v>
      </c>
      <c r="B28" s="151"/>
      <c r="C28" s="96" t="s">
        <v>24</v>
      </c>
      <c r="D28" s="95">
        <f>IF((D21/D24)&lt;(C21/C24),1,0)</f>
        <v>0</v>
      </c>
      <c r="E28" s="95">
        <f t="shared" ref="E28:G28" si="3">IF((E21/E24)&lt;(D21/D24),1,0)</f>
        <v>0</v>
      </c>
      <c r="F28" s="95">
        <f>IF((F21/F24)&lt;(E21/E24),1,0)</f>
        <v>0</v>
      </c>
      <c r="G28" s="95">
        <f t="shared" si="3"/>
        <v>1</v>
      </c>
      <c r="H28" s="107"/>
      <c r="I28" s="89"/>
      <c r="J28" s="89"/>
      <c r="K28" s="89"/>
    </row>
    <row r="29" spans="1:11" x14ac:dyDescent="0.2">
      <c r="A29" s="152"/>
      <c r="B29" s="153"/>
      <c r="C29" s="96" t="s">
        <v>24</v>
      </c>
      <c r="D29" s="95"/>
      <c r="E29" s="95"/>
      <c r="F29" s="95"/>
      <c r="G29" s="104"/>
      <c r="H29" s="107"/>
      <c r="I29" s="89"/>
      <c r="J29" s="89"/>
      <c r="K29" s="89"/>
    </row>
    <row r="30" spans="1:11" x14ac:dyDescent="0.2">
      <c r="A30" s="154" t="s">
        <v>150</v>
      </c>
      <c r="B30" s="155"/>
      <c r="C30" s="96" t="s">
        <v>24</v>
      </c>
      <c r="D30" s="95">
        <f>IF(D22&gt;C22,1,0)</f>
        <v>0</v>
      </c>
      <c r="E30" s="95">
        <f t="shared" ref="E30:G30" si="4">IF(E22&gt;D22,1,0)</f>
        <v>0</v>
      </c>
      <c r="F30" s="95">
        <f t="shared" si="4"/>
        <v>0</v>
      </c>
      <c r="G30" s="95">
        <f t="shared" si="4"/>
        <v>0</v>
      </c>
      <c r="H30" s="107"/>
      <c r="I30" s="89"/>
      <c r="J30" s="89"/>
      <c r="K30" s="89"/>
    </row>
    <row r="31" spans="1:11" x14ac:dyDescent="0.2">
      <c r="A31" s="154" t="s">
        <v>151</v>
      </c>
      <c r="B31" s="155"/>
      <c r="C31" s="96" t="s">
        <v>24</v>
      </c>
      <c r="D31" s="95">
        <f>IF(D23&lt;=C23,1,0)</f>
        <v>1</v>
      </c>
      <c r="E31" s="95">
        <f t="shared" ref="E31:G31" si="5">IF(E23&lt;=D23,1,0)</f>
        <v>1</v>
      </c>
      <c r="F31" s="95">
        <f t="shared" si="5"/>
        <v>1</v>
      </c>
      <c r="G31" s="95">
        <f t="shared" si="5"/>
        <v>1</v>
      </c>
      <c r="H31" s="89"/>
      <c r="I31" s="89"/>
      <c r="J31" s="89"/>
      <c r="K31" s="89"/>
    </row>
    <row r="32" spans="1:11" x14ac:dyDescent="0.2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</row>
    <row r="33" spans="1:11" x14ac:dyDescent="0.2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</row>
    <row r="34" spans="1:11" x14ac:dyDescent="0.2">
      <c r="A34" s="98" t="s">
        <v>152</v>
      </c>
      <c r="B34" s="94"/>
      <c r="C34" s="94"/>
      <c r="D34" s="94"/>
      <c r="E34" s="94"/>
      <c r="F34" s="94"/>
      <c r="G34" s="94"/>
      <c r="H34" s="94"/>
      <c r="I34" s="94"/>
      <c r="J34" s="89"/>
      <c r="K34" s="89"/>
    </row>
    <row r="35" spans="1:11" x14ac:dyDescent="0.2">
      <c r="A35" s="156"/>
      <c r="B35" s="157"/>
      <c r="C35" s="84">
        <v>2016</v>
      </c>
      <c r="D35" s="84">
        <v>2017</v>
      </c>
      <c r="E35" s="84">
        <v>2018</v>
      </c>
      <c r="F35" s="84">
        <v>2019</v>
      </c>
      <c r="G35" s="99">
        <v>2020</v>
      </c>
      <c r="H35" s="106"/>
      <c r="I35" s="101"/>
      <c r="J35" s="101"/>
      <c r="K35" s="101"/>
    </row>
    <row r="36" spans="1:11" x14ac:dyDescent="0.2">
      <c r="A36" s="154" t="s">
        <v>153</v>
      </c>
      <c r="B36" s="155"/>
      <c r="C36" s="96" t="s">
        <v>24</v>
      </c>
      <c r="D36" s="96" t="s">
        <v>24</v>
      </c>
      <c r="E36" s="96" t="s">
        <v>24</v>
      </c>
      <c r="F36" s="96" t="s">
        <v>24</v>
      </c>
      <c r="G36" s="96" t="s">
        <v>24</v>
      </c>
      <c r="H36" s="107"/>
      <c r="I36" s="89"/>
      <c r="J36" s="89"/>
      <c r="K36" s="89"/>
    </row>
    <row r="37" spans="1:11" x14ac:dyDescent="0.2">
      <c r="A37" s="154" t="s">
        <v>154</v>
      </c>
      <c r="B37" s="155"/>
      <c r="C37" s="96" t="s">
        <v>24</v>
      </c>
      <c r="D37" s="95">
        <f>IF('Razones Operación '!D2&gt;'Razones Operación '!C2,1,0)</f>
        <v>1</v>
      </c>
      <c r="E37" s="95">
        <f>IF('Razones Operación '!E2&gt;'Razones Operación '!D2,1,0)</f>
        <v>1</v>
      </c>
      <c r="F37" s="95">
        <f>IF('Razones Operación '!F2&gt;'Razones Operación '!E2,1,0)</f>
        <v>0</v>
      </c>
      <c r="G37" s="95">
        <f>IF('Razones Operación '!G2&gt;'Razones Operación '!F2,1,0)</f>
        <v>0</v>
      </c>
      <c r="H37" s="107"/>
      <c r="I37" s="89"/>
      <c r="J37" s="89"/>
      <c r="K37" s="89"/>
    </row>
    <row r="39" spans="1:11" x14ac:dyDescent="0.2">
      <c r="B39" t="s">
        <v>155</v>
      </c>
      <c r="D39" cm="1">
        <f t="array" ref="D39">SUM(D11:D14+D28,D30,D31,D36,D37)</f>
        <v>5</v>
      </c>
      <c r="E39" cm="1">
        <f t="array" ref="E39">SUM(E11:E14+E28,E30,E31,E36,E37)</f>
        <v>4</v>
      </c>
      <c r="F39" cm="1">
        <f t="array" ref="F39">SUM(F11:F14+F28,F30,F31,F36,F37)</f>
        <v>4</v>
      </c>
      <c r="G39" cm="1">
        <f t="array" ref="G39">SUM(G11:G14+G28,G30,G31,G36,G37)</f>
        <v>7</v>
      </c>
    </row>
  </sheetData>
  <mergeCells count="25">
    <mergeCell ref="A4:B4"/>
    <mergeCell ref="A5:B5"/>
    <mergeCell ref="A6:B6"/>
    <mergeCell ref="A7:B7"/>
    <mergeCell ref="A8:B8"/>
    <mergeCell ref="A36:B36"/>
    <mergeCell ref="A37:B37"/>
    <mergeCell ref="A10:B10"/>
    <mergeCell ref="A35:B35"/>
    <mergeCell ref="A21:B21"/>
    <mergeCell ref="A22:B22"/>
    <mergeCell ref="A23:B23"/>
    <mergeCell ref="A27:B27"/>
    <mergeCell ref="A12:B12"/>
    <mergeCell ref="A13:B13"/>
    <mergeCell ref="A14:B14"/>
    <mergeCell ref="A15:B15"/>
    <mergeCell ref="A16:B16"/>
    <mergeCell ref="A20:B20"/>
    <mergeCell ref="A11:B11"/>
    <mergeCell ref="I6:M7"/>
    <mergeCell ref="A28:B29"/>
    <mergeCell ref="A31:B31"/>
    <mergeCell ref="A24:B24"/>
    <mergeCell ref="A30:B3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ab379c8-4271-432c-880b-baec4e2f7e55" xsi:nil="true"/>
    <lcf76f155ced4ddcb4097134ff3c332f xmlns="5ab379c8-4271-432c-880b-baec4e2f7e55">
      <Terms xmlns="http://schemas.microsoft.com/office/infopath/2007/PartnerControls"/>
    </lcf76f155ced4ddcb4097134ff3c332f>
    <TaxCatchAll xmlns="932f5a87-4f50-4585-9b46-23d2cd3000e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47C981C90CB1468710542F297B47BD" ma:contentTypeVersion="15" ma:contentTypeDescription="Create a new document." ma:contentTypeScope="" ma:versionID="78e99490b1fe0a1409a0b6f2119a7f3f">
  <xsd:schema xmlns:xsd="http://www.w3.org/2001/XMLSchema" xmlns:xs="http://www.w3.org/2001/XMLSchema" xmlns:p="http://schemas.microsoft.com/office/2006/metadata/properties" xmlns:ns2="5ab379c8-4271-432c-880b-baec4e2f7e55" xmlns:ns3="932f5a87-4f50-4585-9b46-23d2cd3000e8" targetNamespace="http://schemas.microsoft.com/office/2006/metadata/properties" ma:root="true" ma:fieldsID="b105d16c4c462650f311d76c538d2f56" ns2:_="" ns3:_="">
    <xsd:import namespace="5ab379c8-4271-432c-880b-baec4e2f7e55"/>
    <xsd:import namespace="932f5a87-4f50-4585-9b46-23d2cd3000e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379c8-4271-432c-880b-baec4e2f7e5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9375edc-ecdf-4f5c-9a1f-fe3446fc79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f5a87-4f50-4585-9b46-23d2cd3000e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574466a-c18b-4fb6-8aa3-16417e6778f4}" ma:internalName="TaxCatchAll" ma:showField="CatchAllData" ma:web="932f5a87-4f50-4585-9b46-23d2cd3000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841986-45C7-4917-8350-9C56A67CBE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2D3A52-4407-43E1-92E2-9895422CA385}">
  <ds:schemaRefs>
    <ds:schemaRef ds:uri="http://schemas.microsoft.com/office/2006/metadata/properties"/>
    <ds:schemaRef ds:uri="http://schemas.microsoft.com/office/infopath/2007/PartnerControls"/>
    <ds:schemaRef ds:uri="5ab379c8-4271-432c-880b-baec4e2f7e55"/>
    <ds:schemaRef ds:uri="932f5a87-4f50-4585-9b46-23d2cd3000e8"/>
  </ds:schemaRefs>
</ds:datastoreItem>
</file>

<file path=customXml/itemProps3.xml><?xml version="1.0" encoding="utf-8"?>
<ds:datastoreItem xmlns:ds="http://schemas.openxmlformats.org/officeDocument/2006/customXml" ds:itemID="{D0F300DE-5CCE-495A-B12E-516A2CAD1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b379c8-4271-432c-880b-baec4e2f7e55"/>
    <ds:schemaRef ds:uri="932f5a87-4f50-4585-9b46-23d2cd3000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Analisis</vt:lpstr>
      <vt:lpstr>Edo de resultados</vt:lpstr>
      <vt:lpstr>Balance General</vt:lpstr>
      <vt:lpstr>precios por accion(promedio)</vt:lpstr>
      <vt:lpstr>Rentabilidad</vt:lpstr>
      <vt:lpstr>Razones Operación </vt:lpstr>
      <vt:lpstr>Liquidez</vt:lpstr>
      <vt:lpstr>Razones de endeudamiento</vt:lpstr>
      <vt:lpstr>Razon de valvacion</vt:lpstr>
      <vt:lpstr>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Saucedo Garcia</dc:creator>
  <cp:keywords/>
  <dc:description/>
  <cp:lastModifiedBy>Microsoft Office User</cp:lastModifiedBy>
  <cp:revision/>
  <dcterms:created xsi:type="dcterms:W3CDTF">2022-03-24T18:16:57Z</dcterms:created>
  <dcterms:modified xsi:type="dcterms:W3CDTF">2025-03-04T20:33:56Z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0x010100DD47C981C90CB1468710542F297B47BD</vt:lpwstr>
  </property>
  <property fmtid="{D5CDD505-2E9C-101B-9397-08002B2CF9AE}" pid="3" name="MediaServiceImageTags">
    <vt:lpwstr/>
  </property>
</Properties>
</file>