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i_caputi_uniandes_edu_co/Documents/"/>
    </mc:Choice>
  </mc:AlternateContent>
  <xr:revisionPtr revIDLastSave="0" documentId="8_{3B59E1DA-41DB-444F-B266-C29621A7F6AB}" xr6:coauthVersionLast="47" xr6:coauthVersionMax="47" xr10:uidLastSave="{00000000-0000-0000-0000-000000000000}"/>
  <bookViews>
    <workbookView xWindow="-93" yWindow="-93" windowWidth="21520" windowHeight="11466" firstSheet="2" xr2:uid="{00000000-000D-0000-FFFF-FFFF00000000}"/>
  </bookViews>
  <sheets>
    <sheet name="Escenario Concurrentes" sheetId="1" r:id="rId1"/>
    <sheet name="Escenario Iterativo" sheetId="3" r:id="rId2"/>
    <sheet name="Grafica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F30" i="1"/>
  <c r="F23" i="1"/>
  <c r="E23" i="1"/>
  <c r="D23" i="1"/>
  <c r="C23" i="1"/>
  <c r="B23" i="1"/>
  <c r="F16" i="1"/>
  <c r="E16" i="1"/>
  <c r="D16" i="1"/>
  <c r="C16" i="1"/>
  <c r="D9" i="1"/>
  <c r="B16" i="1"/>
  <c r="F9" i="1"/>
  <c r="B9" i="1"/>
  <c r="F9" i="3"/>
  <c r="E9" i="3"/>
  <c r="D9" i="3"/>
  <c r="C9" i="3"/>
  <c r="B9" i="3"/>
  <c r="B13" i="2"/>
  <c r="B27" i="2"/>
  <c r="C27" i="2"/>
  <c r="B20" i="2"/>
  <c r="B6" i="2"/>
  <c r="F8" i="3"/>
  <c r="E8" i="3"/>
  <c r="D8" i="3"/>
  <c r="C8" i="3"/>
  <c r="B8" i="3"/>
  <c r="F7" i="3"/>
  <c r="E7" i="3"/>
  <c r="D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B3" i="3"/>
  <c r="F3" i="3"/>
  <c r="E3" i="3"/>
  <c r="D3" i="3"/>
  <c r="E15" i="1"/>
  <c r="F20" i="1"/>
  <c r="C30" i="1"/>
  <c r="D30" i="1"/>
  <c r="E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1" i="1"/>
  <c r="E21" i="1"/>
  <c r="D21" i="1"/>
  <c r="C21" i="1"/>
  <c r="B21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B19" i="2"/>
  <c r="B18" i="2"/>
  <c r="B16" i="2"/>
  <c r="B12" i="2"/>
  <c r="B11" i="2"/>
  <c r="B9" i="2"/>
  <c r="B5" i="2"/>
  <c r="B4" i="2"/>
  <c r="B2" i="2"/>
  <c r="C25" i="2"/>
  <c r="C23" i="2"/>
  <c r="B23" i="2"/>
  <c r="F8" i="1"/>
  <c r="E8" i="1"/>
  <c r="D8" i="1"/>
  <c r="C8" i="1"/>
  <c r="B8" i="1"/>
  <c r="F7" i="1"/>
  <c r="D7" i="1"/>
  <c r="C7" i="1"/>
  <c r="B7" i="1"/>
  <c r="E7" i="1"/>
  <c r="F6" i="1"/>
  <c r="E6" i="1"/>
  <c r="D6" i="1"/>
  <c r="C6" i="1"/>
  <c r="B6" i="1"/>
  <c r="E9" i="1"/>
  <c r="C9" i="1"/>
  <c r="F5" i="1"/>
  <c r="E5" i="1"/>
  <c r="C5" i="1"/>
  <c r="B5" i="1"/>
  <c r="F4" i="1"/>
  <c r="E4" i="1"/>
  <c r="D4" i="1"/>
  <c r="C4" i="1"/>
  <c r="B4" i="1"/>
  <c r="C26" i="2"/>
  <c r="C24" i="2"/>
  <c r="F3" i="1"/>
  <c r="D3" i="1"/>
  <c r="C3" i="1"/>
  <c r="B3" i="1"/>
  <c r="E3" i="1"/>
  <c r="C7" i="3"/>
  <c r="C3" i="3"/>
  <c r="D5" i="1"/>
  <c r="B25" i="2" l="1"/>
  <c r="B10" i="2"/>
  <c r="B17" i="2"/>
  <c r="B26" i="2"/>
  <c r="B3" i="2"/>
  <c r="B24" i="2"/>
</calcChain>
</file>

<file path=xl/sharedStrings.xml><?xml version="1.0" encoding="utf-8"?>
<sst xmlns="http://schemas.openxmlformats.org/spreadsheetml/2006/main" count="44" uniqueCount="24">
  <si>
    <t>Escenario Servidor y Clientes Concurrentes</t>
  </si>
  <si>
    <t>Delegados</t>
  </si>
  <si>
    <t>Tiempo para firmar (ms)</t>
  </si>
  <si>
    <t>Tiempo para cifrar la tabla (ms)</t>
  </si>
  <si>
    <t>Tiempo para verificar consulta (ms)</t>
  </si>
  <si>
    <t>Tiempo cifrado simetrico (ms)</t>
  </si>
  <si>
    <t>Tiempo cifrado asimetrico (ms)</t>
  </si>
  <si>
    <t>Promedio (4 delegados)</t>
  </si>
  <si>
    <t>Promedio (16 delegados)</t>
  </si>
  <si>
    <t>Promedio (32 delegados)</t>
  </si>
  <si>
    <t>Promedio (64 delegados)</t>
  </si>
  <si>
    <t>Escenario Servidor y Cliente Iterativo</t>
  </si>
  <si>
    <t>Consultas</t>
  </si>
  <si>
    <t>Promedio (32 consultas)</t>
  </si>
  <si>
    <t>Promedio de tiempo para firmar total</t>
  </si>
  <si>
    <t>ii. Promedio 4 delegados</t>
  </si>
  <si>
    <t>ii. Promedio 16 delegados</t>
  </si>
  <si>
    <t>ii. Promedio 32 delegados</t>
  </si>
  <si>
    <t>ii. Promedio 64 delegados</t>
  </si>
  <si>
    <t>i. Promedio 32 consultas</t>
  </si>
  <si>
    <t>Promedio de tiempo para cifrar tabla total</t>
  </si>
  <si>
    <t>Promedio de tiempo para verificar consulta total</t>
  </si>
  <si>
    <t>Promedio de tiempo para cifrado simetrico</t>
  </si>
  <si>
    <t>Promedio de tiempo para cifrado asimetrico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</si>
</sst>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3" xfId="0" applyBorder="1" applyAlignment="1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tiempos para firmar en diferentes escenarios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Graficas!$B$1</c:f>
              <c:strCache>
                <c:ptCount val="1"/>
                <c:pt idx="0">
                  <c:v>Promedio de tiempo para firmar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Graficas!$A$2:$A$6</c:f>
              <c:strCache>
                <c:ptCount val="5"/>
                <c:pt idx="0">
                  <c:v>ii. Promedio 4 delegados</c:v>
                </c:pt>
                <c:pt idx="1">
                  <c:v>ii. Promedio 16 delegados</c:v>
                </c:pt>
                <c:pt idx="2">
                  <c:v>ii. Promedio 32 delegados</c:v>
                </c:pt>
                <c:pt idx="3">
                  <c:v>ii. Promedio 64 delegados</c:v>
                </c:pt>
                <c:pt idx="4">
                  <c:v>i. Promedio 32 consultas</c:v>
                </c:pt>
              </c:strCache>
            </c:strRef>
          </c:cat>
          <c:val>
            <c:numRef>
              <c:f>Graficas!$B$2:$B$6</c:f>
              <c:numCache>
                <c:formatCode>General</c:formatCode>
                <c:ptCount val="5"/>
                <c:pt idx="0">
                  <c:v>1.875</c:v>
                </c:pt>
                <c:pt idx="1">
                  <c:v>5.0729199999999999</c:v>
                </c:pt>
                <c:pt idx="2">
                  <c:v>26.10417</c:v>
                </c:pt>
                <c:pt idx="3">
                  <c:v>79.713539999999995</c:v>
                </c:pt>
                <c:pt idx="4">
                  <c:v>1.140625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5-47F9-88A6-40C2EEF7C3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2139599"/>
        <c:axId val="1302122799"/>
      </c:barChart>
      <c:catAx>
        <c:axId val="130213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2122799"/>
        <c:crosses val="autoZero"/>
        <c:auto val="1"/>
        <c:lblAlgn val="ctr"/>
        <c:lblOffset val="100"/>
        <c:noMultiLvlLbl val="0"/>
      </c:catAx>
      <c:valAx>
        <c:axId val="13021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(en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213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tiempos para cifrar la tabla en diferentes escenarios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Graficas!$B$8</c:f>
              <c:strCache>
                <c:ptCount val="1"/>
                <c:pt idx="0">
                  <c:v>Promedio de tiempo para cifrar tabla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Graficas!$A$9:$A$13</c:f>
              <c:strCache>
                <c:ptCount val="5"/>
                <c:pt idx="0">
                  <c:v>ii. Promedio 4 delegados</c:v>
                </c:pt>
                <c:pt idx="1">
                  <c:v>ii. Promedio 16 delegados</c:v>
                </c:pt>
                <c:pt idx="2">
                  <c:v>ii. Promedio 32 delegados</c:v>
                </c:pt>
                <c:pt idx="3">
                  <c:v>ii. Promedio 64 delegados</c:v>
                </c:pt>
                <c:pt idx="4">
                  <c:v>i. Promedio 32 consultas</c:v>
                </c:pt>
              </c:strCache>
            </c:strRef>
          </c:cat>
          <c:val>
            <c:numRef>
              <c:f>Graficas!$B$9:$B$13</c:f>
              <c:numCache>
                <c:formatCode>General</c:formatCode>
                <c:ptCount val="5"/>
                <c:pt idx="0">
                  <c:v>2.4583300000000001</c:v>
                </c:pt>
                <c:pt idx="1">
                  <c:v>0.84375</c:v>
                </c:pt>
                <c:pt idx="2">
                  <c:v>9.8854199999999999</c:v>
                </c:pt>
                <c:pt idx="3">
                  <c:v>52.643230000000003</c:v>
                </c:pt>
                <c:pt idx="4">
                  <c:v>0.70833000000000002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6-4C74-ABD4-A2BC4B8781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315727"/>
        <c:axId val="759321007"/>
      </c:barChart>
      <c:catAx>
        <c:axId val="7593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321007"/>
        <c:crosses val="autoZero"/>
        <c:auto val="1"/>
        <c:lblAlgn val="ctr"/>
        <c:lblOffset val="100"/>
        <c:noMultiLvlLbl val="0"/>
      </c:catAx>
      <c:valAx>
        <c:axId val="75932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(en 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31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tiempos para verificar la consulta en diferentes escenarios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Graficas!$B$15</c:f>
              <c:strCache>
                <c:ptCount val="1"/>
                <c:pt idx="0">
                  <c:v>Promedio de tiempo para verificar consulta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Graficas!$A$16:$A$20</c:f>
              <c:strCache>
                <c:ptCount val="5"/>
                <c:pt idx="0">
                  <c:v>ii. Promedio 4 delegados</c:v>
                </c:pt>
                <c:pt idx="1">
                  <c:v>ii. Promedio 16 delegados</c:v>
                </c:pt>
                <c:pt idx="2">
                  <c:v>ii. Promedio 32 delegados</c:v>
                </c:pt>
                <c:pt idx="3">
                  <c:v>ii. Promedio 64 delegados</c:v>
                </c:pt>
                <c:pt idx="4">
                  <c:v>i. Promedio 32 consultas</c:v>
                </c:pt>
              </c:strCache>
            </c:strRef>
          </c:cat>
          <c:val>
            <c:numRef>
              <c:f>Graficas!$B$16:$B$20</c:f>
              <c:numCache>
                <c:formatCode>General</c:formatCode>
                <c:ptCount val="5"/>
                <c:pt idx="0">
                  <c:v>1.0416700000000001</c:v>
                </c:pt>
                <c:pt idx="1">
                  <c:v>5.1041699999999999</c:v>
                </c:pt>
                <c:pt idx="2">
                  <c:v>20.161460000000002</c:v>
                </c:pt>
                <c:pt idx="3">
                  <c:v>27.851559999999999</c:v>
                </c:pt>
                <c:pt idx="4">
                  <c:v>0.265625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A-484C-9A2A-18B499FCB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315727"/>
        <c:axId val="759321007"/>
      </c:barChart>
      <c:catAx>
        <c:axId val="7593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321007"/>
        <c:crosses val="autoZero"/>
        <c:auto val="1"/>
        <c:lblAlgn val="ctr"/>
        <c:lblOffset val="100"/>
        <c:noMultiLvlLbl val="0"/>
      </c:catAx>
      <c:valAx>
        <c:axId val="75932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(en 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31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tiempos para cifrado simetrico y asimetrico en diferentes escenarios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Graficas!$B$22</c:f>
              <c:strCache>
                <c:ptCount val="1"/>
                <c:pt idx="0">
                  <c:v>Promedio de tiempo para cifrado simetrico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Graficas!$A$9:$A$13</c:f>
              <c:strCache>
                <c:ptCount val="5"/>
                <c:pt idx="0">
                  <c:v>ii. Promedio 4 delegados</c:v>
                </c:pt>
                <c:pt idx="1">
                  <c:v>ii. Promedio 16 delegados</c:v>
                </c:pt>
                <c:pt idx="2">
                  <c:v>ii. Promedio 32 delegados</c:v>
                </c:pt>
                <c:pt idx="3">
                  <c:v>ii. Promedio 64 delegados</c:v>
                </c:pt>
                <c:pt idx="4">
                  <c:v>i. Promedio 32 consultas</c:v>
                </c:pt>
              </c:strCache>
            </c:strRef>
          </c:cat>
          <c:val>
            <c:numRef>
              <c:f>Graficas!$B$23:$B$27</c:f>
              <c:numCache>
                <c:formatCode>General</c:formatCode>
                <c:ptCount val="5"/>
                <c:pt idx="0">
                  <c:v>0.25</c:v>
                </c:pt>
                <c:pt idx="1">
                  <c:v>0.26041999999999998</c:v>
                </c:pt>
                <c:pt idx="2">
                  <c:v>0.27604000000000001</c:v>
                </c:pt>
                <c:pt idx="3">
                  <c:v>1.1822900000000001</c:v>
                </c:pt>
                <c:pt idx="4">
                  <c:v>0.25520999999999999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B-4660-8C8F-AA1A5A6A881E}"/>
            </c:ext>
          </c:extLst>
        </c:ser>
        <c:ser>
          <c:idx val="1"/>
          <c:order val="1"/>
          <c:tx>
            <c:strRef>
              <c:f>Graficas!$C$22</c:f>
              <c:strCache>
                <c:ptCount val="1"/>
                <c:pt idx="0">
                  <c:v>Promedio de tiempo para cifrado asimetrico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Graficas!$A$9:$A$13</c:f>
              <c:strCache>
                <c:ptCount val="5"/>
                <c:pt idx="0">
                  <c:v>ii. Promedio 4 delegados</c:v>
                </c:pt>
                <c:pt idx="1">
                  <c:v>ii. Promedio 16 delegados</c:v>
                </c:pt>
                <c:pt idx="2">
                  <c:v>ii. Promedio 32 delegados</c:v>
                </c:pt>
                <c:pt idx="3">
                  <c:v>ii. Promedio 64 delegados</c:v>
                </c:pt>
                <c:pt idx="4">
                  <c:v>i. Promedio 32 consultas</c:v>
                </c:pt>
              </c:strCache>
            </c:strRef>
          </c:cat>
          <c:val>
            <c:numRef>
              <c:f>Graficas!$C$23:$C$27</c:f>
              <c:numCache>
                <c:formatCode>General</c:formatCode>
                <c:ptCount val="5"/>
                <c:pt idx="0">
                  <c:v>2.2916699999999999</c:v>
                </c:pt>
                <c:pt idx="1">
                  <c:v>4.5208300000000001</c:v>
                </c:pt>
                <c:pt idx="2">
                  <c:v>16.880210000000002</c:v>
                </c:pt>
                <c:pt idx="3">
                  <c:v>18.296880000000002</c:v>
                </c:pt>
                <c:pt idx="4">
                  <c:v>0.42708000000000002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B-4660-8C8F-AA1A5A6A88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315727"/>
        <c:axId val="759321007"/>
      </c:barChart>
      <c:catAx>
        <c:axId val="75931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321007"/>
        <c:crosses val="autoZero"/>
        <c:auto val="1"/>
        <c:lblAlgn val="ctr"/>
        <c:lblOffset val="100"/>
        <c:noMultiLvlLbl val="0"/>
      </c:catAx>
      <c:valAx>
        <c:axId val="75932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(en 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3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1767416</xdr:colOff>
      <xdr:row>0</xdr:row>
      <xdr:rowOff>66675</xdr:rowOff>
    </xdr:from>
    <xdr:to>
      <xdr:col>7</xdr:col>
      <xdr:colOff>68792</xdr:colOff>
      <xdr:row>19</xdr:row>
      <xdr:rowOff>129103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9C4040-76F8-44D1-A8A9-9F687203E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304801</xdr:colOff>
      <xdr:row>0</xdr:row>
      <xdr:rowOff>69849</xdr:rowOff>
    </xdr:from>
    <xdr:to>
      <xdr:col>14</xdr:col>
      <xdr:colOff>590551</xdr:colOff>
      <xdr:row>19</xdr:row>
      <xdr:rowOff>143933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EF104E-EC24-4D63-B311-FFE2390ADAA1}"/>
            </a:ext>
            <a:ext uri="{147F2762-F138-4A5C-976F-8EAC2B608ADB}">
              <a16:predDERef xmlns:a16="http://schemas.microsoft.com/office/drawing/2014/main" pred="{239C4040-76F8-44D1-A8A9-9F687203E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161926</xdr:colOff>
      <xdr:row>22</xdr:row>
      <xdr:rowOff>65617</xdr:rowOff>
    </xdr:from>
    <xdr:to>
      <xdr:col>9</xdr:col>
      <xdr:colOff>206377</xdr:colOff>
      <xdr:row>41</xdr:row>
      <xdr:rowOff>118534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7BF905-576F-4B45-9D1E-64141F7256AC}"/>
            </a:ext>
            <a:ext uri="{147F2762-F138-4A5C-976F-8EAC2B608ADB}">
              <a16:predDERef xmlns:a16="http://schemas.microsoft.com/office/drawing/2014/main" pred="{3CEF104E-EC24-4D63-B311-FFE2390AD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42333</xdr:colOff>
      <xdr:row>21</xdr:row>
      <xdr:rowOff>130176</xdr:rowOff>
    </xdr:from>
    <xdr:to>
      <xdr:col>18</xdr:col>
      <xdr:colOff>513816</xdr:colOff>
      <xdr:row>40</xdr:row>
      <xdr:rowOff>114301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22FD63-2B32-43EF-9380-12B6F4499677}"/>
            </a:ext>
            <a:ext uri="{147F2762-F138-4A5C-976F-8EAC2B608ADB}">
              <a16:predDERef xmlns:a16="http://schemas.microsoft.com/office/drawing/2014/main" pred="{1F7BF905-576F-4B45-9D1E-64141F725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2" zoomScale="71" workbookViewId="0">
      <selection activeCell="B31" sqref="B31"/>
    </sheetView>
  </sheetViews>
  <sheetFormatPr defaultColWidth="9" defaultRowHeight="15" customHeight="1"/>
  <cols>
    <col min="1" max="1" width="22.85546875" bestFit="1" customWidth="1"/>
    <col min="2" max="3" width="35.42578125" bestFit="1" customWidth="1"/>
    <col min="4" max="4" width="30.85546875" bestFit="1" customWidth="1"/>
    <col min="5" max="5" width="26.28515625" bestFit="1" customWidth="1"/>
    <col min="6" max="6" width="27.42578125" bestFit="1" customWidth="1"/>
  </cols>
  <sheetData>
    <row r="1" spans="1:7" ht="14.45" customHeight="1">
      <c r="B1" s="10" t="s">
        <v>0</v>
      </c>
      <c r="C1" s="10"/>
      <c r="D1" s="10"/>
      <c r="E1" s="10"/>
      <c r="F1" s="10"/>
      <c r="G1" s="1"/>
    </row>
    <row r="2" spans="1:7">
      <c r="A2" s="4" t="s">
        <v>1</v>
      </c>
      <c r="B2" s="5" t="s">
        <v>2</v>
      </c>
      <c r="C2" s="5" t="s">
        <v>3</v>
      </c>
      <c r="D2" s="5" t="s">
        <v>4</v>
      </c>
      <c r="E2" s="8" t="s">
        <v>5</v>
      </c>
      <c r="F2" s="8" t="s">
        <v>6</v>
      </c>
    </row>
    <row r="3" spans="1:7">
      <c r="A3" s="2">
        <v>4</v>
      </c>
      <c r="B3" s="3">
        <f>5/4</f>
        <v>1.25</v>
      </c>
      <c r="C3" s="3">
        <f>4/4</f>
        <v>1</v>
      </c>
      <c r="D3" s="6">
        <f>9/4</f>
        <v>2.25</v>
      </c>
      <c r="E3" s="3">
        <f>1/4</f>
        <v>0.25</v>
      </c>
      <c r="F3" s="3">
        <f>20/4</f>
        <v>5</v>
      </c>
    </row>
    <row r="4" spans="1:7">
      <c r="A4" s="2">
        <v>4</v>
      </c>
      <c r="B4" s="3">
        <f>4/4</f>
        <v>1</v>
      </c>
      <c r="C4" s="3">
        <f>5/4</f>
        <v>1.25</v>
      </c>
      <c r="D4" s="6">
        <f>2/4</f>
        <v>0.5</v>
      </c>
      <c r="E4" s="3">
        <f>0/4</f>
        <v>0</v>
      </c>
      <c r="F4" s="3">
        <f>1/4</f>
        <v>0.25</v>
      </c>
    </row>
    <row r="5" spans="1:7">
      <c r="A5" s="2">
        <v>4</v>
      </c>
      <c r="B5" s="3">
        <f>5/4</f>
        <v>1.25</v>
      </c>
      <c r="C5" s="3">
        <f>17/4</f>
        <v>4.25</v>
      </c>
      <c r="D5" s="6">
        <f>4/4</f>
        <v>1</v>
      </c>
      <c r="E5" s="3">
        <f>2/4</f>
        <v>0.5</v>
      </c>
      <c r="F5" s="3">
        <f>13/4</f>
        <v>3.25</v>
      </c>
    </row>
    <row r="6" spans="1:7">
      <c r="A6" s="2">
        <v>4</v>
      </c>
      <c r="B6" s="3">
        <f>5/4</f>
        <v>1.25</v>
      </c>
      <c r="C6" s="3">
        <f>10/4</f>
        <v>2.5</v>
      </c>
      <c r="D6" s="6">
        <f>4/4</f>
        <v>1</v>
      </c>
      <c r="E6" s="3">
        <f>0/4</f>
        <v>0</v>
      </c>
      <c r="F6" s="3">
        <f>5/4</f>
        <v>1.25</v>
      </c>
    </row>
    <row r="7" spans="1:7">
      <c r="A7" s="2">
        <v>4</v>
      </c>
      <c r="B7" s="3">
        <f>18/4</f>
        <v>4.5</v>
      </c>
      <c r="C7" s="3">
        <f>13/4</f>
        <v>3.25</v>
      </c>
      <c r="D7" s="6">
        <f>3/4</f>
        <v>0.75</v>
      </c>
      <c r="E7" s="3">
        <f>1/4</f>
        <v>0.25</v>
      </c>
      <c r="F7" s="3">
        <f>10/4</f>
        <v>2.5</v>
      </c>
    </row>
    <row r="8" spans="1:7">
      <c r="A8" s="2">
        <v>4</v>
      </c>
      <c r="B8" s="3">
        <f>8/4</f>
        <v>2</v>
      </c>
      <c r="C8" s="3">
        <f>10/4</f>
        <v>2.5</v>
      </c>
      <c r="D8" s="6">
        <f>3/4</f>
        <v>0.75</v>
      </c>
      <c r="E8" s="3">
        <f>2/4</f>
        <v>0.5</v>
      </c>
      <c r="F8" s="3">
        <f>6/4</f>
        <v>1.5</v>
      </c>
    </row>
    <row r="9" spans="1:7">
      <c r="A9" s="4" t="s">
        <v>7</v>
      </c>
      <c r="B9" s="4">
        <f>AVERAGE(B3:B8)</f>
        <v>1.875</v>
      </c>
      <c r="C9" s="4">
        <f>AVERAGE(C3:C8)</f>
        <v>2.4583333333333335</v>
      </c>
      <c r="D9" s="7">
        <f>AVERAGE(D3:D8)</f>
        <v>1.0416666666666667</v>
      </c>
      <c r="E9" s="4">
        <f>AVERAGE(E3:E8)</f>
        <v>0.25</v>
      </c>
      <c r="F9" s="4">
        <f>AVERAGE(F3:F8)</f>
        <v>2.2916666666666665</v>
      </c>
    </row>
    <row r="10" spans="1:7">
      <c r="A10" s="3">
        <v>16</v>
      </c>
      <c r="B10" s="3">
        <f>45/16</f>
        <v>2.8125</v>
      </c>
      <c r="C10" s="3">
        <f>10/16</f>
        <v>0.625</v>
      </c>
      <c r="D10" s="6">
        <f>105/16</f>
        <v>6.5625</v>
      </c>
      <c r="E10" s="3">
        <f>10/16</f>
        <v>0.625</v>
      </c>
      <c r="F10" s="3">
        <f>110/16</f>
        <v>6.875</v>
      </c>
    </row>
    <row r="11" spans="1:7">
      <c r="A11" s="3">
        <v>16</v>
      </c>
      <c r="B11" s="3">
        <f>230/16</f>
        <v>14.375</v>
      </c>
      <c r="C11" s="3">
        <f>5/16</f>
        <v>0.3125</v>
      </c>
      <c r="D11" s="6">
        <f>112/16</f>
        <v>7</v>
      </c>
      <c r="E11" s="3">
        <f>2/16</f>
        <v>0.125</v>
      </c>
      <c r="F11" s="3">
        <f>74/16</f>
        <v>4.625</v>
      </c>
    </row>
    <row r="12" spans="1:7">
      <c r="A12" s="3">
        <v>16</v>
      </c>
      <c r="B12" s="3">
        <f>108/16</f>
        <v>6.75</v>
      </c>
      <c r="C12" s="3">
        <f>33/16</f>
        <v>2.0625</v>
      </c>
      <c r="D12" s="6">
        <f>84/16</f>
        <v>5.25</v>
      </c>
      <c r="E12" s="3">
        <f>1/16</f>
        <v>6.25E-2</v>
      </c>
      <c r="F12" s="3">
        <f>93/16</f>
        <v>5.8125</v>
      </c>
    </row>
    <row r="13" spans="1:7">
      <c r="A13" s="3">
        <v>16</v>
      </c>
      <c r="B13" s="3">
        <f>34/16</f>
        <v>2.125</v>
      </c>
      <c r="C13" s="3">
        <f>12/16</f>
        <v>0.75</v>
      </c>
      <c r="D13" s="6">
        <f>46/16</f>
        <v>2.875</v>
      </c>
      <c r="E13" s="3">
        <f>3/16</f>
        <v>0.1875</v>
      </c>
      <c r="F13" s="3">
        <f>47/16</f>
        <v>2.9375</v>
      </c>
    </row>
    <row r="14" spans="1:7">
      <c r="A14" s="3">
        <v>16</v>
      </c>
      <c r="B14" s="3">
        <f>20/16</f>
        <v>1.25</v>
      </c>
      <c r="C14" s="3">
        <f>14/16</f>
        <v>0.875</v>
      </c>
      <c r="D14" s="6">
        <f>9/16</f>
        <v>0.5625</v>
      </c>
      <c r="E14" s="3">
        <f>7/16</f>
        <v>0.4375</v>
      </c>
      <c r="F14" s="3">
        <f>47/16</f>
        <v>2.9375</v>
      </c>
    </row>
    <row r="15" spans="1:7">
      <c r="A15" s="3">
        <v>16</v>
      </c>
      <c r="B15" s="3">
        <f>50/16</f>
        <v>3.125</v>
      </c>
      <c r="C15" s="3">
        <f>7/16</f>
        <v>0.4375</v>
      </c>
      <c r="D15" s="6">
        <f>134/16</f>
        <v>8.375</v>
      </c>
      <c r="E15" s="3">
        <f>2/16</f>
        <v>0.125</v>
      </c>
      <c r="F15" s="3">
        <f>63/16</f>
        <v>3.9375</v>
      </c>
    </row>
    <row r="16" spans="1:7">
      <c r="A16" s="4" t="s">
        <v>8</v>
      </c>
      <c r="B16" s="4">
        <f>AVERAGE(B10:B15)</f>
        <v>5.072916666666667</v>
      </c>
      <c r="C16" s="4">
        <f>AVERAGE(C10:C15)</f>
        <v>0.84375</v>
      </c>
      <c r="D16" s="4">
        <f>AVERAGE(D10:D15)</f>
        <v>5.104166666666667</v>
      </c>
      <c r="E16" s="4">
        <f>AVERAGE(E10:E15)</f>
        <v>0.26041666666666669</v>
      </c>
      <c r="F16" s="4">
        <f>AVERAGE(F10:F15)</f>
        <v>4.520833333333333</v>
      </c>
    </row>
    <row r="17" spans="1:6">
      <c r="A17" s="3">
        <v>32</v>
      </c>
      <c r="B17" s="3">
        <f>32/32</f>
        <v>1</v>
      </c>
      <c r="C17" s="3">
        <f>27/32</f>
        <v>0.84375</v>
      </c>
      <c r="D17" s="6">
        <f>616/32</f>
        <v>19.25</v>
      </c>
      <c r="E17" s="3">
        <f>21/32</f>
        <v>0.65625</v>
      </c>
      <c r="F17" s="3">
        <f>725/32</f>
        <v>22.65625</v>
      </c>
    </row>
    <row r="18" spans="1:6">
      <c r="A18" s="3">
        <v>32</v>
      </c>
      <c r="B18" s="3">
        <f>2022/32</f>
        <v>63.1875</v>
      </c>
      <c r="C18" s="3">
        <f>62/32</f>
        <v>1.9375</v>
      </c>
      <c r="D18" s="6">
        <f>568/32</f>
        <v>17.75</v>
      </c>
      <c r="E18" s="3">
        <f>3/32</f>
        <v>9.375E-2</v>
      </c>
      <c r="F18" s="3">
        <f>442/32</f>
        <v>13.8125</v>
      </c>
    </row>
    <row r="19" spans="1:6">
      <c r="A19" s="3">
        <v>32</v>
      </c>
      <c r="B19" s="3">
        <f>113/32</f>
        <v>3.53125</v>
      </c>
      <c r="C19" s="3">
        <f>1226/32</f>
        <v>38.3125</v>
      </c>
      <c r="D19" s="6">
        <f>234/32</f>
        <v>7.3125</v>
      </c>
      <c r="E19" s="3">
        <f>9/32</f>
        <v>0.28125</v>
      </c>
      <c r="F19" s="3">
        <f>336/32</f>
        <v>10.5</v>
      </c>
    </row>
    <row r="20" spans="1:6">
      <c r="A20" s="3">
        <v>32</v>
      </c>
      <c r="B20" s="3">
        <f>87/32</f>
        <v>2.71875</v>
      </c>
      <c r="C20" s="3">
        <f>555/32</f>
        <v>17.34375</v>
      </c>
      <c r="D20" s="6">
        <f>1377/32</f>
        <v>43.03125</v>
      </c>
      <c r="E20" s="3">
        <f>6/32</f>
        <v>0.1875</v>
      </c>
      <c r="F20" s="3">
        <f>746/32</f>
        <v>23.3125</v>
      </c>
    </row>
    <row r="21" spans="1:6">
      <c r="A21" s="3">
        <v>32</v>
      </c>
      <c r="B21" s="3">
        <f>2476/32</f>
        <v>77.375</v>
      </c>
      <c r="C21" s="3">
        <f>18/32</f>
        <v>0.5625</v>
      </c>
      <c r="D21" s="6">
        <f>738/32</f>
        <v>23.0625</v>
      </c>
      <c r="E21" s="3">
        <f>7/32</f>
        <v>0.21875</v>
      </c>
      <c r="F21" s="3">
        <f>724/32</f>
        <v>22.625</v>
      </c>
    </row>
    <row r="22" spans="1:6">
      <c r="A22" s="3">
        <v>32</v>
      </c>
      <c r="B22" s="3">
        <f>282/32</f>
        <v>8.8125</v>
      </c>
      <c r="C22" s="3">
        <f>10/32</f>
        <v>0.3125</v>
      </c>
      <c r="D22" s="6">
        <f>338/32</f>
        <v>10.5625</v>
      </c>
      <c r="E22" s="3">
        <f>7/32</f>
        <v>0.21875</v>
      </c>
      <c r="F22" s="3">
        <f>268/32</f>
        <v>8.375</v>
      </c>
    </row>
    <row r="23" spans="1:6">
      <c r="A23" s="4" t="s">
        <v>9</v>
      </c>
      <c r="B23" s="4">
        <f>AVERAGE(B17:B22)</f>
        <v>26.104166666666668</v>
      </c>
      <c r="C23" s="4">
        <f>AVERAGE(C17:C22)</f>
        <v>9.8854166666666661</v>
      </c>
      <c r="D23" s="4">
        <f>AVERAGE(D17:D22)</f>
        <v>20.161458333333332</v>
      </c>
      <c r="E23" s="4">
        <f>AVERAGE(E17:E22)</f>
        <v>0.27604166666666669</v>
      </c>
      <c r="F23" s="4">
        <f>AVERAGE(F17:F22)</f>
        <v>16.880208333333332</v>
      </c>
    </row>
    <row r="24" spans="1:6">
      <c r="A24" s="3">
        <v>64</v>
      </c>
      <c r="B24" s="3">
        <f>11957/64</f>
        <v>186.828125</v>
      </c>
      <c r="C24" s="3">
        <f>1977/64</f>
        <v>30.890625</v>
      </c>
      <c r="D24" s="6">
        <f>3587/64</f>
        <v>56.046875</v>
      </c>
      <c r="E24" s="3">
        <f>16/64</f>
        <v>0.25</v>
      </c>
      <c r="F24" s="3">
        <f>2185/64</f>
        <v>34.140625</v>
      </c>
    </row>
    <row r="25" spans="1:6">
      <c r="A25" s="3">
        <v>64</v>
      </c>
      <c r="B25" s="3">
        <f>982/64</f>
        <v>15.34375</v>
      </c>
      <c r="C25" s="3">
        <f>8562/64</f>
        <v>133.78125</v>
      </c>
      <c r="D25" s="6">
        <f>2276/64</f>
        <v>35.5625</v>
      </c>
      <c r="E25" s="3">
        <f>24/64</f>
        <v>0.375</v>
      </c>
      <c r="F25" s="3">
        <f>2216/64</f>
        <v>34.625</v>
      </c>
    </row>
    <row r="26" spans="1:6">
      <c r="A26" s="3">
        <v>64</v>
      </c>
      <c r="B26" s="3">
        <f>9744/64</f>
        <v>152.25</v>
      </c>
      <c r="C26" s="3">
        <f>18/64</f>
        <v>0.28125</v>
      </c>
      <c r="D26" s="6">
        <f>131/64</f>
        <v>2.046875</v>
      </c>
      <c r="E26" s="3">
        <f>16/64</f>
        <v>0.25</v>
      </c>
      <c r="F26" s="3">
        <f>124/64</f>
        <v>1.9375</v>
      </c>
    </row>
    <row r="27" spans="1:6">
      <c r="A27" s="3">
        <v>64</v>
      </c>
      <c r="B27" s="3">
        <f>65/64</f>
        <v>1.015625</v>
      </c>
      <c r="C27" s="3">
        <f>7/64</f>
        <v>0.109375</v>
      </c>
      <c r="D27" s="6">
        <f>1730/64</f>
        <v>27.03125</v>
      </c>
      <c r="E27" s="3">
        <f>371/64</f>
        <v>5.796875</v>
      </c>
      <c r="F27" s="3">
        <f>599/64</f>
        <v>9.359375</v>
      </c>
    </row>
    <row r="28" spans="1:6">
      <c r="A28" s="3">
        <v>64</v>
      </c>
      <c r="B28" s="3">
        <f>7795/64</f>
        <v>121.796875</v>
      </c>
      <c r="C28" s="3">
        <f>9630/64</f>
        <v>150.46875</v>
      </c>
      <c r="D28" s="6">
        <f>1659/64</f>
        <v>25.921875</v>
      </c>
      <c r="E28" s="3">
        <f>9/64</f>
        <v>0.140625</v>
      </c>
      <c r="F28" s="3">
        <f>775/64</f>
        <v>12.109375</v>
      </c>
    </row>
    <row r="29" spans="1:6">
      <c r="A29" s="3">
        <v>64</v>
      </c>
      <c r="B29" s="3">
        <f>67/64</f>
        <v>1.046875</v>
      </c>
      <c r="C29" s="3">
        <f>21/64</f>
        <v>0.328125</v>
      </c>
      <c r="D29" s="6">
        <f>1312/64</f>
        <v>20.5</v>
      </c>
      <c r="E29" s="3">
        <f>18/64</f>
        <v>0.28125</v>
      </c>
      <c r="F29" s="3">
        <f>1127/64</f>
        <v>17.609375</v>
      </c>
    </row>
    <row r="30" spans="1:6">
      <c r="A30" s="4" t="s">
        <v>10</v>
      </c>
      <c r="B30" s="4">
        <f>AVERAGE(B24:B29)</f>
        <v>79.713541666666671</v>
      </c>
      <c r="C30" s="4">
        <f t="shared" ref="C30:F30" si="0">AVERAGE(C24:C29)</f>
        <v>52.643229166666664</v>
      </c>
      <c r="D30" s="4">
        <f t="shared" si="0"/>
        <v>27.8515625</v>
      </c>
      <c r="E30" s="4">
        <f t="shared" si="0"/>
        <v>1.1822916666666667</v>
      </c>
      <c r="F30" s="4">
        <f>AVERAGE(F24:F29)</f>
        <v>18.296875</v>
      </c>
    </row>
  </sheetData>
  <mergeCells count="1">
    <mergeCell ref="B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B74B-EA4A-4AD0-87E7-93052DBF16A9}">
  <dimension ref="A1:F9"/>
  <sheetViews>
    <sheetView workbookViewId="0">
      <selection activeCell="F10" sqref="F10"/>
    </sheetView>
  </sheetViews>
  <sheetFormatPr defaultColWidth="11.42578125" defaultRowHeight="14.45"/>
  <cols>
    <col min="1" max="1" width="23.140625" bestFit="1" customWidth="1"/>
    <col min="2" max="2" width="19.85546875" bestFit="1" customWidth="1"/>
    <col min="3" max="3" width="25.5703125" bestFit="1" customWidth="1"/>
    <col min="4" max="4" width="29" bestFit="1" customWidth="1"/>
    <col min="5" max="5" width="24.7109375" bestFit="1" customWidth="1"/>
    <col min="6" max="6" width="26" customWidth="1"/>
  </cols>
  <sheetData>
    <row r="1" spans="1:6" ht="14.45" customHeight="1">
      <c r="A1" s="6"/>
      <c r="B1" s="10" t="s">
        <v>11</v>
      </c>
      <c r="C1" s="10"/>
      <c r="D1" s="10"/>
      <c r="E1" s="10"/>
      <c r="F1" s="10"/>
    </row>
    <row r="2" spans="1:6" ht="15">
      <c r="A2" s="7" t="s">
        <v>12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5</v>
      </c>
    </row>
    <row r="3" spans="1:6" ht="15">
      <c r="A3" s="9">
        <v>32</v>
      </c>
      <c r="B3" s="3">
        <f>36/32</f>
        <v>1.125</v>
      </c>
      <c r="C3" s="3">
        <f>14/32</f>
        <v>0.4375</v>
      </c>
      <c r="D3" s="3">
        <f>6/32</f>
        <v>0.1875</v>
      </c>
      <c r="E3" s="3">
        <f>5/32</f>
        <v>0.15625</v>
      </c>
      <c r="F3" s="3">
        <f>15/32</f>
        <v>0.46875</v>
      </c>
    </row>
    <row r="4" spans="1:6" ht="15">
      <c r="A4" s="9">
        <v>32</v>
      </c>
      <c r="B4" s="3">
        <f>54/32</f>
        <v>1.6875</v>
      </c>
      <c r="C4" s="3">
        <f>30/32</f>
        <v>0.9375</v>
      </c>
      <c r="D4" s="3">
        <f>9/32</f>
        <v>0.28125</v>
      </c>
      <c r="E4" s="3">
        <f>1/32</f>
        <v>3.125E-2</v>
      </c>
      <c r="F4" s="3">
        <f>15/32</f>
        <v>0.46875</v>
      </c>
    </row>
    <row r="5" spans="1:6" ht="15">
      <c r="A5" s="9">
        <v>32</v>
      </c>
      <c r="B5" s="3">
        <f>26/32</f>
        <v>0.8125</v>
      </c>
      <c r="C5" s="3">
        <f>22/32</f>
        <v>0.6875</v>
      </c>
      <c r="D5" s="3">
        <f>6/32</f>
        <v>0.1875</v>
      </c>
      <c r="E5" s="3">
        <f>9/32</f>
        <v>0.28125</v>
      </c>
      <c r="F5" s="3">
        <f>10/32</f>
        <v>0.3125</v>
      </c>
    </row>
    <row r="6" spans="1:6" ht="15">
      <c r="A6" s="6">
        <v>32</v>
      </c>
      <c r="B6" s="3">
        <f>55/32</f>
        <v>1.71875</v>
      </c>
      <c r="C6" s="3">
        <f>31/32</f>
        <v>0.96875</v>
      </c>
      <c r="D6" s="3">
        <f>8/32</f>
        <v>0.25</v>
      </c>
      <c r="E6" s="3">
        <f>9/32</f>
        <v>0.28125</v>
      </c>
      <c r="F6" s="3">
        <f>20/32</f>
        <v>0.625</v>
      </c>
    </row>
    <row r="7" spans="1:6" ht="15">
      <c r="A7" s="6">
        <v>32</v>
      </c>
      <c r="B7" s="3">
        <f>30/32</f>
        <v>0.9375</v>
      </c>
      <c r="C7" s="3">
        <f>15/32</f>
        <v>0.46875</v>
      </c>
      <c r="D7" s="3">
        <f>13/32</f>
        <v>0.40625</v>
      </c>
      <c r="E7" s="3">
        <f>10/32</f>
        <v>0.3125</v>
      </c>
      <c r="F7" s="3">
        <f>8/32</f>
        <v>0.25</v>
      </c>
    </row>
    <row r="8" spans="1:6" ht="15">
      <c r="A8" s="6">
        <v>33</v>
      </c>
      <c r="B8" s="3">
        <f>18/32</f>
        <v>0.5625</v>
      </c>
      <c r="C8" s="3">
        <f>24/32</f>
        <v>0.75</v>
      </c>
      <c r="D8" s="3">
        <f>9/32</f>
        <v>0.28125</v>
      </c>
      <c r="E8" s="3">
        <f>15/32</f>
        <v>0.46875</v>
      </c>
      <c r="F8" s="3">
        <f>14/32</f>
        <v>0.4375</v>
      </c>
    </row>
    <row r="9" spans="1:6" ht="15">
      <c r="A9" s="4" t="s">
        <v>13</v>
      </c>
      <c r="B9" s="5">
        <f>AVERAGE(B3:B8)</f>
        <v>1.140625</v>
      </c>
      <c r="C9" s="5">
        <f>AVERAGE(C3:C8)</f>
        <v>0.70833333333333337</v>
      </c>
      <c r="D9" s="5">
        <f>AVERAGE(D3:D8)</f>
        <v>0.265625</v>
      </c>
      <c r="E9" s="5">
        <f>AVERAGE(E3:E8)</f>
        <v>0.25520833333333331</v>
      </c>
      <c r="F9" s="5">
        <f>AVERAGE(F3:F8)</f>
        <v>0.42708333333333331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2308-1B40-41D6-9C92-00ABFC255F97}">
  <dimension ref="A1:C27"/>
  <sheetViews>
    <sheetView zoomScale="80" workbookViewId="0">
      <selection activeCell="P18" sqref="P18"/>
    </sheetView>
  </sheetViews>
  <sheetFormatPr defaultColWidth="11.42578125" defaultRowHeight="14.45"/>
  <cols>
    <col min="1" max="1" width="23.5703125" bestFit="1" customWidth="1"/>
    <col min="2" max="2" width="43.140625" bestFit="1" customWidth="1"/>
    <col min="3" max="3" width="35.42578125" bestFit="1" customWidth="1"/>
    <col min="4" max="4" width="38.140625" bestFit="1" customWidth="1"/>
  </cols>
  <sheetData>
    <row r="1" spans="1:2">
      <c r="B1" t="s">
        <v>14</v>
      </c>
    </row>
    <row r="2" spans="1:2">
      <c r="A2" t="s">
        <v>15</v>
      </c>
      <c r="B2">
        <f>ROUND('Escenario Concurrentes'!$B$9,5)</f>
        <v>1.875</v>
      </c>
    </row>
    <row r="3" spans="1:2">
      <c r="A3" t="s">
        <v>16</v>
      </c>
      <c r="B3">
        <f>ROUND('Escenario Concurrentes'!$B$16,5)</f>
        <v>5.0729199999999999</v>
      </c>
    </row>
    <row r="4" spans="1:2">
      <c r="A4" t="s">
        <v>17</v>
      </c>
      <c r="B4">
        <f>ROUND('Escenario Concurrentes'!$B$23,5)</f>
        <v>26.10417</v>
      </c>
    </row>
    <row r="5" spans="1:2">
      <c r="A5" t="s">
        <v>18</v>
      </c>
      <c r="B5">
        <f>ROUND('Escenario Concurrentes'!$B$30,5)</f>
        <v>79.713539999999995</v>
      </c>
    </row>
    <row r="6" spans="1:2">
      <c r="A6" t="s">
        <v>19</v>
      </c>
      <c r="B6">
        <f>'Escenario Iterativo'!B9</f>
        <v>1.140625</v>
      </c>
    </row>
    <row r="8" spans="1:2">
      <c r="B8" t="s">
        <v>20</v>
      </c>
    </row>
    <row r="9" spans="1:2">
      <c r="A9" t="s">
        <v>15</v>
      </c>
      <c r="B9">
        <f>ROUND('Escenario Concurrentes'!$C$9,5)</f>
        <v>2.4583300000000001</v>
      </c>
    </row>
    <row r="10" spans="1:2">
      <c r="A10" t="s">
        <v>16</v>
      </c>
      <c r="B10">
        <f>ROUND('Escenario Concurrentes'!$C$16,5)</f>
        <v>0.84375</v>
      </c>
    </row>
    <row r="11" spans="1:2">
      <c r="A11" t="s">
        <v>17</v>
      </c>
      <c r="B11">
        <f>ROUND('Escenario Concurrentes'!$C$23,5)</f>
        <v>9.8854199999999999</v>
      </c>
    </row>
    <row r="12" spans="1:2">
      <c r="A12" t="s">
        <v>18</v>
      </c>
      <c r="B12">
        <f>ROUND('Escenario Concurrentes'!$C$30,5)</f>
        <v>52.643230000000003</v>
      </c>
    </row>
    <row r="13" spans="1:2">
      <c r="A13" t="s">
        <v>19</v>
      </c>
      <c r="B13">
        <f>ROUND('Escenario Iterativo'!C9,5)</f>
        <v>0.70833000000000002</v>
      </c>
    </row>
    <row r="15" spans="1:2">
      <c r="B15" t="s">
        <v>21</v>
      </c>
    </row>
    <row r="16" spans="1:2">
      <c r="A16" t="s">
        <v>15</v>
      </c>
      <c r="B16">
        <f>ROUND('Escenario Concurrentes'!$D$9,5)</f>
        <v>1.0416700000000001</v>
      </c>
    </row>
    <row r="17" spans="1:3">
      <c r="A17" t="s">
        <v>16</v>
      </c>
      <c r="B17">
        <f>ROUND('Escenario Concurrentes'!$D$16,5)</f>
        <v>5.1041699999999999</v>
      </c>
    </row>
    <row r="18" spans="1:3">
      <c r="A18" t="s">
        <v>17</v>
      </c>
      <c r="B18">
        <f>ROUND('Escenario Concurrentes'!$D$23,5)</f>
        <v>20.161460000000002</v>
      </c>
    </row>
    <row r="19" spans="1:3">
      <c r="A19" t="s">
        <v>18</v>
      </c>
      <c r="B19">
        <f>ROUND('Escenario Concurrentes'!$D$30,5)</f>
        <v>27.851559999999999</v>
      </c>
    </row>
    <row r="20" spans="1:3">
      <c r="A20" t="s">
        <v>19</v>
      </c>
      <c r="B20">
        <f>'Escenario Iterativo'!D9</f>
        <v>0.265625</v>
      </c>
    </row>
    <row r="22" spans="1:3">
      <c r="B22" t="s">
        <v>22</v>
      </c>
      <c r="C22" t="s">
        <v>23</v>
      </c>
    </row>
    <row r="23" spans="1:3">
      <c r="A23" t="s">
        <v>15</v>
      </c>
      <c r="B23">
        <f>ROUND('Escenario Concurrentes'!$E$9,5)</f>
        <v>0.25</v>
      </c>
      <c r="C23">
        <f>ROUND('Escenario Concurrentes'!$F$9,5)</f>
        <v>2.2916699999999999</v>
      </c>
    </row>
    <row r="24" spans="1:3">
      <c r="A24" t="s">
        <v>16</v>
      </c>
      <c r="B24">
        <f>ROUND('Escenario Concurrentes'!$E$16,5)</f>
        <v>0.26041999999999998</v>
      </c>
      <c r="C24">
        <f>ROUND('Escenario Concurrentes'!$F$16,5)</f>
        <v>4.5208300000000001</v>
      </c>
    </row>
    <row r="25" spans="1:3">
      <c r="A25" t="s">
        <v>17</v>
      </c>
      <c r="B25">
        <f>ROUND('Escenario Concurrentes'!$E$23,5)</f>
        <v>0.27604000000000001</v>
      </c>
      <c r="C25">
        <f>ROUND('Escenario Concurrentes'!$F$23,5)</f>
        <v>16.880210000000002</v>
      </c>
    </row>
    <row r="26" spans="1:3">
      <c r="A26" t="s">
        <v>18</v>
      </c>
      <c r="B26">
        <f>ROUND('Escenario Concurrentes'!$E$30,5)</f>
        <v>1.1822900000000001</v>
      </c>
      <c r="C26">
        <f>ROUND('Escenario Concurrentes'!$F$30,5)</f>
        <v>18.296880000000002</v>
      </c>
    </row>
    <row r="27" spans="1:3">
      <c r="A27" t="s">
        <v>19</v>
      </c>
      <c r="B27">
        <f>ROUND('Escenario Iterativo'!E9,5)</f>
        <v>0.25520999999999999</v>
      </c>
      <c r="C27">
        <f>ROUND('Escenario Iterativo'!F9,5)</f>
        <v>0.42708000000000002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2025-04-27T11:14:30Z</dcterms:created>
  <dcterms:modified xsi:type="dcterms:W3CDTF">2025-04-28T23:13:25Z</dcterms:modified>
  <cp:category/>
  <cp:contentStatus/>
</cp:coreProperties>
</file>