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ofikakolina\Documents\учеба\6 семестр\автоматизация\Колдин Тимур ИЦТМС 3-2 КР\"/>
    </mc:Choice>
  </mc:AlternateContent>
  <xr:revisionPtr revIDLastSave="0" documentId="13_ncr:1_{CFCD7FC2-7A0F-4924-9590-5B06534CD881}" xr6:coauthVersionLast="47" xr6:coauthVersionMax="47" xr10:uidLastSave="{00000000-0000-0000-0000-000000000000}"/>
  <bookViews>
    <workbookView xWindow="-120" yWindow="-120" windowWidth="29040" windowHeight="15840" tabRatio="585" xr2:uid="{00000000-000D-0000-FFFF-FFFF00000000}"/>
  </bookViews>
  <sheets>
    <sheet name="Ведомость" sheetId="1" r:id="rId1"/>
    <sheet name="Спец работы" sheetId="2" r:id="rId2"/>
    <sheet name="Табличный метод" sheetId="3" r:id="rId3"/>
    <sheet name="Ресурсы" sheetId="4" r:id="rId4"/>
    <sheet name="Склады" sheetId="7" r:id="rId5"/>
    <sheet name="Выбор крана" sheetId="5" r:id="rId6"/>
    <sheet name="Строительные машины" sheetId="6" r:id="rId7"/>
    <sheet name="Временные здания" sheetId="8" r:id="rId8"/>
    <sheet name="Вода" sheetId="9" r:id="rId9"/>
    <sheet name="Элкектроснабжение" sheetId="10" r:id="rId10"/>
  </sheets>
  <calcPr calcId="181029" iterate="1"/>
</workbook>
</file>

<file path=xl/calcChain.xml><?xml version="1.0" encoding="utf-8"?>
<calcChain xmlns="http://schemas.openxmlformats.org/spreadsheetml/2006/main">
  <c r="AE23" i="4" l="1"/>
  <c r="AE24" i="4"/>
  <c r="AE25" i="4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22" i="4"/>
  <c r="AH83" i="4"/>
  <c r="AG82" i="4"/>
  <c r="AF82" i="4"/>
  <c r="AH82" i="4" s="1"/>
  <c r="AG81" i="4"/>
  <c r="AF81" i="4"/>
  <c r="AH81" i="4" s="1"/>
  <c r="AG80" i="4"/>
  <c r="AF80" i="4"/>
  <c r="AH80" i="4" s="1"/>
  <c r="AG79" i="4"/>
  <c r="AF79" i="4"/>
  <c r="AH79" i="4" s="1"/>
  <c r="AG78" i="4"/>
  <c r="AF78" i="4"/>
  <c r="AH78" i="4" s="1"/>
  <c r="AG77" i="4"/>
  <c r="AF77" i="4"/>
  <c r="AH77" i="4" s="1"/>
  <c r="AG76" i="4"/>
  <c r="AF76" i="4"/>
  <c r="AH76" i="4" s="1"/>
  <c r="AG75" i="4"/>
  <c r="AF75" i="4"/>
  <c r="AH75" i="4" s="1"/>
  <c r="AG74" i="4"/>
  <c r="AF74" i="4"/>
  <c r="AH74" i="4" s="1"/>
  <c r="AG73" i="4"/>
  <c r="AF73" i="4"/>
  <c r="AH73" i="4" s="1"/>
  <c r="AG72" i="4"/>
  <c r="AF72" i="4"/>
  <c r="AH72" i="4" s="1"/>
  <c r="AG71" i="4"/>
  <c r="AF71" i="4"/>
  <c r="AH71" i="4" s="1"/>
  <c r="AG70" i="4"/>
  <c r="AF70" i="4"/>
  <c r="AH70" i="4" s="1"/>
  <c r="AG69" i="4"/>
  <c r="AF69" i="4"/>
  <c r="AH69" i="4" s="1"/>
  <c r="AG68" i="4"/>
  <c r="AF68" i="4"/>
  <c r="AH68" i="4" s="1"/>
  <c r="AG67" i="4"/>
  <c r="AF67" i="4"/>
  <c r="AH67" i="4" s="1"/>
  <c r="AG66" i="4"/>
  <c r="AF66" i="4"/>
  <c r="AH66" i="4" s="1"/>
  <c r="AG65" i="4"/>
  <c r="AF65" i="4"/>
  <c r="AH65" i="4" s="1"/>
  <c r="AG64" i="4"/>
  <c r="AF64" i="4"/>
  <c r="AH64" i="4" s="1"/>
  <c r="AG63" i="4"/>
  <c r="AF63" i="4"/>
  <c r="AH63" i="4" s="1"/>
  <c r="AG62" i="4"/>
  <c r="AF62" i="4"/>
  <c r="AH62" i="4" s="1"/>
  <c r="AG61" i="4"/>
  <c r="AF61" i="4"/>
  <c r="AH61" i="4" s="1"/>
  <c r="AG60" i="4"/>
  <c r="AF60" i="4"/>
  <c r="AH60" i="4" s="1"/>
  <c r="AG59" i="4"/>
  <c r="AF59" i="4"/>
  <c r="AH59" i="4" s="1"/>
  <c r="AG58" i="4"/>
  <c r="AF58" i="4"/>
  <c r="AH58" i="4" s="1"/>
  <c r="AG57" i="4"/>
  <c r="AF57" i="4"/>
  <c r="AH57" i="4" s="1"/>
  <c r="AG56" i="4"/>
  <c r="AF56" i="4"/>
  <c r="AH56" i="4" s="1"/>
  <c r="AG55" i="4"/>
  <c r="AF55" i="4"/>
  <c r="AH55" i="4" s="1"/>
  <c r="AG54" i="4"/>
  <c r="AF54" i="4"/>
  <c r="AH54" i="4" s="1"/>
  <c r="AG53" i="4"/>
  <c r="AF53" i="4"/>
  <c r="AH53" i="4" s="1"/>
  <c r="AG52" i="4"/>
  <c r="AF52" i="4"/>
  <c r="AH52" i="4" s="1"/>
  <c r="AG51" i="4"/>
  <c r="AF51" i="4"/>
  <c r="AH51" i="4" s="1"/>
  <c r="AG50" i="4"/>
  <c r="AF50" i="4"/>
  <c r="AH50" i="4" s="1"/>
  <c r="AG49" i="4"/>
  <c r="AF49" i="4"/>
  <c r="AH49" i="4" s="1"/>
  <c r="AG48" i="4"/>
  <c r="AF48" i="4"/>
  <c r="AH48" i="4" s="1"/>
  <c r="AG47" i="4"/>
  <c r="AF47" i="4"/>
  <c r="AH47" i="4" s="1"/>
  <c r="AG46" i="4"/>
  <c r="AF46" i="4"/>
  <c r="AH46" i="4" s="1"/>
  <c r="AG45" i="4"/>
  <c r="AF45" i="4"/>
  <c r="AH45" i="4" s="1"/>
  <c r="AG44" i="4"/>
  <c r="AF44" i="4"/>
  <c r="AH44" i="4" s="1"/>
  <c r="AG43" i="4"/>
  <c r="AF43" i="4"/>
  <c r="AH43" i="4" s="1"/>
  <c r="AG42" i="4"/>
  <c r="AF42" i="4"/>
  <c r="AH42" i="4" s="1"/>
  <c r="AG41" i="4"/>
  <c r="AF41" i="4"/>
  <c r="AH41" i="4" s="1"/>
  <c r="AG40" i="4"/>
  <c r="AF40" i="4"/>
  <c r="AH40" i="4" s="1"/>
  <c r="AG39" i="4"/>
  <c r="AF39" i="4"/>
  <c r="AH39" i="4" s="1"/>
  <c r="AG38" i="4"/>
  <c r="AF38" i="4"/>
  <c r="AH38" i="4" s="1"/>
  <c r="AG37" i="4"/>
  <c r="AF37" i="4"/>
  <c r="AH37" i="4" s="1"/>
  <c r="AG36" i="4"/>
  <c r="AF36" i="4"/>
  <c r="AH36" i="4" s="1"/>
  <c r="AG35" i="4"/>
  <c r="AF35" i="4"/>
  <c r="AH35" i="4" s="1"/>
  <c r="AG34" i="4"/>
  <c r="AF34" i="4"/>
  <c r="AH34" i="4" s="1"/>
  <c r="AG33" i="4"/>
  <c r="AF33" i="4"/>
  <c r="AH33" i="4" s="1"/>
  <c r="AG32" i="4"/>
  <c r="AF32" i="4"/>
  <c r="AH32" i="4" s="1"/>
  <c r="AG31" i="4"/>
  <c r="AF31" i="4"/>
  <c r="AH31" i="4" s="1"/>
  <c r="AG30" i="4"/>
  <c r="AF30" i="4"/>
  <c r="AH30" i="4" s="1"/>
  <c r="AG29" i="4"/>
  <c r="AF29" i="4"/>
  <c r="AH29" i="4" s="1"/>
  <c r="AG28" i="4"/>
  <c r="AF28" i="4"/>
  <c r="AH28" i="4" s="1"/>
  <c r="AH27" i="4"/>
  <c r="AH26" i="4"/>
  <c r="AH25" i="4"/>
  <c r="AH24" i="4"/>
  <c r="AH23" i="4"/>
  <c r="H94" i="1"/>
  <c r="K94" i="1"/>
  <c r="O94" i="1"/>
  <c r="Q94" i="1" s="1"/>
  <c r="H95" i="1"/>
  <c r="K95" i="1"/>
  <c r="O95" i="1"/>
  <c r="Q95" i="1" s="1"/>
  <c r="H96" i="1"/>
  <c r="K96" i="1"/>
  <c r="O96" i="1" s="1"/>
  <c r="Q96" i="1" s="1"/>
  <c r="P96" i="1"/>
  <c r="K148" i="1"/>
  <c r="O148" i="1" s="1"/>
  <c r="H148" i="1"/>
  <c r="P148" i="1" s="1"/>
  <c r="K147" i="1"/>
  <c r="O147" i="1" s="1"/>
  <c r="Q147" i="1" s="1"/>
  <c r="H147" i="1"/>
  <c r="P147" i="1" s="1"/>
  <c r="O146" i="1"/>
  <c r="K146" i="1"/>
  <c r="H146" i="1"/>
  <c r="P146" i="1" s="1"/>
  <c r="K145" i="1"/>
  <c r="O145" i="1" s="1"/>
  <c r="H145" i="1"/>
  <c r="P145" i="1" s="1"/>
  <c r="K144" i="1"/>
  <c r="O144" i="1" s="1"/>
  <c r="H144" i="1"/>
  <c r="P144" i="1" s="1"/>
  <c r="O143" i="1"/>
  <c r="Q143" i="1" s="1"/>
  <c r="K143" i="1"/>
  <c r="H143" i="1"/>
  <c r="P143" i="1" s="1"/>
  <c r="K142" i="1"/>
  <c r="O142" i="1" s="1"/>
  <c r="Q142" i="1" s="1"/>
  <c r="H142" i="1"/>
  <c r="P142" i="1" s="1"/>
  <c r="P141" i="1"/>
  <c r="O141" i="1"/>
  <c r="Q141" i="1" s="1"/>
  <c r="K141" i="1"/>
  <c r="H141" i="1"/>
  <c r="P140" i="1"/>
  <c r="O140" i="1"/>
  <c r="Q140" i="1" s="1"/>
  <c r="K140" i="1"/>
  <c r="H140" i="1"/>
  <c r="K139" i="1"/>
  <c r="O139" i="1" s="1"/>
  <c r="H139" i="1"/>
  <c r="P139" i="1" s="1"/>
  <c r="K138" i="1"/>
  <c r="O138" i="1" s="1"/>
  <c r="Q138" i="1" s="1"/>
  <c r="H138" i="1"/>
  <c r="P138" i="1" s="1"/>
  <c r="O137" i="1"/>
  <c r="K137" i="1"/>
  <c r="H137" i="1"/>
  <c r="P137" i="1" s="1"/>
  <c r="P136" i="1"/>
  <c r="K136" i="1"/>
  <c r="O136" i="1" s="1"/>
  <c r="Q136" i="1" s="1"/>
  <c r="H136" i="1"/>
  <c r="P135" i="1"/>
  <c r="O135" i="1"/>
  <c r="Q135" i="1" s="1"/>
  <c r="K135" i="1"/>
  <c r="H135" i="1"/>
  <c r="P134" i="1"/>
  <c r="K134" i="1"/>
  <c r="O134" i="1" s="1"/>
  <c r="Q134" i="1" s="1"/>
  <c r="H134" i="1"/>
  <c r="K133" i="1"/>
  <c r="O133" i="1" s="1"/>
  <c r="H133" i="1"/>
  <c r="P133" i="1" s="1"/>
  <c r="E132" i="1"/>
  <c r="H132" i="1" s="1"/>
  <c r="P132" i="1" s="1"/>
  <c r="K131" i="1"/>
  <c r="O131" i="1" s="1"/>
  <c r="H131" i="1"/>
  <c r="P131" i="1" s="1"/>
  <c r="O130" i="1"/>
  <c r="K130" i="1"/>
  <c r="H130" i="1"/>
  <c r="P130" i="1" s="1"/>
  <c r="Q130" i="1" s="1"/>
  <c r="P129" i="1"/>
  <c r="K129" i="1"/>
  <c r="O129" i="1" s="1"/>
  <c r="Q129" i="1" s="1"/>
  <c r="H129" i="1"/>
  <c r="P124" i="1"/>
  <c r="O124" i="1"/>
  <c r="Q124" i="1" s="1"/>
  <c r="K124" i="1"/>
  <c r="H124" i="1"/>
  <c r="P123" i="1"/>
  <c r="K123" i="1"/>
  <c r="O123" i="1" s="1"/>
  <c r="Q123" i="1" s="1"/>
  <c r="H123" i="1"/>
  <c r="K122" i="1"/>
  <c r="O122" i="1" s="1"/>
  <c r="Q122" i="1" s="1"/>
  <c r="H122" i="1"/>
  <c r="P122" i="1" s="1"/>
  <c r="K121" i="1"/>
  <c r="O121" i="1" s="1"/>
  <c r="H121" i="1"/>
  <c r="P121" i="1" s="1"/>
  <c r="O120" i="1"/>
  <c r="K120" i="1"/>
  <c r="H120" i="1"/>
  <c r="P120" i="1" s="1"/>
  <c r="P119" i="1"/>
  <c r="K119" i="1"/>
  <c r="O119" i="1" s="1"/>
  <c r="Q119" i="1" s="1"/>
  <c r="H119" i="1"/>
  <c r="P118" i="1"/>
  <c r="O118" i="1"/>
  <c r="Q118" i="1" s="1"/>
  <c r="K118" i="1"/>
  <c r="H118" i="1"/>
  <c r="P117" i="1"/>
  <c r="K117" i="1"/>
  <c r="O117" i="1" s="1"/>
  <c r="Q117" i="1" s="1"/>
  <c r="H117" i="1"/>
  <c r="K116" i="1"/>
  <c r="O116" i="1" s="1"/>
  <c r="Q116" i="1" s="1"/>
  <c r="H116" i="1"/>
  <c r="P116" i="1" s="1"/>
  <c r="K115" i="1"/>
  <c r="O115" i="1" s="1"/>
  <c r="H115" i="1"/>
  <c r="P115" i="1" s="1"/>
  <c r="O114" i="1"/>
  <c r="K114" i="1"/>
  <c r="H114" i="1"/>
  <c r="P114" i="1" s="1"/>
  <c r="Q114" i="1" s="1"/>
  <c r="P113" i="1"/>
  <c r="K113" i="1"/>
  <c r="O113" i="1" s="1"/>
  <c r="Q113" i="1" s="1"/>
  <c r="H113" i="1"/>
  <c r="P112" i="1"/>
  <c r="O112" i="1"/>
  <c r="Q112" i="1" s="1"/>
  <c r="K112" i="1"/>
  <c r="H112" i="1"/>
  <c r="P111" i="1"/>
  <c r="K111" i="1"/>
  <c r="O111" i="1" s="1"/>
  <c r="Q111" i="1" s="1"/>
  <c r="H111" i="1"/>
  <c r="K110" i="1"/>
  <c r="O110" i="1" s="1"/>
  <c r="H110" i="1"/>
  <c r="P110" i="1" s="1"/>
  <c r="K109" i="1"/>
  <c r="O109" i="1" s="1"/>
  <c r="Q109" i="1" s="1"/>
  <c r="H109" i="1"/>
  <c r="P109" i="1" s="1"/>
  <c r="E108" i="1"/>
  <c r="K108" i="1" s="1"/>
  <c r="O108" i="1" s="1"/>
  <c r="O107" i="1"/>
  <c r="K107" i="1"/>
  <c r="H107" i="1"/>
  <c r="P107" i="1" s="1"/>
  <c r="Q107" i="1" s="1"/>
  <c r="P106" i="1"/>
  <c r="K106" i="1"/>
  <c r="O106" i="1" s="1"/>
  <c r="Q106" i="1" s="1"/>
  <c r="H106" i="1"/>
  <c r="P105" i="1"/>
  <c r="O105" i="1"/>
  <c r="Q105" i="1" s="1"/>
  <c r="K105" i="1"/>
  <c r="H105" i="1"/>
  <c r="E96" i="1"/>
  <c r="D49" i="5"/>
  <c r="C51" i="5"/>
  <c r="H2" i="9"/>
  <c r="F16" i="8"/>
  <c r="C27" i="10"/>
  <c r="C17" i="10"/>
  <c r="C18" i="10"/>
  <c r="C16" i="10"/>
  <c r="C15" i="10"/>
  <c r="C14" i="10"/>
  <c r="C13" i="10"/>
  <c r="C20" i="10"/>
  <c r="Q144" i="1" l="1"/>
  <c r="Q131" i="1"/>
  <c r="Q145" i="1"/>
  <c r="Q133" i="1"/>
  <c r="Q137" i="1"/>
  <c r="Q146" i="1"/>
  <c r="Q115" i="1"/>
  <c r="Q120" i="1"/>
  <c r="Q121" i="1"/>
  <c r="Q110" i="1"/>
  <c r="Q139" i="1"/>
  <c r="Q148" i="1"/>
  <c r="K132" i="1"/>
  <c r="O132" i="1" s="1"/>
  <c r="Q132" i="1" s="1"/>
  <c r="H108" i="1"/>
  <c r="P108" i="1" s="1"/>
  <c r="Q108" i="1" s="1"/>
  <c r="C12" i="10"/>
  <c r="C3" i="10" l="1"/>
  <c r="M2" i="9" l="1"/>
  <c r="C6" i="9"/>
  <c r="C2" i="9" s="1"/>
  <c r="H5" i="9" l="1"/>
  <c r="H4" i="9" s="1"/>
  <c r="P5" i="7" l="1"/>
  <c r="Q5" i="7"/>
  <c r="P6" i="7"/>
  <c r="Q6" i="7"/>
  <c r="O7" i="7"/>
  <c r="Q7" i="7"/>
  <c r="O8" i="7"/>
  <c r="Q8" i="7"/>
  <c r="O9" i="7"/>
  <c r="P9" i="7"/>
  <c r="O10" i="7"/>
  <c r="P10" i="7"/>
  <c r="O11" i="7"/>
  <c r="P11" i="7"/>
  <c r="P12" i="7"/>
  <c r="Q12" i="7"/>
  <c r="P13" i="7"/>
  <c r="Q13" i="7"/>
  <c r="P14" i="7"/>
  <c r="Q14" i="7"/>
  <c r="P15" i="7"/>
  <c r="Q15" i="7"/>
  <c r="O16" i="7"/>
  <c r="P16" i="7"/>
  <c r="O17" i="7"/>
  <c r="Q17" i="7"/>
  <c r="O18" i="7"/>
  <c r="Q18" i="7"/>
  <c r="O19" i="7"/>
  <c r="Q19" i="7"/>
  <c r="P4" i="7"/>
  <c r="Q4" i="7"/>
  <c r="F15" i="8"/>
  <c r="F14" i="8"/>
  <c r="F12" i="8"/>
  <c r="F7" i="8"/>
  <c r="F5" i="8"/>
  <c r="F4" i="8"/>
  <c r="F11" i="8"/>
  <c r="C19" i="8"/>
  <c r="D19" i="8" s="1"/>
  <c r="C15" i="8"/>
  <c r="C14" i="8"/>
  <c r="F13" i="8"/>
  <c r="C11" i="8"/>
  <c r="E11" i="8" s="1"/>
  <c r="F10" i="8"/>
  <c r="C10" i="8"/>
  <c r="E10" i="8" s="1"/>
  <c r="F6" i="8"/>
  <c r="C6" i="8"/>
  <c r="E6" i="8" s="1"/>
  <c r="L81" i="4"/>
  <c r="K81" i="4" s="1"/>
  <c r="O81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6" i="4"/>
  <c r="L77" i="4"/>
  <c r="L78" i="4"/>
  <c r="L79" i="4"/>
  <c r="L80" i="4"/>
  <c r="L75" i="4"/>
  <c r="O64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5" i="4"/>
  <c r="O66" i="4"/>
  <c r="O67" i="4"/>
  <c r="O68" i="4"/>
  <c r="O69" i="4"/>
  <c r="O70" i="4"/>
  <c r="O71" i="4"/>
  <c r="O72" i="4"/>
  <c r="O73" i="4"/>
  <c r="O75" i="4"/>
  <c r="O76" i="4"/>
  <c r="O77" i="4"/>
  <c r="O78" i="4"/>
  <c r="O79" i="4"/>
  <c r="O80" i="4"/>
  <c r="O21" i="4"/>
  <c r="O22" i="4"/>
  <c r="C26" i="8" l="1"/>
  <c r="D26" i="8" s="1"/>
  <c r="C27" i="8" s="1"/>
  <c r="D27" i="8" s="1"/>
  <c r="C8" i="8" s="1"/>
  <c r="C23" i="8"/>
  <c r="D23" i="8" s="1"/>
  <c r="C4" i="8" s="1"/>
  <c r="E4" i="8" s="1"/>
  <c r="C24" i="8"/>
  <c r="D24" i="8" s="1"/>
  <c r="C7" i="8"/>
  <c r="E7" i="8" s="1"/>
  <c r="C5" i="8"/>
  <c r="E5" i="8" s="1"/>
  <c r="C13" i="8"/>
  <c r="E13" i="8" s="1"/>
  <c r="C25" i="8"/>
  <c r="D25" i="8" s="1"/>
  <c r="C12" i="8"/>
  <c r="E12" i="8" s="1"/>
  <c r="C28" i="8" l="1"/>
  <c r="D28" i="8" s="1"/>
  <c r="C9" i="8" s="1"/>
  <c r="E8" i="8" s="1"/>
  <c r="E4" i="7" l="1"/>
  <c r="G4" i="7" s="1"/>
  <c r="J4" i="7" s="1"/>
  <c r="K4" i="7" s="1"/>
  <c r="O4" i="7" s="1"/>
  <c r="E19" i="7"/>
  <c r="G19" i="7" s="1"/>
  <c r="J19" i="7" s="1"/>
  <c r="K19" i="7" s="1"/>
  <c r="P19" i="7" s="1"/>
  <c r="E18" i="7"/>
  <c r="G18" i="7" s="1"/>
  <c r="J18" i="7" s="1"/>
  <c r="K18" i="7" s="1"/>
  <c r="P18" i="7" s="1"/>
  <c r="E17" i="7"/>
  <c r="G17" i="7" s="1"/>
  <c r="J17" i="7" s="1"/>
  <c r="K17" i="7" s="1"/>
  <c r="P17" i="7" s="1"/>
  <c r="E16" i="7"/>
  <c r="G16" i="7" s="1"/>
  <c r="J16" i="7" s="1"/>
  <c r="K16" i="7" s="1"/>
  <c r="Q16" i="7" s="1"/>
  <c r="E15" i="7"/>
  <c r="G15" i="7" s="1"/>
  <c r="J15" i="7" s="1"/>
  <c r="K15" i="7" s="1"/>
  <c r="O15" i="7" s="1"/>
  <c r="E14" i="7"/>
  <c r="G14" i="7" s="1"/>
  <c r="J14" i="7" s="1"/>
  <c r="K14" i="7" s="1"/>
  <c r="O14" i="7" s="1"/>
  <c r="E13" i="7"/>
  <c r="G13" i="7" s="1"/>
  <c r="J13" i="7" s="1"/>
  <c r="K13" i="7" s="1"/>
  <c r="O13" i="7" s="1"/>
  <c r="E12" i="7"/>
  <c r="G12" i="7" s="1"/>
  <c r="J12" i="7" s="1"/>
  <c r="K12" i="7" s="1"/>
  <c r="O12" i="7" s="1"/>
  <c r="E11" i="7"/>
  <c r="G11" i="7" s="1"/>
  <c r="J11" i="7" s="1"/>
  <c r="K11" i="7" s="1"/>
  <c r="Q11" i="7" s="1"/>
  <c r="E10" i="7"/>
  <c r="G10" i="7" s="1"/>
  <c r="J10" i="7" s="1"/>
  <c r="K10" i="7" s="1"/>
  <c r="Q10" i="7" s="1"/>
  <c r="E9" i="7"/>
  <c r="G9" i="7" s="1"/>
  <c r="J9" i="7" s="1"/>
  <c r="K9" i="7" s="1"/>
  <c r="Q9" i="7" s="1"/>
  <c r="U4" i="7" s="1"/>
  <c r="E8" i="7"/>
  <c r="G8" i="7" s="1"/>
  <c r="J8" i="7" s="1"/>
  <c r="K8" i="7" s="1"/>
  <c r="P8" i="7" s="1"/>
  <c r="E7" i="7"/>
  <c r="G7" i="7" s="1"/>
  <c r="J7" i="7" s="1"/>
  <c r="K7" i="7" s="1"/>
  <c r="P7" i="7" s="1"/>
  <c r="E6" i="7"/>
  <c r="G6" i="7" s="1"/>
  <c r="J6" i="7" s="1"/>
  <c r="K6" i="7" s="1"/>
  <c r="O6" i="7" s="1"/>
  <c r="E5" i="7"/>
  <c r="G5" i="7" s="1"/>
  <c r="J5" i="7" s="1"/>
  <c r="K5" i="7" s="1"/>
  <c r="O5" i="7" s="1"/>
  <c r="S4" i="7" s="1"/>
  <c r="T4" i="7" l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4" i="6"/>
  <c r="C37" i="5" l="1"/>
  <c r="C31" i="5"/>
  <c r="C47" i="5" s="1"/>
  <c r="C24" i="5"/>
  <c r="M65" i="4"/>
  <c r="N65" i="4"/>
  <c r="P21" i="4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N59" i="4"/>
  <c r="N60" i="4"/>
  <c r="N61" i="4"/>
  <c r="N62" i="4"/>
  <c r="N63" i="4"/>
  <c r="N64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M75" i="4"/>
  <c r="M76" i="4"/>
  <c r="M77" i="4"/>
  <c r="M78" i="4"/>
  <c r="M79" i="4"/>
  <c r="M80" i="4"/>
  <c r="M59" i="4"/>
  <c r="M60" i="4"/>
  <c r="M61" i="4"/>
  <c r="M62" i="4"/>
  <c r="M63" i="4"/>
  <c r="M64" i="4"/>
  <c r="M66" i="4"/>
  <c r="M67" i="4"/>
  <c r="M68" i="4"/>
  <c r="K69" i="4" s="1"/>
  <c r="M69" i="4"/>
  <c r="M70" i="4"/>
  <c r="M71" i="4"/>
  <c r="M72" i="4"/>
  <c r="M73" i="4"/>
  <c r="M74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K40" i="4" s="1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O74" i="4" l="1"/>
  <c r="K51" i="4"/>
  <c r="K46" i="4"/>
  <c r="K30" i="4"/>
  <c r="K78" i="4"/>
  <c r="K75" i="4"/>
  <c r="K31" i="4"/>
  <c r="K45" i="4"/>
  <c r="K77" i="4"/>
  <c r="K67" i="4"/>
  <c r="K74" i="4"/>
  <c r="K36" i="4"/>
  <c r="K28" i="4"/>
  <c r="K71" i="4"/>
  <c r="K76" i="4"/>
  <c r="K39" i="4"/>
  <c r="K54" i="4"/>
  <c r="K44" i="4"/>
  <c r="K47" i="4"/>
  <c r="K52" i="4"/>
  <c r="K22" i="4"/>
  <c r="K68" i="4"/>
  <c r="K27" i="4"/>
  <c r="K42" i="4"/>
  <c r="K33" i="4"/>
  <c r="K23" i="4"/>
  <c r="K59" i="4"/>
  <c r="K35" i="4"/>
  <c r="K50" i="4"/>
  <c r="K34" i="4"/>
  <c r="K41" i="4"/>
  <c r="K24" i="4"/>
  <c r="K60" i="4"/>
  <c r="K43" i="4"/>
  <c r="K66" i="4"/>
  <c r="K26" i="4"/>
  <c r="K21" i="4"/>
  <c r="K49" i="4"/>
  <c r="K25" i="4"/>
  <c r="K58" i="4"/>
  <c r="K63" i="4"/>
  <c r="K62" i="4"/>
  <c r="K32" i="4"/>
  <c r="K48" i="4"/>
  <c r="K56" i="4"/>
  <c r="K72" i="4"/>
  <c r="K55" i="4"/>
  <c r="K38" i="4"/>
  <c r="K70" i="4"/>
  <c r="K64" i="4"/>
  <c r="K37" i="4"/>
  <c r="K61" i="4"/>
  <c r="K53" i="4"/>
  <c r="K29" i="4"/>
  <c r="K73" i="4"/>
  <c r="K65" i="4"/>
  <c r="K57" i="4"/>
  <c r="K80" i="4"/>
  <c r="K79" i="4"/>
  <c r="K20" i="4" l="1"/>
  <c r="J232" i="4" l="1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E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18" i="4"/>
  <c r="J119" i="4"/>
  <c r="J120" i="4"/>
  <c r="J121" i="4"/>
  <c r="J122" i="4"/>
  <c r="J123" i="4"/>
  <c r="J124" i="4"/>
  <c r="J125" i="4"/>
  <c r="J126" i="4"/>
  <c r="J117" i="4"/>
  <c r="J115" i="4"/>
  <c r="J116" i="4"/>
  <c r="J114" i="4"/>
  <c r="J113" i="4"/>
  <c r="J112" i="4"/>
  <c r="J109" i="4"/>
  <c r="J110" i="4"/>
  <c r="J111" i="4"/>
  <c r="J108" i="4"/>
  <c r="J100" i="4"/>
  <c r="J101" i="4"/>
  <c r="J102" i="4"/>
  <c r="J103" i="4"/>
  <c r="J104" i="4"/>
  <c r="J105" i="4"/>
  <c r="J106" i="4"/>
  <c r="J107" i="4"/>
  <c r="J99" i="4"/>
  <c r="J95" i="4"/>
  <c r="J96" i="4"/>
  <c r="J97" i="4"/>
  <c r="J98" i="4"/>
  <c r="J94" i="4"/>
  <c r="J91" i="4"/>
  <c r="J92" i="4"/>
  <c r="J93" i="4"/>
  <c r="J90" i="4"/>
  <c r="J88" i="4"/>
  <c r="J89" i="4"/>
  <c r="J87" i="4"/>
  <c r="J84" i="4"/>
  <c r="J85" i="4"/>
  <c r="J86" i="4"/>
  <c r="J83" i="4"/>
  <c r="J80" i="4"/>
  <c r="J81" i="4"/>
  <c r="J82" i="4"/>
  <c r="J79" i="4"/>
  <c r="J77" i="4"/>
  <c r="J78" i="4"/>
  <c r="J76" i="4"/>
  <c r="J66" i="4"/>
  <c r="J67" i="4"/>
  <c r="J68" i="4"/>
  <c r="J69" i="4"/>
  <c r="J70" i="4"/>
  <c r="J71" i="4"/>
  <c r="J72" i="4"/>
  <c r="J73" i="4"/>
  <c r="J74" i="4"/>
  <c r="J75" i="4"/>
  <c r="J65" i="4"/>
  <c r="J62" i="4"/>
  <c r="J63" i="4"/>
  <c r="J64" i="4"/>
  <c r="J61" i="4"/>
  <c r="J57" i="4"/>
  <c r="J58" i="4"/>
  <c r="J59" i="4"/>
  <c r="J60" i="4"/>
  <c r="J56" i="4"/>
  <c r="J55" i="4"/>
  <c r="J54" i="4"/>
  <c r="J49" i="4"/>
  <c r="J50" i="4"/>
  <c r="J51" i="4"/>
  <c r="J52" i="4"/>
  <c r="J53" i="4"/>
  <c r="J48" i="4"/>
  <c r="J35" i="4" l="1"/>
  <c r="J36" i="4"/>
  <c r="J37" i="4"/>
  <c r="J38" i="4"/>
  <c r="J39" i="4"/>
  <c r="J40" i="4"/>
  <c r="J41" i="4"/>
  <c r="J34" i="4"/>
  <c r="J26" i="4"/>
  <c r="J27" i="4"/>
  <c r="J28" i="4"/>
  <c r="J29" i="4"/>
  <c r="J30" i="4"/>
  <c r="J31" i="4"/>
  <c r="J32" i="4"/>
  <c r="J33" i="4"/>
  <c r="J25" i="4"/>
  <c r="J24" i="4"/>
  <c r="J23" i="4"/>
  <c r="J22" i="4"/>
  <c r="E42" i="4"/>
  <c r="J46" i="4" s="1"/>
  <c r="E19" i="4"/>
  <c r="J20" i="4" l="1"/>
  <c r="J19" i="4"/>
  <c r="J42" i="4"/>
  <c r="J47" i="4"/>
  <c r="J152" i="4"/>
  <c r="J151" i="4"/>
  <c r="J153" i="4"/>
  <c r="J150" i="4"/>
  <c r="J148" i="4"/>
  <c r="J149" i="4"/>
  <c r="J45" i="4"/>
  <c r="J44" i="4"/>
  <c r="J43" i="4"/>
  <c r="K14" i="3"/>
  <c r="K16" i="3"/>
  <c r="K18" i="3"/>
  <c r="K19" i="3"/>
  <c r="K20" i="3"/>
  <c r="K22" i="3"/>
  <c r="K24" i="3"/>
  <c r="K26" i="3"/>
  <c r="K28" i="3"/>
  <c r="K30" i="3"/>
  <c r="K35" i="3"/>
  <c r="K37" i="3"/>
  <c r="K39" i="3"/>
  <c r="K41" i="3"/>
  <c r="K43" i="3"/>
  <c r="K45" i="3"/>
  <c r="K47" i="3"/>
  <c r="K49" i="3"/>
  <c r="K51" i="3"/>
  <c r="K52" i="3"/>
  <c r="K54" i="3"/>
  <c r="K56" i="3"/>
  <c r="K58" i="3"/>
  <c r="K60" i="3"/>
  <c r="K62" i="3"/>
  <c r="K64" i="3"/>
  <c r="K66" i="3"/>
  <c r="K68" i="3"/>
  <c r="K70" i="3"/>
  <c r="K73" i="3"/>
  <c r="J14" i="3"/>
  <c r="J16" i="3"/>
  <c r="J18" i="3"/>
  <c r="J19" i="3"/>
  <c r="J20" i="3"/>
  <c r="J22" i="3"/>
  <c r="J24" i="3"/>
  <c r="J26" i="3"/>
  <c r="J28" i="3"/>
  <c r="J30" i="3"/>
  <c r="J35" i="3"/>
  <c r="J37" i="3"/>
  <c r="J39" i="3"/>
  <c r="J41" i="3"/>
  <c r="J43" i="3"/>
  <c r="J45" i="3"/>
  <c r="J47" i="3"/>
  <c r="J49" i="3"/>
  <c r="J51" i="3"/>
  <c r="J52" i="3"/>
  <c r="J54" i="3"/>
  <c r="J56" i="3"/>
  <c r="J58" i="3"/>
  <c r="J60" i="3"/>
  <c r="J62" i="3"/>
  <c r="J64" i="3"/>
  <c r="J66" i="3"/>
  <c r="J68" i="3"/>
  <c r="J70" i="3"/>
  <c r="J73" i="3"/>
  <c r="U7" i="4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F3" i="3"/>
  <c r="G3" i="3" l="1"/>
  <c r="K3" i="3" l="1"/>
  <c r="F4" i="3"/>
  <c r="G4" i="3" s="1"/>
  <c r="F5" i="3"/>
  <c r="G5" i="3" s="1"/>
  <c r="F6" i="3" l="1"/>
  <c r="G6" i="3" s="1"/>
  <c r="K4" i="3"/>
  <c r="F7" i="3" l="1"/>
  <c r="G7" i="3" s="1"/>
  <c r="K6" i="3"/>
  <c r="H25" i="1"/>
  <c r="P25" i="1" s="1"/>
  <c r="K25" i="1"/>
  <c r="O25" i="1" s="1"/>
  <c r="K63" i="1"/>
  <c r="O63" i="1" s="1"/>
  <c r="H63" i="1"/>
  <c r="P63" i="1" s="1"/>
  <c r="K62" i="1"/>
  <c r="O62" i="1" s="1"/>
  <c r="H62" i="1"/>
  <c r="P62" i="1" s="1"/>
  <c r="K61" i="1"/>
  <c r="O61" i="1" s="1"/>
  <c r="H61" i="1"/>
  <c r="P61" i="1" s="1"/>
  <c r="K60" i="1"/>
  <c r="O60" i="1" s="1"/>
  <c r="H60" i="1"/>
  <c r="P60" i="1" s="1"/>
  <c r="K59" i="1"/>
  <c r="O59" i="1" s="1"/>
  <c r="H59" i="1"/>
  <c r="P59" i="1" s="1"/>
  <c r="K58" i="1"/>
  <c r="O58" i="1" s="1"/>
  <c r="H58" i="1"/>
  <c r="P58" i="1" s="1"/>
  <c r="K57" i="1"/>
  <c r="O57" i="1" s="1"/>
  <c r="H57" i="1"/>
  <c r="P57" i="1" s="1"/>
  <c r="K56" i="1"/>
  <c r="O56" i="1" s="1"/>
  <c r="H56" i="1"/>
  <c r="P56" i="1" s="1"/>
  <c r="K55" i="1"/>
  <c r="O55" i="1" s="1"/>
  <c r="H55" i="1"/>
  <c r="P55" i="1" s="1"/>
  <c r="K54" i="1"/>
  <c r="O54" i="1" s="1"/>
  <c r="H54" i="1"/>
  <c r="P54" i="1" s="1"/>
  <c r="K53" i="1"/>
  <c r="O53" i="1" s="1"/>
  <c r="H53" i="1"/>
  <c r="P53" i="1" s="1"/>
  <c r="K52" i="1"/>
  <c r="O52" i="1" s="1"/>
  <c r="H52" i="1"/>
  <c r="P52" i="1" s="1"/>
  <c r="K51" i="1"/>
  <c r="O51" i="1" s="1"/>
  <c r="H51" i="1"/>
  <c r="P51" i="1" s="1"/>
  <c r="K50" i="1"/>
  <c r="O50" i="1" s="1"/>
  <c r="H50" i="1"/>
  <c r="P50" i="1" s="1"/>
  <c r="K49" i="1"/>
  <c r="O49" i="1" s="1"/>
  <c r="H49" i="1"/>
  <c r="P49" i="1" s="1"/>
  <c r="K48" i="1"/>
  <c r="O48" i="1" s="1"/>
  <c r="H48" i="1"/>
  <c r="P48" i="1" s="1"/>
  <c r="E47" i="1"/>
  <c r="H47" i="1" s="1"/>
  <c r="P47" i="1" s="1"/>
  <c r="K46" i="1"/>
  <c r="O46" i="1" s="1"/>
  <c r="H46" i="1"/>
  <c r="P46" i="1" s="1"/>
  <c r="K45" i="1"/>
  <c r="O45" i="1" s="1"/>
  <c r="H45" i="1"/>
  <c r="P45" i="1" s="1"/>
  <c r="K44" i="1"/>
  <c r="O44" i="1" s="1"/>
  <c r="H44" i="1"/>
  <c r="P44" i="1" s="1"/>
  <c r="K42" i="1"/>
  <c r="O42" i="1" s="1"/>
  <c r="H42" i="1"/>
  <c r="P42" i="1" s="1"/>
  <c r="K41" i="1"/>
  <c r="O41" i="1" s="1"/>
  <c r="H41" i="1"/>
  <c r="P41" i="1" s="1"/>
  <c r="K40" i="1"/>
  <c r="O40" i="1" s="1"/>
  <c r="H40" i="1"/>
  <c r="P40" i="1" s="1"/>
  <c r="K39" i="1"/>
  <c r="O39" i="1" s="1"/>
  <c r="H39" i="1"/>
  <c r="P39" i="1" s="1"/>
  <c r="K38" i="1"/>
  <c r="O38" i="1" s="1"/>
  <c r="H38" i="1"/>
  <c r="P38" i="1" s="1"/>
  <c r="K37" i="1"/>
  <c r="O37" i="1" s="1"/>
  <c r="H37" i="1"/>
  <c r="P37" i="1" s="1"/>
  <c r="K36" i="1"/>
  <c r="O36" i="1" s="1"/>
  <c r="H36" i="1"/>
  <c r="P36" i="1" s="1"/>
  <c r="K35" i="1"/>
  <c r="O35" i="1" s="1"/>
  <c r="H35" i="1"/>
  <c r="P35" i="1" s="1"/>
  <c r="K34" i="1"/>
  <c r="O34" i="1" s="1"/>
  <c r="H34" i="1"/>
  <c r="P34" i="1" s="1"/>
  <c r="K33" i="1"/>
  <c r="O33" i="1" s="1"/>
  <c r="H33" i="1"/>
  <c r="P33" i="1" s="1"/>
  <c r="K32" i="1"/>
  <c r="O32" i="1" s="1"/>
  <c r="H32" i="1"/>
  <c r="P32" i="1" s="1"/>
  <c r="K31" i="1"/>
  <c r="O31" i="1" s="1"/>
  <c r="H31" i="1"/>
  <c r="P31" i="1" s="1"/>
  <c r="K30" i="1"/>
  <c r="O30" i="1" s="1"/>
  <c r="H30" i="1"/>
  <c r="P30" i="1" s="1"/>
  <c r="K29" i="1"/>
  <c r="O29" i="1" s="1"/>
  <c r="H29" i="1"/>
  <c r="P29" i="1" s="1"/>
  <c r="K28" i="1"/>
  <c r="O28" i="1" s="1"/>
  <c r="H28" i="1"/>
  <c r="P28" i="1" s="1"/>
  <c r="K27" i="1"/>
  <c r="O27" i="1" s="1"/>
  <c r="H27" i="1"/>
  <c r="P27" i="1" s="1"/>
  <c r="E26" i="1"/>
  <c r="H26" i="1" s="1"/>
  <c r="P26" i="1" s="1"/>
  <c r="K24" i="1"/>
  <c r="O24" i="1" s="1"/>
  <c r="H24" i="1"/>
  <c r="P24" i="1" s="1"/>
  <c r="K23" i="1"/>
  <c r="O23" i="1" s="1"/>
  <c r="H23" i="1"/>
  <c r="P23" i="1" s="1"/>
  <c r="E21" i="1"/>
  <c r="H21" i="1" s="1"/>
  <c r="P21" i="1" s="1"/>
  <c r="K20" i="1"/>
  <c r="O20" i="1" s="1"/>
  <c r="Q20" i="1" s="1"/>
  <c r="H20" i="1"/>
  <c r="K19" i="1"/>
  <c r="O19" i="1" s="1"/>
  <c r="Q19" i="1" s="1"/>
  <c r="H19" i="1"/>
  <c r="K7" i="3" l="1"/>
  <c r="F10" i="3"/>
  <c r="F8" i="3"/>
  <c r="F9" i="3"/>
  <c r="G10" i="3"/>
  <c r="G9" i="3"/>
  <c r="G8" i="3"/>
  <c r="K8" i="3" s="1"/>
  <c r="Q60" i="1"/>
  <c r="Q30" i="1"/>
  <c r="Q25" i="1"/>
  <c r="K47" i="1"/>
  <c r="O47" i="1" s="1"/>
  <c r="Q47" i="1" s="1"/>
  <c r="Q63" i="1"/>
  <c r="Q41" i="1"/>
  <c r="Q55" i="1"/>
  <c r="Q48" i="1"/>
  <c r="Q57" i="1"/>
  <c r="Q61" i="1"/>
  <c r="Q44" i="1"/>
  <c r="Q24" i="1"/>
  <c r="Q53" i="1"/>
  <c r="Q32" i="1"/>
  <c r="Q50" i="1"/>
  <c r="Q46" i="1"/>
  <c r="Q59" i="1"/>
  <c r="Q35" i="1"/>
  <c r="Q51" i="1"/>
  <c r="Q37" i="1"/>
  <c r="Q40" i="1"/>
  <c r="Q39" i="1"/>
  <c r="K26" i="1"/>
  <c r="O26" i="1" s="1"/>
  <c r="Q26" i="1" s="1"/>
  <c r="Q31" i="1"/>
  <c r="Q28" i="1"/>
  <c r="Q33" i="1"/>
  <c r="H70" i="1"/>
  <c r="F7" i="2" s="1"/>
  <c r="F12" i="2" s="1"/>
  <c r="L12" i="2" s="1"/>
  <c r="Q42" i="1"/>
  <c r="Q38" i="1"/>
  <c r="Q52" i="1"/>
  <c r="Q56" i="1"/>
  <c r="Q34" i="1"/>
  <c r="Q62" i="1"/>
  <c r="Q49" i="1"/>
  <c r="Q27" i="1"/>
  <c r="Q45" i="1"/>
  <c r="Q58" i="1"/>
  <c r="Q29" i="1"/>
  <c r="Q23" i="1"/>
  <c r="Q54" i="1"/>
  <c r="Q36" i="1"/>
  <c r="K21" i="1"/>
  <c r="O21" i="1" s="1"/>
  <c r="Q21" i="1" s="1"/>
  <c r="U70" i="1" s="1"/>
  <c r="F30" i="3" l="1"/>
  <c r="G30" i="3" s="1"/>
  <c r="K9" i="3"/>
  <c r="F12" i="3"/>
  <c r="F11" i="3"/>
  <c r="G11" i="3" s="1"/>
  <c r="K11" i="3" s="1"/>
  <c r="U30" i="1"/>
  <c r="G12" i="3"/>
  <c r="U7" i="1"/>
  <c r="F14" i="2"/>
  <c r="L14" i="2" s="1"/>
  <c r="Q70" i="1"/>
  <c r="F10" i="2"/>
  <c r="L10" i="2" s="1"/>
  <c r="F8" i="2"/>
  <c r="L8" i="2" s="1"/>
  <c r="F15" i="2"/>
  <c r="L15" i="2" s="1"/>
  <c r="F17" i="2"/>
  <c r="L17" i="2" s="1"/>
  <c r="F13" i="2"/>
  <c r="L13" i="2" s="1"/>
  <c r="F16" i="2"/>
  <c r="L16" i="2" s="1"/>
  <c r="F11" i="2"/>
  <c r="L11" i="2" s="1"/>
  <c r="F9" i="2"/>
  <c r="L9" i="2" s="1"/>
  <c r="K70" i="1"/>
  <c r="G7" i="2" s="1"/>
  <c r="F20" i="3" l="1"/>
  <c r="G20" i="3" s="1"/>
  <c r="K12" i="3"/>
  <c r="U27" i="1"/>
  <c r="F13" i="3"/>
  <c r="F14" i="3"/>
  <c r="G13" i="3"/>
  <c r="K13" i="3" s="1"/>
  <c r="G13" i="2"/>
  <c r="K13" i="2" s="1"/>
  <c r="M13" i="2" s="1"/>
  <c r="G8" i="2"/>
  <c r="K8" i="2" s="1"/>
  <c r="M8" i="2" s="1"/>
  <c r="G15" i="2"/>
  <c r="K15" i="2" s="1"/>
  <c r="M15" i="2" s="1"/>
  <c r="G10" i="2"/>
  <c r="K10" i="2" s="1"/>
  <c r="M10" i="2" s="1"/>
  <c r="G17" i="2"/>
  <c r="K17" i="2" s="1"/>
  <c r="M17" i="2" s="1"/>
  <c r="G12" i="2"/>
  <c r="K12" i="2" s="1"/>
  <c r="M12" i="2" s="1"/>
  <c r="G9" i="2"/>
  <c r="K9" i="2" s="1"/>
  <c r="M9" i="2" s="1"/>
  <c r="G14" i="2"/>
  <c r="K14" i="2" s="1"/>
  <c r="M14" i="2" s="1"/>
  <c r="G16" i="2"/>
  <c r="K16" i="2" s="1"/>
  <c r="M16" i="2" s="1"/>
  <c r="G11" i="2"/>
  <c r="K11" i="2" s="1"/>
  <c r="M11" i="2" s="1"/>
  <c r="F16" i="3" l="1"/>
  <c r="F15" i="3"/>
  <c r="G15" i="3" s="1"/>
  <c r="K15" i="3" s="1"/>
  <c r="G14" i="3"/>
  <c r="F21" i="3" s="1"/>
  <c r="G21" i="3" s="1"/>
  <c r="K21" i="3" s="1"/>
  <c r="M19" i="2"/>
  <c r="M21" i="2" s="1"/>
  <c r="F22" i="3" l="1"/>
  <c r="G22" i="3" s="1"/>
  <c r="F17" i="3"/>
  <c r="G17" i="3" s="1"/>
  <c r="F18" i="3"/>
  <c r="G16" i="3"/>
  <c r="F19" i="3" l="1"/>
  <c r="K17" i="3"/>
  <c r="F23" i="3"/>
  <c r="G23" i="3" s="1"/>
  <c r="K23" i="3" s="1"/>
  <c r="G18" i="3"/>
  <c r="F24" i="3" l="1"/>
  <c r="G24" i="3" s="1"/>
  <c r="F25" i="3" s="1"/>
  <c r="G25" i="3" s="1"/>
  <c r="K25" i="3" s="1"/>
  <c r="G19" i="3"/>
  <c r="F26" i="3" l="1"/>
  <c r="G26" i="3" s="1"/>
  <c r="F27" i="3" s="1"/>
  <c r="G27" i="3" s="1"/>
  <c r="K27" i="3" s="1"/>
  <c r="F28" i="3" l="1"/>
  <c r="G28" i="3" s="1"/>
  <c r="F29" i="3" l="1"/>
  <c r="G29" i="3" s="1"/>
  <c r="K10" i="3" l="1"/>
  <c r="K29" i="3"/>
  <c r="F31" i="3"/>
  <c r="G31" i="3" s="1"/>
  <c r="K31" i="3" s="1"/>
  <c r="F33" i="3"/>
  <c r="G33" i="3" s="1"/>
  <c r="K33" i="3" s="1"/>
  <c r="F32" i="3"/>
  <c r="G32" i="3" s="1"/>
  <c r="F35" i="3" l="1"/>
  <c r="G35" i="3" s="1"/>
  <c r="F53" i="3" s="1"/>
  <c r="G53" i="3" s="1"/>
  <c r="K53" i="3" s="1"/>
  <c r="F34" i="3"/>
  <c r="G34" i="3" s="1"/>
  <c r="K34" i="3" s="1"/>
  <c r="F73" i="3"/>
  <c r="G73" i="3" s="1"/>
  <c r="F37" i="3" l="1"/>
  <c r="G37" i="3" s="1"/>
  <c r="F36" i="3"/>
  <c r="F54" i="3"/>
  <c r="G54" i="3" s="1"/>
  <c r="G36" i="3" l="1"/>
  <c r="K36" i="3" s="1"/>
  <c r="F55" i="3"/>
  <c r="G55" i="3" s="1"/>
  <c r="K55" i="3" s="1"/>
  <c r="F56" i="3" l="1"/>
  <c r="F38" i="3"/>
  <c r="G38" i="3" s="1"/>
  <c r="K38" i="3" s="1"/>
  <c r="F39" i="3"/>
  <c r="G39" i="3" s="1"/>
  <c r="F40" i="3" l="1"/>
  <c r="G40" i="3" s="1"/>
  <c r="K40" i="3" s="1"/>
  <c r="F41" i="3"/>
  <c r="G41" i="3" s="1"/>
  <c r="G56" i="3"/>
  <c r="F57" i="3" s="1"/>
  <c r="G57" i="3" s="1"/>
  <c r="K57" i="3" s="1"/>
  <c r="F58" i="3" l="1"/>
  <c r="F42" i="3"/>
  <c r="G42" i="3" s="1"/>
  <c r="K42" i="3" s="1"/>
  <c r="F43" i="3"/>
  <c r="G43" i="3" s="1"/>
  <c r="F44" i="3" l="1"/>
  <c r="G44" i="3" s="1"/>
  <c r="K44" i="3" s="1"/>
  <c r="F45" i="3"/>
  <c r="G45" i="3" s="1"/>
  <c r="G58" i="3"/>
  <c r="F59" i="3" s="1"/>
  <c r="G59" i="3" s="1"/>
  <c r="K59" i="3" s="1"/>
  <c r="F60" i="3" l="1"/>
  <c r="F46" i="3"/>
  <c r="G46" i="3" s="1"/>
  <c r="K46" i="3" s="1"/>
  <c r="F47" i="3"/>
  <c r="G47" i="3" s="1"/>
  <c r="F48" i="3" l="1"/>
  <c r="G48" i="3" s="1"/>
  <c r="K48" i="3" s="1"/>
  <c r="F49" i="3"/>
  <c r="G49" i="3" s="1"/>
  <c r="G60" i="3"/>
  <c r="F61" i="3" s="1"/>
  <c r="G61" i="3" s="1"/>
  <c r="K61" i="3" s="1"/>
  <c r="F62" i="3" l="1"/>
  <c r="F50" i="3"/>
  <c r="G50" i="3" s="1"/>
  <c r="K50" i="3" s="1"/>
  <c r="F51" i="3"/>
  <c r="G51" i="3" s="1"/>
  <c r="F52" i="3" l="1"/>
  <c r="G52" i="3" s="1"/>
  <c r="G62" i="3"/>
  <c r="F63" i="3" s="1"/>
  <c r="G63" i="3" s="1"/>
  <c r="K63" i="3" s="1"/>
  <c r="F64" i="3" l="1"/>
  <c r="G64" i="3" l="1"/>
  <c r="F65" i="3" s="1"/>
  <c r="G65" i="3" s="1"/>
  <c r="K65" i="3" s="1"/>
  <c r="F66" i="3" l="1"/>
  <c r="G66" i="3" l="1"/>
  <c r="F67" i="3" s="1"/>
  <c r="G67" i="3" s="1"/>
  <c r="K67" i="3" s="1"/>
  <c r="F68" i="3" l="1"/>
  <c r="G68" i="3" l="1"/>
  <c r="F69" i="3" s="1"/>
  <c r="G69" i="3" s="1"/>
  <c r="K69" i="3" s="1"/>
  <c r="F70" i="3" l="1"/>
  <c r="G70" i="3" l="1"/>
  <c r="F71" i="3" s="1"/>
  <c r="G71" i="3" s="1"/>
  <c r="K71" i="3" s="1"/>
  <c r="F72" i="3" l="1"/>
  <c r="G72" i="3" l="1"/>
  <c r="K32" i="3" l="1"/>
  <c r="K72" i="3"/>
  <c r="F74" i="3"/>
  <c r="G74" i="3" l="1"/>
  <c r="F75" i="3" l="1"/>
  <c r="G75" i="3" s="1"/>
  <c r="K74" i="3"/>
  <c r="F76" i="3"/>
  <c r="G76" i="3" s="1"/>
  <c r="K76" i="3" s="1"/>
  <c r="K5" i="3" l="1"/>
  <c r="K75" i="3"/>
  <c r="F77" i="3"/>
  <c r="G77" i="3" s="1"/>
  <c r="K77" i="3" l="1"/>
  <c r="I77" i="3"/>
  <c r="J77" i="3" s="1"/>
  <c r="H77" i="3" l="1"/>
  <c r="I76" i="3"/>
  <c r="H76" i="3" l="1"/>
  <c r="J76" i="3"/>
  <c r="I75" i="3"/>
  <c r="I5" i="3"/>
  <c r="H5" i="3" l="1"/>
  <c r="J5" i="3"/>
  <c r="H75" i="3"/>
  <c r="I74" i="3" s="1"/>
  <c r="J74" i="3" s="1"/>
  <c r="J75" i="3"/>
  <c r="H74" i="3" l="1"/>
  <c r="I72" i="3"/>
  <c r="J72" i="3" s="1"/>
  <c r="I32" i="3"/>
  <c r="J32" i="3" s="1"/>
  <c r="I73" i="3"/>
  <c r="H73" i="3" s="1"/>
  <c r="I31" i="3" s="1"/>
  <c r="H31" i="3" l="1"/>
  <c r="J31" i="3"/>
  <c r="H32" i="3"/>
  <c r="H72" i="3"/>
  <c r="I71" i="3" s="1"/>
  <c r="H71" i="3" l="1"/>
  <c r="J71" i="3"/>
  <c r="I52" i="3"/>
  <c r="H52" i="3" s="1"/>
  <c r="I50" i="3" s="1"/>
  <c r="I70" i="3"/>
  <c r="H50" i="3" l="1"/>
  <c r="J50" i="3"/>
  <c r="H70" i="3"/>
  <c r="I69" i="3" s="1"/>
  <c r="H69" i="3" l="1"/>
  <c r="J69" i="3"/>
  <c r="I68" i="3"/>
  <c r="I51" i="3"/>
  <c r="H51" i="3" l="1"/>
  <c r="I48" i="3" s="1"/>
  <c r="H68" i="3"/>
  <c r="I67" i="3" s="1"/>
  <c r="H67" i="3" l="1"/>
  <c r="J67" i="3"/>
  <c r="H48" i="3"/>
  <c r="J48" i="3"/>
  <c r="I66" i="3"/>
  <c r="I49" i="3"/>
  <c r="H49" i="3" l="1"/>
  <c r="I46" i="3" s="1"/>
  <c r="H66" i="3"/>
  <c r="I65" i="3" s="1"/>
  <c r="H65" i="3" l="1"/>
  <c r="J65" i="3"/>
  <c r="H46" i="3"/>
  <c r="J46" i="3"/>
  <c r="I64" i="3"/>
  <c r="I47" i="3"/>
  <c r="H47" i="3" l="1"/>
  <c r="I44" i="3" s="1"/>
  <c r="H64" i="3"/>
  <c r="I63" i="3" s="1"/>
  <c r="H63" i="3" l="1"/>
  <c r="J63" i="3"/>
  <c r="H44" i="3"/>
  <c r="J44" i="3"/>
  <c r="I45" i="3"/>
  <c r="I62" i="3"/>
  <c r="H62" i="3" l="1"/>
  <c r="I61" i="3" s="1"/>
  <c r="H45" i="3"/>
  <c r="I42" i="3" s="1"/>
  <c r="H42" i="3" l="1"/>
  <c r="J42" i="3"/>
  <c r="H61" i="3"/>
  <c r="J61" i="3"/>
  <c r="I43" i="3"/>
  <c r="I60" i="3"/>
  <c r="H60" i="3" l="1"/>
  <c r="I59" i="3" s="1"/>
  <c r="H43" i="3"/>
  <c r="I40" i="3" s="1"/>
  <c r="H59" i="3" l="1"/>
  <c r="J59" i="3"/>
  <c r="H40" i="3"/>
  <c r="J40" i="3"/>
  <c r="I58" i="3"/>
  <c r="I41" i="3"/>
  <c r="H41" i="3" l="1"/>
  <c r="I38" i="3" s="1"/>
  <c r="H58" i="3"/>
  <c r="I57" i="3" s="1"/>
  <c r="H38" i="3" l="1"/>
  <c r="J38" i="3"/>
  <c r="H57" i="3"/>
  <c r="J57" i="3"/>
  <c r="I56" i="3"/>
  <c r="I39" i="3"/>
  <c r="H39" i="3" l="1"/>
  <c r="I36" i="3" s="1"/>
  <c r="J36" i="3" s="1"/>
  <c r="H56" i="3"/>
  <c r="I55" i="3" s="1"/>
  <c r="H55" i="3" l="1"/>
  <c r="J55" i="3"/>
  <c r="I37" i="3"/>
  <c r="I54" i="3"/>
  <c r="H54" i="3" s="1"/>
  <c r="I53" i="3" s="1"/>
  <c r="J53" i="3" s="1"/>
  <c r="H36" i="3"/>
  <c r="H53" i="3" l="1"/>
  <c r="I35" i="3" s="1"/>
  <c r="H37" i="3"/>
  <c r="I34" i="3" s="1"/>
  <c r="J34" i="3" s="1"/>
  <c r="H34" i="3" l="1"/>
  <c r="I33" i="3" s="1"/>
  <c r="H35" i="3"/>
  <c r="H33" i="3" l="1"/>
  <c r="J33" i="3"/>
  <c r="I29" i="3"/>
  <c r="J29" i="3" s="1"/>
  <c r="I30" i="3"/>
  <c r="H30" i="3" s="1"/>
  <c r="I9" i="3" s="1"/>
  <c r="J9" i="3" s="1"/>
  <c r="I10" i="3"/>
  <c r="J10" i="3" s="1"/>
  <c r="H29" i="3" l="1"/>
  <c r="I28" i="3" s="1"/>
  <c r="H28" i="3" s="1"/>
  <c r="I27" i="3" s="1"/>
  <c r="J27" i="3" s="1"/>
  <c r="H10" i="3"/>
  <c r="H9" i="3"/>
  <c r="H27" i="3" l="1"/>
  <c r="I19" i="3"/>
  <c r="H19" i="3" s="1"/>
  <c r="I17" i="3" s="1"/>
  <c r="J17" i="3" s="1"/>
  <c r="I26" i="3"/>
  <c r="H26" i="3" s="1"/>
  <c r="I25" i="3" s="1"/>
  <c r="J25" i="3" s="1"/>
  <c r="H17" i="3" l="1"/>
  <c r="H25" i="3"/>
  <c r="I24" i="3" l="1"/>
  <c r="H24" i="3" s="1"/>
  <c r="I23" i="3" s="1"/>
  <c r="J23" i="3" s="1"/>
  <c r="I18" i="3"/>
  <c r="H18" i="3" s="1"/>
  <c r="I15" i="3" s="1"/>
  <c r="J15" i="3" s="1"/>
  <c r="H15" i="3" l="1"/>
  <c r="H23" i="3"/>
  <c r="I16" i="3" l="1"/>
  <c r="H16" i="3" s="1"/>
  <c r="I13" i="3" s="1"/>
  <c r="J13" i="3" s="1"/>
  <c r="I22" i="3"/>
  <c r="H22" i="3" s="1"/>
  <c r="I21" i="3" s="1"/>
  <c r="J21" i="3" s="1"/>
  <c r="H13" i="3" l="1"/>
  <c r="H21" i="3"/>
  <c r="I20" i="3" l="1"/>
  <c r="H20" i="3" s="1"/>
  <c r="I12" i="3" s="1"/>
  <c r="J12" i="3" s="1"/>
  <c r="I14" i="3"/>
  <c r="H14" i="3" s="1"/>
  <c r="I11" i="3" s="1"/>
  <c r="J11" i="3" s="1"/>
  <c r="H11" i="3" l="1"/>
  <c r="H12" i="3"/>
  <c r="I8" i="3" l="1"/>
  <c r="H8" i="3" l="1"/>
  <c r="I7" i="3" s="1"/>
  <c r="J7" i="3" s="1"/>
  <c r="J8" i="3"/>
  <c r="H7" i="3" l="1"/>
  <c r="I6" i="3" s="1"/>
  <c r="J6" i="3" s="1"/>
  <c r="H6" i="3" l="1"/>
  <c r="I4" i="3" s="1"/>
  <c r="H4" i="3" s="1"/>
  <c r="I3" i="3" s="1"/>
  <c r="J4" i="3" l="1"/>
  <c r="H3" i="3"/>
  <c r="J3" i="3"/>
</calcChain>
</file>

<file path=xl/sharedStrings.xml><?xml version="1.0" encoding="utf-8"?>
<sst xmlns="http://schemas.openxmlformats.org/spreadsheetml/2006/main" count="1684" uniqueCount="519">
  <si>
    <t>ПОДВАЛ</t>
  </si>
  <si>
    <t>Планировка площадей</t>
  </si>
  <si>
    <t>1000 м2</t>
  </si>
  <si>
    <t>ГЭСН 01-02-027-03</t>
  </si>
  <si>
    <t>машинисты</t>
  </si>
  <si>
    <t>Площадь затройки * Высота этажа</t>
  </si>
  <si>
    <t xml:space="preserve">Разработка грунта в отвал </t>
  </si>
  <si>
    <t>1000 м3</t>
  </si>
  <si>
    <t xml:space="preserve">ГЭСН 01-01-008-07 </t>
  </si>
  <si>
    <t>Укладка фундаментов под колонны</t>
  </si>
  <si>
    <t>100 шт.</t>
  </si>
  <si>
    <t xml:space="preserve">ГЭСН 07-01-001-06 </t>
  </si>
  <si>
    <t>Кран гусеничный до 16 т</t>
  </si>
  <si>
    <t>Рабочие-строители 3, 4 разряда; машинисты</t>
  </si>
  <si>
    <t>Площадь / Площадь плиты</t>
  </si>
  <si>
    <t>№</t>
  </si>
  <si>
    <t>Наименование работ</t>
  </si>
  <si>
    <t>Объём работ</t>
  </si>
  <si>
    <t>Обоснование(ГЭСН)</t>
  </si>
  <si>
    <t>Затраты труда</t>
  </si>
  <si>
    <t>Затраты маш. вр.</t>
  </si>
  <si>
    <t>Число рабочих</t>
  </si>
  <si>
    <t>Число машин</t>
  </si>
  <si>
    <t>Число смен</t>
  </si>
  <si>
    <t>Продолит. Механ. Работ дн</t>
  </si>
  <si>
    <t>Продолжит. Немехан. Работ дн</t>
  </si>
  <si>
    <t>Продолжит. Раб, дн.</t>
  </si>
  <si>
    <t>Состав бригады чел.</t>
  </si>
  <si>
    <t>Расчёт объёма</t>
  </si>
  <si>
    <t>ед. изм.</t>
  </si>
  <si>
    <t>кол-во</t>
  </si>
  <si>
    <t>норм. чел. ч.</t>
  </si>
  <si>
    <t>Q всего чел. ч.</t>
  </si>
  <si>
    <t>Машина</t>
  </si>
  <si>
    <t>норм маш.ч.</t>
  </si>
  <si>
    <t>Q всего маш.ч.</t>
  </si>
  <si>
    <t>1 ЗАХВАТКА</t>
  </si>
  <si>
    <t>Установка колонн</t>
  </si>
  <si>
    <t xml:space="preserve">ГЭСН 07-01-011-03 </t>
  </si>
  <si>
    <t>Рабочие-строители 3, 8 разряда; машинисты</t>
  </si>
  <si>
    <t>Кол-во колон</t>
  </si>
  <si>
    <t xml:space="preserve">Укладка плит перекрытий </t>
  </si>
  <si>
    <t xml:space="preserve">ГЭСН 07-01-006-07 </t>
  </si>
  <si>
    <t>Кран гусеничный до 40 т</t>
  </si>
  <si>
    <t>Рабочие-строители 3, 6 разряда; машинисты</t>
  </si>
  <si>
    <t>Площадь / Площадь плиты перекрытия</t>
  </si>
  <si>
    <t>Установка стеновых панелей</t>
  </si>
  <si>
    <t xml:space="preserve">ГЭСН 07-01-006-08 </t>
  </si>
  <si>
    <t>Кран гусеничный до 25 т</t>
  </si>
  <si>
    <t>Рабочие-строители 3, 9 разряда; машинисты</t>
  </si>
  <si>
    <t>Площадь стен / Площадь стенновой панели</t>
  </si>
  <si>
    <t>Установка панелей перегородок</t>
  </si>
  <si>
    <t>100 м3</t>
  </si>
  <si>
    <t xml:space="preserve">ГЭСН 07-02-001-15 </t>
  </si>
  <si>
    <t>Кол-во панелей * Объём панели</t>
  </si>
  <si>
    <t>Установка лестничных маршей</t>
  </si>
  <si>
    <t>ГЭСН 07-01-047-03</t>
  </si>
  <si>
    <t>Кран башенный до 8 т</t>
  </si>
  <si>
    <t>Кол-во маршей</t>
  </si>
  <si>
    <t>Устройство стяжек</t>
  </si>
  <si>
    <t>100 м2</t>
  </si>
  <si>
    <t xml:space="preserve">ГЭСН 11-01-011-01 </t>
  </si>
  <si>
    <t>Вибратор поверхностный</t>
  </si>
  <si>
    <t>Рабочие-строители 2, 2 разряда</t>
  </si>
  <si>
    <t>Площадь</t>
  </si>
  <si>
    <t>Устройство покрытий: из паркета мозаичного</t>
  </si>
  <si>
    <t>ГЭСН 11-01-034-02</t>
  </si>
  <si>
    <t>Машина паркетно-шлифовальная</t>
  </si>
  <si>
    <t>Площадь сухих помещений</t>
  </si>
  <si>
    <t>Устройство покрытий на цементном растворе из плиток</t>
  </si>
  <si>
    <t xml:space="preserve">ГЭСН 11-01-027-03 </t>
  </si>
  <si>
    <t>Рабочие-строители 3, 2 разряда; машинисты</t>
  </si>
  <si>
    <t>Площадь мокрых помещений</t>
  </si>
  <si>
    <t>Установка блоков в наружных и внутренних дверных проемах</t>
  </si>
  <si>
    <t xml:space="preserve">ГЭСН 10-01-039-01 </t>
  </si>
  <si>
    <t>Кол-во дверей * площадь блоков</t>
  </si>
  <si>
    <t>Установка дверных полотен</t>
  </si>
  <si>
    <t xml:space="preserve">ГЭСН 56-21-05 </t>
  </si>
  <si>
    <t>Рабочие-строители 4, 3 разряда; машинисты</t>
  </si>
  <si>
    <t>Кол-во дверей * площадь полотна</t>
  </si>
  <si>
    <t>Штукатурка поверхностей внутри здания известковым раствором простая: по камню и бетону стен</t>
  </si>
  <si>
    <t xml:space="preserve">ГЭСН 15-02-015-01 </t>
  </si>
  <si>
    <t>Рабочие-строители 3, 5 разряда; машинисты</t>
  </si>
  <si>
    <t>Площадь стен</t>
  </si>
  <si>
    <t>Окраска поливинилацетатными водоэмульсионными составами простая по штукатурке и сборным конструкциям</t>
  </si>
  <si>
    <t xml:space="preserve">ГЭСН 15-04-005-01 </t>
  </si>
  <si>
    <t>Штукатурка поверхностей внутри здания известковым раствором простая: по камню и бетону потолков</t>
  </si>
  <si>
    <t xml:space="preserve">ГЭСН 15-02-015-02 </t>
  </si>
  <si>
    <t>Окраска поливинилацетатными водоэмульсионными составами простая по штукатурке и сборным конструкциям: потолков, подготовленным под окраску</t>
  </si>
  <si>
    <t xml:space="preserve">ГЭСН 15-04-005-02 </t>
  </si>
  <si>
    <t>Остекление оконным стеклом окон</t>
  </si>
  <si>
    <t>ГЭСН 15-05-001-03</t>
  </si>
  <si>
    <t>Рабочие-строители 3 разряда; машинисты</t>
  </si>
  <si>
    <t>Кол-во окон * Площадь стекла</t>
  </si>
  <si>
    <t xml:space="preserve">Установка деревянных подоконных досок </t>
  </si>
  <si>
    <t xml:space="preserve">ГЭСН 10-01-033-02 </t>
  </si>
  <si>
    <t>Рабочие-строители 3, 1 разряда; машинисты</t>
  </si>
  <si>
    <t>Кол-во окон * площадь доски</t>
  </si>
  <si>
    <t>Наружная облицовка</t>
  </si>
  <si>
    <t>ГЭСН 15-01-017-01</t>
  </si>
  <si>
    <t>Площадь стен снаружи</t>
  </si>
  <si>
    <t>Устройство покрытий: из линолеума насухо со свариванием полотнищ в стыках</t>
  </si>
  <si>
    <t>ГЭСН 11-01-036-04</t>
  </si>
  <si>
    <t>Машины для сварки линолеума</t>
  </si>
  <si>
    <t>Рабочие-строители 2, 7 разряда; машинисты</t>
  </si>
  <si>
    <t>Площадь коридора</t>
  </si>
  <si>
    <t>Устройство кровель</t>
  </si>
  <si>
    <t xml:space="preserve">ГЭСН 12-01-002-07 </t>
  </si>
  <si>
    <t>Установка в жилых и общественных зданиях блоков оконных с переплетами</t>
  </si>
  <si>
    <t>ГЭСН 10-01-027-03</t>
  </si>
  <si>
    <t xml:space="preserve">Краны на автомобильном ходу при работе на других видах строительства 10 т </t>
  </si>
  <si>
    <t xml:space="preserve">Площадь блоков * кол-во окон </t>
  </si>
  <si>
    <t>2 ЗАХВАТКА</t>
  </si>
  <si>
    <t>Трудоёмкость</t>
  </si>
  <si>
    <t>Затраты маш.вр.</t>
  </si>
  <si>
    <t>Продолж. мех. работ</t>
  </si>
  <si>
    <t>Продолж. немехан. работ</t>
  </si>
  <si>
    <t>Продолж. раб. дн.</t>
  </si>
  <si>
    <t>Для жилых и общественных зданий</t>
  </si>
  <si>
    <t>Q Всего чел. ч.</t>
  </si>
  <si>
    <t>Q Всего маш. см.</t>
  </si>
  <si>
    <t>Основные общественные работы</t>
  </si>
  <si>
    <t>-</t>
  </si>
  <si>
    <t>Сантехнические работ(1-я стадия)</t>
  </si>
  <si>
    <t>Сантехнические работ(2-я стадия)</t>
  </si>
  <si>
    <t>Электромонтажные работы (1-я стадия)</t>
  </si>
  <si>
    <t>Электромонтажные работы (2-я стадия)</t>
  </si>
  <si>
    <t>Подготовительные работы</t>
  </si>
  <si>
    <t>Дороги, подъезды и тротуары</t>
  </si>
  <si>
    <t>Озеленение</t>
  </si>
  <si>
    <t>Прочие и неучтённые общественные работы</t>
  </si>
  <si>
    <t>Монтаж оборудования</t>
  </si>
  <si>
    <t>Пусконаладочные работы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</si>
  <si>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</si>
  <si>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</si>
  <si>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</si>
  <si>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</si>
  <si>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</si>
  <si>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</si>
  <si>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Tрн</t>
  </si>
  <si>
    <t>Тро</t>
  </si>
  <si>
    <t>Тпн</t>
  </si>
  <si>
    <t>Тпо</t>
  </si>
  <si>
    <t>Ro</t>
  </si>
  <si>
    <t>Rч</t>
  </si>
  <si>
    <t>Подготовительные
работы</t>
  </si>
  <si>
    <t>Прочие и неучтенные
общестроительные работы</t>
  </si>
  <si>
    <t>Разработка грунта в отвал в котлованах</t>
  </si>
  <si>
    <t>Сантехнические работы
(1-я стадия)</t>
  </si>
  <si>
    <t>Электромонтажные работы
(1-я стадия)</t>
  </si>
  <si>
    <t>Сантехнические работы
(2-я стадия)</t>
  </si>
  <si>
    <t>Электромонтажные работы
(2-я стадия)</t>
  </si>
  <si>
    <t>Дороги, подъезды
тротуары</t>
  </si>
  <si>
    <t>Пусконаладочные
работы</t>
  </si>
  <si>
    <t>Ввод в экспулатацию</t>
  </si>
  <si>
    <t>7</t>
  </si>
  <si>
    <t>10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</si>
  <si>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</si>
  <si>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</si>
  <si>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</si>
  <si>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</si>
  <si>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</si>
  <si>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</si>
  <si>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</si>
  <si>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</si>
  <si>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</si>
  <si>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</si>
  <si>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22</t>
  </si>
  <si>
    <t>21</t>
  </si>
  <si>
    <t>23</t>
  </si>
  <si>
    <t>Штукатурка поверхностей
внутри здания известковым раствором простая: по камню и бетону стен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</si>
  <si>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</si>
  <si>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</si>
  <si>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</si>
  <si>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</si>
  <si>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</si>
  <si>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</si>
  <si>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</si>
  <si>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</si>
  <si>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</si>
  <si>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Штукатурка поверхностей внутри здания известковым раствором по камню и бетону потолков</t>
  </si>
  <si>
    <t>Окраска поливинипацетатными водоэмульсионными составами простая по штукатурке и сборным конструкциям</t>
  </si>
  <si>
    <t>Укладка плит перекрытий</t>
  </si>
  <si>
    <t>Объем работ</t>
  </si>
  <si>
    <t>Обоснование (ГЭСН)</t>
  </si>
  <si>
    <t>Наименование материалов</t>
  </si>
  <si>
    <t>Ед. Изм.</t>
  </si>
  <si>
    <t>Расход</t>
  </si>
  <si>
    <t>Ед.изм</t>
  </si>
  <si>
    <t>Кол-во</t>
  </si>
  <si>
    <t>Норм. На един. Работ</t>
  </si>
  <si>
    <t>Доски обрезные хвойных пород длиной 2-3,75 м, шириной 75-150 мм, толщиной 44 мм и более, II сорта</t>
  </si>
  <si>
    <t>м3</t>
  </si>
  <si>
    <t>Бетон</t>
  </si>
  <si>
    <t> м3</t>
  </si>
  <si>
    <t>Конструкции сборные железобетонные</t>
  </si>
  <si>
    <t> шт.</t>
  </si>
  <si>
    <t>Проволока горячекатаная в мотках, диаметром 6,3-6,5 мм</t>
  </si>
  <si>
    <t> т</t>
  </si>
  <si>
    <t>Рубероид подкладочный с пылевидной посыпкой РПП-300б</t>
  </si>
  <si>
    <t> м2</t>
  </si>
  <si>
    <t>Смазка солидол жировой марки &lt;Ж&gt;</t>
  </si>
  <si>
    <t>Электроды диаметром 6 мм Э42</t>
  </si>
  <si>
    <t>Доски обрезные хвойных пород длиной 4-6,5 м, шириной 75-150 мм, толщиной 32-40 мм, IV сорта</t>
  </si>
  <si>
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</si>
  <si>
    <t>Горячекатаная арматурная сталь гладкая класса А-I, диаметром 14 мм</t>
  </si>
  <si>
    <t>т</t>
  </si>
  <si>
    <t>Конструкции сборные железобетонные</t>
  </si>
  <si>
    <t>Проволока горячекатаная в мотках, диаметром 6,3-6,5 мм</t>
  </si>
  <si>
    <t>Смазка солидол жировой марки &lt;Ж&gt;</t>
  </si>
  <si>
    <t>Доски обрезные хвойных пород длиной 4-6,5 м, шириной 75-150 мм, толщиной 32-40 мм, IV сорта</t>
  </si>
  <si>
    <t>Конструктивные элементы вспомогательного назначения с преобладанием профильного проката собираемые из двух и более деталей, с отверстиями и без отверстий, соединяемые на сварке</t>
  </si>
  <si>
    <t>Горячекатаная арматурная сталь гладкая класса А-I, диаметром 14 мм</t>
  </si>
  <si>
    <t>Конструкции сборные железобетонные</t>
  </si>
  <si>
    <t>Гвозди строительные</t>
  </si>
  <si>
    <t>Раствор готовый кладочный цементный марки 300</t>
  </si>
  <si>
    <t>Конструкции сборные железобетонные м3</t>
  </si>
  <si>
    <t>Песок для строительных работ природный</t>
  </si>
  <si>
    <t>Краска</t>
  </si>
  <si>
    <t>Конструктивные 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</si>
  <si>
    <t>Раствор готовый кладочный цементный марки 100</t>
  </si>
  <si>
    <t>Раствор готовый кладочный тяжелый цементный</t>
  </si>
  <si>
    <t>Вода</t>
  </si>
  <si>
    <t>Мастика битумно-кукерсольная холодная</t>
  </si>
  <si>
    <t>Мастика клеящая каучуковая, марки КН-2</t>
  </si>
  <si>
    <t>Опилки древесные</t>
  </si>
  <si>
    <t>Паркет мозаичный</t>
  </si>
  <si>
    <t> кг</t>
  </si>
  <si>
    <t>Плитки керамические для полов гладкие неглазурованные одноцветные с красителем квадратные и прямоугольные</t>
  </si>
  <si>
    <t>Гвозди толевые круглые 3,0х40 мм</t>
  </si>
  <si>
    <t>Смола каменноугольная для дорожного строительства</t>
  </si>
  <si>
    <t>Толь с крупнозернистой посыпкой гидроизоляционный марки ТГ-350</t>
  </si>
  <si>
    <t>Гвозди строительные</t>
  </si>
  <si>
    <t>Пена монтажная</t>
  </si>
  <si>
    <t>Ерши металлические</t>
  </si>
  <si>
    <t>Скобяные изделия</t>
  </si>
  <si>
    <t>Доски обрезные хвойных пород длиной 4-6,5 м, шириной 75-150 мм, толщиной 25 мм, III сорта</t>
  </si>
  <si>
    <t>Блоки дверные</t>
  </si>
  <si>
    <t>Раствор готовый отделочный тяжелый, известковый 1:2,0</t>
  </si>
  <si>
    <t>Гипсовые вяжущие, марка Г3</t>
  </si>
  <si>
    <t> л</t>
  </si>
  <si>
    <t> компл.</t>
  </si>
  <si>
    <t>Шурупы с полукруглой головкой 3,5х35 мм</t>
  </si>
  <si>
    <t>Приборы дверные</t>
  </si>
  <si>
    <t>Полотна дверные деревянные</t>
  </si>
  <si>
    <t>Гвозди строительные с плоской головкой 1,6x50 мм</t>
  </si>
  <si>
    <t>Сетка тканая с квадратными ячейками №05 без покрытия</t>
  </si>
  <si>
    <t>Раствор готовый отделочный тяжелый, цементно-известковый 1:1:6</t>
  </si>
  <si>
    <t>Раствор готовый отделочный тяжелый, известковый 1:2,5</t>
  </si>
  <si>
    <t>Шкурка шлифовальная двухслойная с зернистостью 40-25</t>
  </si>
  <si>
    <t>Шпатлевка клеевая</t>
  </si>
  <si>
    <t>Ветошь</t>
  </si>
  <si>
    <t>Краска водоэмульсионная</t>
  </si>
  <si>
    <t>Гвозди строительные с плоской головкой 1,6x50 мм</t>
  </si>
  <si>
    <t>Сетка тканая с квадратными ячейками №05 без покрытия</t>
  </si>
  <si>
    <t>Раствор готовый отделочный тяжелый, известковый 1:2,5</t>
  </si>
  <si>
    <t>м2</t>
  </si>
  <si>
    <t>Краска водоэмульсионная</t>
  </si>
  <si>
    <t>Замазка оконная на олифе</t>
  </si>
  <si>
    <t>Мыло твердое хозяйственное 72%</t>
  </si>
  <si>
    <t>Олифа комбинированная, марки К-2</t>
  </si>
  <si>
    <t>Стекло оконное</t>
  </si>
  <si>
    <t>Смола каменноугольная для дорожного строительства</t>
  </si>
  <si>
    <t>Войлок строительный</t>
  </si>
  <si>
    <t>Толь с крупнозернистой посыпкой гидроизоляционный марки ТГ-350</t>
  </si>
  <si>
    <t>Натрий фтористый технический, марка А, сорт I</t>
  </si>
  <si>
    <t>Доски подоконные деревянные</t>
  </si>
  <si>
    <t>Раствор готовый отделочный тяжелый, известковый 1:3</t>
  </si>
  <si>
    <t>Гипсовые вяжущие, марка Г3</t>
  </si>
  <si>
    <t> м</t>
  </si>
  <si>
    <t>Плитки керамические фасадные и ковры из них цветные (однотонные) толщиной 9 мм</t>
  </si>
  <si>
    <t>Портландцемент пуццолановый общестроительного и специального назначения марки 400</t>
  </si>
  <si>
    <t>Раствор готовый отделочный тяжелый, цементный 1:3</t>
  </si>
  <si>
    <t>Лента полимерная</t>
  </si>
  <si>
    <t>Линолеум на теплозвукоизолирующей подоснове</t>
  </si>
  <si>
    <t> 100 м</t>
  </si>
  <si>
    <t>Мастика битумно-полимерная</t>
  </si>
  <si>
    <t>Материалы рулонные кровельные для верхнего слоя</t>
  </si>
  <si>
    <t>Материалы рулонные кровельные для нижних слоев</t>
  </si>
  <si>
    <t>Смола каменноугольная для дорожного строительства</t>
  </si>
  <si>
    <t>Пена монтажная</t>
  </si>
  <si>
    <t>Скобяные изделия</t>
  </si>
  <si>
    <t>Шурупы строительные</t>
  </si>
  <si>
    <t>Блоки оконные</t>
  </si>
  <si>
    <t>Раствор готовый отделочный тяжелый, известковый 1:2,0</t>
  </si>
  <si>
    <t xml:space="preserve">Гипсовые вяжущие, марка Г3 </t>
  </si>
  <si>
    <t>Наименование материала</t>
  </si>
  <si>
    <t>Раствор готовый кладочный цементный марки 100</t>
  </si>
  <si>
    <t>Конструкции сборные железобетонные</t>
  </si>
  <si>
    <t>Раствор готовый кладочный тяжелый цементный</t>
  </si>
  <si>
    <t>Лента полимерная</t>
  </si>
  <si>
    <t>Линолеум на теплозвукоизолирующей подоснове</t>
  </si>
  <si>
    <t>Шкурка шлифовальная двухслойная с зернистостью 40-25</t>
  </si>
  <si>
    <t>Портландцемент пуццолановый общестроительного и специального назначения марки 400</t>
  </si>
  <si>
    <t>Песок для строительных работ природный</t>
  </si>
  <si>
    <t>Проволока горячекатаная вмотках, диаметром 6,3-6,5 мм</t>
  </si>
  <si>
    <t>Рубероид подкладочный спылевиднойпосыпкой РПП-300б</t>
  </si>
  <si>
    <t>Горячекатаная арматурная сталь гладкая класса А-I,диаметром14 мм</t>
  </si>
  <si>
    <t>Гвоздистроительные</t>
  </si>
  <si>
    <t>Доски обрезные хвойных породдлиной4-6,5 м, шириной 75-150 мм, толщиной 32-40 мм, IV сорта</t>
  </si>
  <si>
    <t>Электроды диаметром 6 мм Э42</t>
  </si>
  <si>
    <t>Мастика битумно-кукерсольнаяхолодная</t>
  </si>
  <si>
    <t>Мастика клеящая каучуковая,маркиКН-2</t>
  </si>
  <si>
    <t>Пенамонтажная</t>
  </si>
  <si>
    <t>Ерши металлические</t>
  </si>
  <si>
    <t>Доски обрезныехвойныхпород длиной 4-6,5 м, шириной 75-150 мм, толщиной 25 мм, III сорта</t>
  </si>
  <si>
    <t>Гипсовые вяжущие,маркаГ3</t>
  </si>
  <si>
    <t>Шурупы с полукруглойголовкой3,5х35 мм</t>
  </si>
  <si>
    <t>Раствор готовый отделочный тяжелый,цементно-известковый 1:1:6</t>
  </si>
  <si>
    <t>Замазка оконнаяна олифе</t>
  </si>
  <si>
    <t>Олифа комбинированная,маркиК-2</t>
  </si>
  <si>
    <t>Натрий фтористый технический,маркаА, сорт I</t>
  </si>
  <si>
    <t>Материалы рулонные кровельные для верхнего слоя</t>
  </si>
  <si>
    <t>Материалы рулонные кровельные длянижних слоев</t>
  </si>
  <si>
    <t>Гвозди толевыекруглые3,0х40 мм</t>
  </si>
  <si>
    <t>Раствор готовый отделочный тяжелый,известковый1:2,0</t>
  </si>
  <si>
    <r>
      <t>Н</t>
    </r>
    <r>
      <rPr>
        <vertAlign val="subscript"/>
        <sz val="12"/>
        <color rgb="FF000000"/>
        <rFont val="Times New Roman"/>
        <family val="1"/>
        <charset val="204"/>
      </rPr>
      <t>0</t>
    </r>
  </si>
  <si>
    <t>=</t>
  </si>
  <si>
    <r>
      <t>h</t>
    </r>
    <r>
      <rPr>
        <vertAlign val="subscript"/>
        <sz val="12"/>
        <color rgb="FF000000"/>
        <rFont val="Times New Roman"/>
        <family val="1"/>
        <charset val="204"/>
      </rPr>
      <t>э</t>
    </r>
  </si>
  <si>
    <r>
      <t>h</t>
    </r>
    <r>
      <rPr>
        <vertAlign val="subscript"/>
        <sz val="12"/>
        <color rgb="FF000000"/>
        <rFont val="Times New Roman"/>
        <family val="1"/>
        <charset val="204"/>
      </rPr>
      <t>з</t>
    </r>
  </si>
  <si>
    <r>
      <t>h</t>
    </r>
    <r>
      <rPr>
        <vertAlign val="subscript"/>
        <sz val="12"/>
        <color rgb="FF000000"/>
        <rFont val="Times New Roman"/>
        <family val="1"/>
        <charset val="204"/>
      </rPr>
      <t>с</t>
    </r>
  </si>
  <si>
    <r>
      <t>H</t>
    </r>
    <r>
      <rPr>
        <i/>
        <vertAlign val="subscript"/>
        <sz val="10"/>
        <color rgb="FF000000"/>
        <rFont val="Arial"/>
        <family val="2"/>
        <charset val="204"/>
      </rPr>
      <t>кр</t>
    </r>
    <r>
      <rPr>
        <i/>
        <vertAlign val="superscript"/>
        <sz val="10"/>
        <color rgb="FF000000"/>
        <rFont val="Arial"/>
        <family val="2"/>
        <charset val="204"/>
      </rPr>
      <t>тр</t>
    </r>
  </si>
  <si>
    <t>Необходимая высота подъёма крюка</t>
  </si>
  <si>
    <t>a</t>
  </si>
  <si>
    <t>b</t>
  </si>
  <si>
    <t>c</t>
  </si>
  <si>
    <r>
      <t>L</t>
    </r>
    <r>
      <rPr>
        <i/>
        <vertAlign val="subscript"/>
        <sz val="12"/>
        <color rgb="FF000000"/>
        <rFont val="Times New Roman"/>
        <family val="1"/>
        <charset val="204"/>
      </rPr>
      <t>бкр</t>
    </r>
  </si>
  <si>
    <t>Необходимый вылет стрелы</t>
  </si>
  <si>
    <r>
      <t>g</t>
    </r>
    <r>
      <rPr>
        <vertAlign val="subscript"/>
        <sz val="12"/>
        <color rgb="FF000000"/>
        <rFont val="Times New Roman"/>
        <family val="1"/>
        <charset val="204"/>
      </rPr>
      <t>max</t>
    </r>
  </si>
  <si>
    <r>
      <t>g</t>
    </r>
    <r>
      <rPr>
        <vertAlign val="subscript"/>
        <sz val="12"/>
        <color rgb="FF000000"/>
        <rFont val="Times New Roman"/>
        <family val="1"/>
        <charset val="204"/>
      </rPr>
      <t>строп</t>
    </r>
  </si>
  <si>
    <r>
      <t>G</t>
    </r>
    <r>
      <rPr>
        <i/>
        <vertAlign val="subscript"/>
        <sz val="12"/>
        <color rgb="FF000000"/>
        <rFont val="Times New Roman"/>
        <family val="1"/>
        <charset val="204"/>
      </rPr>
      <t>кр</t>
    </r>
  </si>
  <si>
    <t>Грузоподъемность башенного крана</t>
  </si>
  <si>
    <t>По данным параметрам был подобран кран следующей марки:</t>
  </si>
  <si>
    <t>1. Liebherr 42К.1</t>
  </si>
  <si>
    <t xml:space="preserve">Характеристики: </t>
  </si>
  <si>
    <t>Высота подъема = 27 м, вылет стрелы = 36 м, максимальная грузоподъемность = 4 т.</t>
  </si>
  <si>
    <t>Рабочая зона крана:</t>
  </si>
  <si>
    <t>Зоны перемещения грузов:</t>
  </si>
  <si>
    <t>Опасная зона:</t>
  </si>
  <si>
    <t>Наименование и марка машины</t>
  </si>
  <si>
    <t>Основные технические 
характеристики машины</t>
  </si>
  <si>
    <t>Количество машин</t>
  </si>
  <si>
    <t>Бульдозер Komatsu D39EX/PX-22</t>
  </si>
  <si>
    <t>Гусеничный экскаватор SUMITOMO SH130-6</t>
  </si>
  <si>
    <t>Башенный кран XCMG QTZ100 (5515Y-8)</t>
  </si>
  <si>
    <t>КС 45719-7К автокран  (КАМАЗ-43118)</t>
  </si>
  <si>
    <t>Глубинный вибратор с преобразователем VPK E-tron 36</t>
  </si>
  <si>
    <t>Бортовой УРАЛ 43206-0111-71М 4x4</t>
  </si>
  <si>
    <t>Фронтальный погрузчик Liugong CLG856H Agri STD</t>
  </si>
  <si>
    <t>Котел битумный передвижной электрический с центробежной мешалкой КЛБ-400</t>
  </si>
  <si>
    <t>Подъемник одномачтовый VECTOR SC</t>
  </si>
  <si>
    <t>Растворосмеситель беламос ВХ65</t>
  </si>
  <si>
    <t>Кран на гусеничном ходу РДК-25</t>
  </si>
  <si>
    <t>Подъемники грузоподъемностью до 500 кг одномачтовые, высота подъема 45 м</t>
  </si>
  <si>
    <t>Подъемники грузоподъемностью до 500 кг одномачтовые, высота подъема 45 м</t>
  </si>
  <si>
    <t>Компрессоры передвижные с двигателем внутреннего сгорания давлением до 686 кПа(7 ат), производительность 5 м3/мин</t>
  </si>
  <si>
    <t>Автомобили бортовые, грузоподъемность до 5 т</t>
  </si>
  <si>
    <t>Растворонасосы 1 м3/ч</t>
  </si>
  <si>
    <t>Котлы битумные передвижные 400 л</t>
  </si>
  <si>
    <t>Бульдозеры при работе на других видах строительства 79 кВт (108 л.с.)</t>
  </si>
  <si>
    <t>Экскаваторы одноковшовые дизельные на гусеничном ходу при работе на других видах строительства 0,5 м3</t>
  </si>
  <si>
    <t>Гусеничный кран МКГ-40</t>
  </si>
  <si>
    <t>Шлифмашина эксцентриковая электрическая Зубр ЗОШМ-450-125 450 Вт d125 мм</t>
  </si>
  <si>
    <t>БЕНЗИНОВЫЙ КОМПРЕССОР BOREY 11-7B</t>
  </si>
  <si>
    <t>Растворонасос Putzmeister S5</t>
  </si>
  <si>
    <t>Сварочный инвертор полуавтомат Vniissok MIG-200</t>
  </si>
  <si>
    <t>Расход площади временных складов на строительной площадке</t>
  </si>
  <si>
    <t>Наименование материалов, ед. изм.</t>
  </si>
  <si>
    <t>Продолжительность потребления, дни</t>
  </si>
  <si>
    <t>Суточная потребность</t>
  </si>
  <si>
    <t>Расчётный период хранения, дни</t>
  </si>
  <si>
    <t>Расчётный запас материалов</t>
  </si>
  <si>
    <t>Норма складирования</t>
  </si>
  <si>
    <t xml:space="preserve">Коэффициент использования площади </t>
  </si>
  <si>
    <t>Расчётная площадь склада, кв. м.</t>
  </si>
  <si>
    <t>Блоки дверные, м2</t>
  </si>
  <si>
    <t>Блоки оконные, м2</t>
  </si>
  <si>
    <t>Стекло оконное, м2</t>
  </si>
  <si>
    <t>Доски подоконные, м</t>
  </si>
  <si>
    <t>Приборы дверные, компл</t>
  </si>
  <si>
    <t>Конструкции сборные железобетонные, шт</t>
  </si>
  <si>
    <t>Паркет мозаичный, м2</t>
  </si>
  <si>
    <t>Плитки керамические для полов, м2</t>
  </si>
  <si>
    <t>Краска водоэмульсионная, т</t>
  </si>
  <si>
    <t>Раствор кладочный цементный, м3</t>
  </si>
  <si>
    <t>Раствор отделочный 1:2,5, м3</t>
  </si>
  <si>
    <t>Раствор отделочный 1:1:6, м3</t>
  </si>
  <si>
    <t>Вода, м3</t>
  </si>
  <si>
    <t>Коэф. Поступления:</t>
  </si>
  <si>
    <t>Коэф. Потребления:</t>
  </si>
  <si>
    <t>Материалы рулонные кровельные для нижних слоев, т</t>
  </si>
  <si>
    <t>Конструкции сборные железобетонные, м2</t>
  </si>
  <si>
    <t xml:space="preserve">Расход площадей временных зданий и сооружений </t>
  </si>
  <si>
    <t>Наименование</t>
  </si>
  <si>
    <t xml:space="preserve">Численность персонала </t>
  </si>
  <si>
    <r>
      <t>Норма, м</t>
    </r>
    <r>
      <rPr>
        <b/>
        <vertAlign val="superscript"/>
        <sz val="12"/>
        <color rgb="FF000000"/>
        <rFont val="Times New Roman"/>
        <family val="1"/>
        <charset val="204"/>
      </rPr>
      <t>2</t>
    </r>
    <r>
      <rPr>
        <b/>
        <sz val="12"/>
        <color rgb="FF000000"/>
        <rFont val="Times New Roman"/>
        <family val="1"/>
        <charset val="204"/>
      </rPr>
      <t xml:space="preserve"> на 1 чел.</t>
    </r>
  </si>
  <si>
    <r>
      <t>Расчетная площадь, м</t>
    </r>
    <r>
      <rPr>
        <b/>
        <vertAlign val="superscript"/>
        <sz val="12"/>
        <color rgb="FF000000"/>
        <rFont val="Times New Roman"/>
        <family val="1"/>
        <charset val="204"/>
      </rPr>
      <t>2</t>
    </r>
  </si>
  <si>
    <t>Принимаемая площадь, кв.м.</t>
  </si>
  <si>
    <t>Размеры в плане, м</t>
  </si>
  <si>
    <t>Число зданий</t>
  </si>
  <si>
    <t>Используемый типовой проект и конструктивная схема</t>
  </si>
  <si>
    <t>Прорабская</t>
  </si>
  <si>
    <t>Сборно-разборный блок-контейнер</t>
  </si>
  <si>
    <t>Гардеробная</t>
  </si>
  <si>
    <t>5,85x2,45</t>
  </si>
  <si>
    <t>Душевая</t>
  </si>
  <si>
    <t>Умывальная</t>
  </si>
  <si>
    <t>Туалет</t>
  </si>
  <si>
    <t>Сушильная</t>
  </si>
  <si>
    <t>5x2,3</t>
  </si>
  <si>
    <t>Металлическая бытовка БЖ-01 (5м) ДВП</t>
  </si>
  <si>
    <t>Помещение для обогрева, отдыха и принятия пищи</t>
  </si>
  <si>
    <t>Столовые</t>
  </si>
  <si>
    <t>8x2,45</t>
  </si>
  <si>
    <t>Медпункт</t>
  </si>
  <si>
    <t>Кладовые (объектные)</t>
  </si>
  <si>
    <t>&gt;=25</t>
  </si>
  <si>
    <t>Кладовые (общеплощадочные)</t>
  </si>
  <si>
    <t>&gt;=60</t>
  </si>
  <si>
    <t>Число</t>
  </si>
  <si>
    <t>Округ. число</t>
  </si>
  <si>
    <t>Общее дневное число рабочих</t>
  </si>
  <si>
    <t>Коэф. общего числа</t>
  </si>
  <si>
    <t>Рабочие (макс. в смену)</t>
  </si>
  <si>
    <t>ИТР</t>
  </si>
  <si>
    <t>Служащие</t>
  </si>
  <si>
    <t>Охрана</t>
  </si>
  <si>
    <t xml:space="preserve">Численность рабочих в наиболее загруженную смену </t>
  </si>
  <si>
    <t>Женщины</t>
  </si>
  <si>
    <t>Мужчины</t>
  </si>
  <si>
    <t>6.00 х 4.90</t>
  </si>
  <si>
    <t>6x2,45</t>
  </si>
  <si>
    <t>2,45x5,85</t>
  </si>
  <si>
    <t>Закрытый</t>
  </si>
  <si>
    <t>Полуоткрыый</t>
  </si>
  <si>
    <t>Открытый</t>
  </si>
  <si>
    <t>+</t>
  </si>
  <si>
    <t xml:space="preserve">Блоки оконные, м2 </t>
  </si>
  <si>
    <t>Принимаемая площадь склада, кв. м.</t>
  </si>
  <si>
    <t>https://allplans.ru/production/bystrovozvodimye-zdaniya/bystrovozvodimye-sklady/</t>
  </si>
  <si>
    <t>Итог</t>
  </si>
  <si>
    <t>Полуоткрытый</t>
  </si>
  <si>
    <t>https://www.rsholod.ru/katalog/kholodilnye-sklady/bystrovozvodimye/navesy/</t>
  </si>
  <si>
    <t>Расход на хозяйство</t>
  </si>
  <si>
    <t>л/с</t>
  </si>
  <si>
    <t>Общий расход воды</t>
  </si>
  <si>
    <t>Уд. Расход</t>
  </si>
  <si>
    <t>л</t>
  </si>
  <si>
    <t>Расход на душ</t>
  </si>
  <si>
    <t>Расчетный диаметр</t>
  </si>
  <si>
    <t>мм</t>
  </si>
  <si>
    <t>Всего работающих</t>
  </si>
  <si>
    <t>чел</t>
  </si>
  <si>
    <t>Расход воды всего</t>
  </si>
  <si>
    <t>Моются</t>
  </si>
  <si>
    <t>Скорость воды</t>
  </si>
  <si>
    <t>м/с</t>
  </si>
  <si>
    <t>Время купания</t>
  </si>
  <si>
    <t>мин</t>
  </si>
  <si>
    <t>Коэф. Потреб.</t>
  </si>
  <si>
    <t>По ГОСТу</t>
  </si>
  <si>
    <t>Продолж. Смены</t>
  </si>
  <si>
    <t>ч</t>
  </si>
  <si>
    <t xml:space="preserve">выбрана труба номинальным диматером </t>
  </si>
  <si>
    <t xml:space="preserve">Расход на производственные нужды </t>
  </si>
  <si>
    <t>Удельный расход воды</t>
  </si>
  <si>
    <t>Число потребителей в макс. Смену</t>
  </si>
  <si>
    <t>чел.</t>
  </si>
  <si>
    <t xml:space="preserve">Коэф. часовой неравномерности </t>
  </si>
  <si>
    <t>Число часов работы в смену</t>
  </si>
  <si>
    <t xml:space="preserve">Коэф. на неуточненный расход воды </t>
  </si>
  <si>
    <t>Пожар</t>
  </si>
  <si>
    <t>Площадь застройки менее 10 га</t>
  </si>
  <si>
    <t>k</t>
  </si>
  <si>
    <t>cos</t>
  </si>
  <si>
    <t>Потреб. Маш</t>
  </si>
  <si>
    <t>кВт</t>
  </si>
  <si>
    <t>Потреб. кВт</t>
  </si>
  <si>
    <t>Освещ.</t>
  </si>
  <si>
    <t>Земл. раб</t>
  </si>
  <si>
    <t>Бет./жел.бет. раб</t>
  </si>
  <si>
    <t>Сбор. констр.</t>
  </si>
  <si>
    <t>Откр. склад</t>
  </si>
  <si>
    <t>Прораб.</t>
  </si>
  <si>
    <t>Площадь объекта</t>
  </si>
  <si>
    <t>Кол-во ламп</t>
  </si>
  <si>
    <t>шт.</t>
  </si>
  <si>
    <t>Мощность лампы</t>
  </si>
  <si>
    <t>коэф.</t>
  </si>
  <si>
    <t>Норм. Осв.</t>
  </si>
  <si>
    <t>лк</t>
  </si>
  <si>
    <t>Коэф. Запаса</t>
  </si>
  <si>
    <t>Площадь застройки</t>
  </si>
  <si>
    <t>Сварочный инвертор</t>
  </si>
  <si>
    <t>Коэфициент</t>
  </si>
  <si>
    <t>Башенный кран</t>
  </si>
  <si>
    <t>Глубинный вибратор</t>
  </si>
  <si>
    <t>Машина шлифовочная</t>
  </si>
  <si>
    <t>Котел битумный</t>
  </si>
  <si>
    <t>Итого</t>
  </si>
  <si>
    <t>Трансформатор ТСЗ/ТСЛ</t>
  </si>
  <si>
    <t>БК-00 ДВП</t>
  </si>
  <si>
    <t>Сантехнический модуль</t>
  </si>
  <si>
    <t>Раздевалка с душем маленькая</t>
  </si>
  <si>
    <t>Раздевалка для строителей Краус</t>
  </si>
  <si>
    <t>Модульный фельдшерско акушерский пункт</t>
  </si>
  <si>
    <t>Блок контейнер БКОД-01</t>
  </si>
  <si>
    <t>БК-04 ДВП</t>
  </si>
  <si>
    <t>найти размеры плииты и делить на площадь перекрытия</t>
  </si>
  <si>
    <t>также как и сверху только стены 3 или 6 м</t>
  </si>
  <si>
    <t>по количеству перегородок</t>
  </si>
  <si>
    <t>лестницы</t>
  </si>
  <si>
    <t>площадь всего пола</t>
  </si>
  <si>
    <t>ревит</t>
  </si>
  <si>
    <t>двери</t>
  </si>
  <si>
    <t>стены</t>
  </si>
  <si>
    <t>стекла</t>
  </si>
  <si>
    <t>стены наружние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</si>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</sst>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.00000"/>
    <numFmt numFmtId="165" formatCode="0.0"/>
  </numFmts>
  <fonts count="42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1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000000"/>
      <name val="Calibri"/>
      <family val="2"/>
      <charset val="1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Helvetica"/>
    </font>
    <font>
      <sz val="9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Calibri"/>
      <family val="2"/>
      <charset val="1"/>
    </font>
    <font>
      <sz val="10"/>
      <color rgb="FF000000"/>
      <name val="Times New Roman"/>
      <family val="1"/>
      <charset val="204"/>
    </font>
    <font>
      <sz val="11"/>
      <color rgb="FF92D050"/>
      <name val="Calibri"/>
      <family val="2"/>
      <charset val="1"/>
    </font>
    <font>
      <vertAlign val="subscript"/>
      <sz val="12"/>
      <color rgb="FF000000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i/>
      <vertAlign val="subscript"/>
      <sz val="10"/>
      <color rgb="FF000000"/>
      <name val="Arial"/>
      <family val="2"/>
      <charset val="204"/>
    </font>
    <font>
      <i/>
      <vertAlign val="superscript"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rgb="FF303030"/>
      <name val="Times New Roman"/>
      <family val="1"/>
      <charset val="204"/>
    </font>
    <font>
      <sz val="12"/>
      <color rgb="FF21201F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000000"/>
      <name val="Script MT Bold"/>
      <family val="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  <font>
      <b/>
      <vertAlign val="superscript"/>
      <sz val="12"/>
      <color rgb="FF00000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14"/>
      <color rgb="FF000000"/>
      <name val="Ti'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AFD095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8C"/>
      </left>
      <right style="thin">
        <color rgb="FF00008C"/>
      </right>
      <top style="thin">
        <color rgb="FF00008C"/>
      </top>
      <bottom style="thin">
        <color rgb="FF00008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1" fillId="0" borderId="0"/>
    <xf numFmtId="0" fontId="10" fillId="2" borderId="0" applyBorder="0" applyProtection="0"/>
    <xf numFmtId="44" fontId="1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2" borderId="0" xfId="2" applyBorder="1" applyProtection="1"/>
    <xf numFmtId="0" fontId="0" fillId="5" borderId="0" xfId="0" applyFill="1"/>
    <xf numFmtId="1" fontId="2" fillId="0" borderId="0" xfId="0" applyNumberFormat="1" applyFont="1"/>
    <xf numFmtId="0" fontId="2" fillId="6" borderId="0" xfId="0" applyFont="1" applyFill="1"/>
    <xf numFmtId="0" fontId="0" fillId="6" borderId="0" xfId="0" applyFill="1"/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0" borderId="0" xfId="3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2" fillId="7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64" fontId="17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vertical="center" wrapText="1"/>
    </xf>
    <xf numFmtId="1" fontId="2" fillId="8" borderId="0" xfId="0" applyNumberFormat="1" applyFont="1" applyFill="1" applyAlignment="1">
      <alignment horizontal="center" vertical="center" wrapText="1"/>
    </xf>
    <xf numFmtId="0" fontId="21" fillId="8" borderId="0" xfId="0" applyFont="1" applyFill="1"/>
    <xf numFmtId="0" fontId="0" fillId="8" borderId="0" xfId="0" applyFill="1"/>
    <xf numFmtId="0" fontId="2" fillId="9" borderId="16" xfId="0" applyFont="1" applyFill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3" fillId="5" borderId="0" xfId="0" applyFont="1" applyFill="1"/>
    <xf numFmtId="0" fontId="26" fillId="0" borderId="0" xfId="0" applyFont="1"/>
    <xf numFmtId="0" fontId="27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165" fontId="29" fillId="5" borderId="0" xfId="0" applyNumberFormat="1" applyFont="1" applyFill="1"/>
    <xf numFmtId="0" fontId="20" fillId="0" borderId="0" xfId="0" applyFont="1" applyAlignment="1">
      <alignment horizontal="center" vertical="center"/>
    </xf>
    <xf numFmtId="0" fontId="30" fillId="9" borderId="0" xfId="0" applyFont="1" applyFill="1" applyAlignment="1">
      <alignment vertical="center" wrapText="1"/>
    </xf>
    <xf numFmtId="0" fontId="30" fillId="9" borderId="18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164" fontId="29" fillId="0" borderId="1" xfId="0" applyNumberFormat="1" applyFont="1" applyBorder="1" applyAlignment="1">
      <alignment horizontal="center" vertical="center" wrapText="1"/>
    </xf>
    <xf numFmtId="0" fontId="37" fillId="0" borderId="0" xfId="0" applyFont="1"/>
    <xf numFmtId="0" fontId="37" fillId="0" borderId="0" xfId="0" applyFont="1" applyAlignment="1">
      <alignment horizontal="center" vertical="center"/>
    </xf>
    <xf numFmtId="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3" fillId="0" borderId="0" xfId="0" applyFont="1"/>
    <xf numFmtId="0" fontId="5" fillId="0" borderId="1" xfId="0" applyFont="1" applyBorder="1" applyAlignment="1">
      <alignment horizontal="center" vertical="center"/>
    </xf>
    <xf numFmtId="0" fontId="40" fillId="0" borderId="1" xfId="6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8" fillId="0" borderId="1" xfId="6" applyBorder="1" applyAlignment="1">
      <alignment horizontal="center" vertical="center" wrapText="1"/>
    </xf>
    <xf numFmtId="0" fontId="0" fillId="0" borderId="1" xfId="0" applyBorder="1"/>
    <xf numFmtId="0" fontId="3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1" fillId="0" borderId="0" xfId="0" applyFont="1"/>
    <xf numFmtId="0" fontId="38" fillId="0" borderId="0" xfId="6"/>
    <xf numFmtId="0" fontId="2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vertical="center" wrapText="1"/>
    </xf>
    <xf numFmtId="0" fontId="29" fillId="10" borderId="0" xfId="0" applyFont="1" applyFill="1" applyAlignment="1">
      <alignment horizontal="center" vertical="center" wrapText="1"/>
    </xf>
    <xf numFmtId="0" fontId="0" fillId="10" borderId="0" xfId="0" applyFill="1"/>
    <xf numFmtId="0" fontId="29" fillId="10" borderId="1" xfId="0" applyFont="1" applyFill="1" applyBorder="1" applyAlignment="1">
      <alignment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20" xfId="0" applyFont="1" applyBorder="1" applyAlignment="1">
      <alignment horizontal="center" vertical="center" wrapText="1"/>
    </xf>
    <xf numFmtId="0" fontId="29" fillId="7" borderId="19" xfId="0" applyFont="1" applyFill="1" applyBorder="1" applyAlignment="1">
      <alignment horizontal="center" vertical="center" wrapText="1"/>
    </xf>
    <xf numFmtId="0" fontId="34" fillId="0" borderId="0" xfId="6" applyFont="1" applyAlignment="1">
      <alignment wrapText="1"/>
    </xf>
    <xf numFmtId="0" fontId="29" fillId="10" borderId="0" xfId="0" applyFont="1" applyFill="1" applyAlignment="1">
      <alignment wrapText="1"/>
    </xf>
    <xf numFmtId="2" fontId="0" fillId="0" borderId="0" xfId="0" applyNumberFormat="1"/>
    <xf numFmtId="0" fontId="33" fillId="7" borderId="1" xfId="0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13" fillId="0" borderId="1" xfId="3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4" borderId="3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9" fillId="0" borderId="15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0" fontId="36" fillId="0" borderId="1" xfId="0" applyFont="1" applyBorder="1"/>
    <xf numFmtId="2" fontId="2" fillId="0" borderId="15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1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38" fillId="0" borderId="1" xfId="6" applyFill="1" applyBorder="1" applyAlignment="1">
      <alignment horizontal="center" vertical="center"/>
    </xf>
    <xf numFmtId="0" fontId="29" fillId="0" borderId="0" xfId="0" applyFont="1" applyAlignment="1">
      <alignment horizontal="center"/>
    </xf>
  </cellXfs>
  <cellStyles count="7">
    <cellStyle name="Excel Built-in Good" xfId="2" xr:uid="{00000000-0005-0000-0000-000007000000}"/>
    <cellStyle name="Гиперссылка" xfId="6" builtinId="8"/>
    <cellStyle name="Денежный" xfId="3" builtinId="4"/>
    <cellStyle name="Денежный 2" xfId="5" xr:uid="{65D97FF4-8DE2-4788-9AA0-9B1995B7CA59}"/>
    <cellStyle name="Обычный" xfId="0" builtinId="0"/>
    <cellStyle name="Обычный 2" xfId="1" xr:uid="{00000000-0005-0000-0000-000006000000}"/>
    <cellStyle name="Обычный 3" xfId="4" xr:uid="{ADD1E90D-6999-4E67-ADF0-6F956DA4B9A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C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5</xdr:col>
      <xdr:colOff>140970</xdr:colOff>
      <xdr:row>15</xdr:row>
      <xdr:rowOff>70176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D3D0549-D7C2-45A0-B098-63750550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"/>
          <a:ext cx="4417695" cy="2881956"/>
        </a:xfrm>
        <a:prstGeom prst="rect">
          <a:avLst/>
        </a:prstGeom>
      </xdr:spPr>
    </xdr:pic>
    <xdr:clientData/>
  </xdr:twoCellAnchor>
  <xdr:twoCellAnchor editAs="oneCell">
    <xdr:from>
      <xdr:col>7</xdr:col>
      <xdr:colOff>99059</xdr:colOff>
      <xdr:row>0</xdr:row>
      <xdr:rowOff>44494</xdr:rowOff>
    </xdr:from>
    <xdr:to>
      <xdr:col>11</xdr:col>
      <xdr:colOff>551596</xdr:colOff>
      <xdr:row>17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EA65D04-20DB-4EF0-8E3E-02778AF49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1034" y="44494"/>
          <a:ext cx="2890937" cy="319400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49</xdr:row>
      <xdr:rowOff>16620</xdr:rowOff>
    </xdr:from>
    <xdr:to>
      <xdr:col>15</xdr:col>
      <xdr:colOff>164710</xdr:colOff>
      <xdr:row>60</xdr:row>
      <xdr:rowOff>27074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97B806A-BB02-45F2-8D7A-6013C927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2055" y="9874995"/>
          <a:ext cx="4401430" cy="2105954"/>
        </a:xfrm>
        <a:prstGeom prst="rect">
          <a:avLst/>
        </a:prstGeom>
      </xdr:spPr>
    </xdr:pic>
    <xdr:clientData/>
  </xdr:twoCellAnchor>
  <xdr:twoCellAnchor editAs="oneCell">
    <xdr:from>
      <xdr:col>8</xdr:col>
      <xdr:colOff>13478</xdr:colOff>
      <xdr:row>60</xdr:row>
      <xdr:rowOff>60960</xdr:rowOff>
    </xdr:from>
    <xdr:to>
      <xdr:col>15</xdr:col>
      <xdr:colOff>188764</xdr:colOff>
      <xdr:row>70</xdr:row>
      <xdr:rowOff>129540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5F46C8D-1C84-44E0-924F-769B1EE74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95053" y="12024360"/>
          <a:ext cx="4442486" cy="197358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45</xdr:row>
      <xdr:rowOff>99061</xdr:rowOff>
    </xdr:from>
    <xdr:to>
      <xdr:col>15</xdr:col>
      <xdr:colOff>189739</xdr:colOff>
      <xdr:row>49</xdr:row>
      <xdr:rowOff>5716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8448B8B-7CA8-4C0E-BC51-2271B5B4A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96816" y="9157336"/>
          <a:ext cx="4441698" cy="66865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18</xdr:row>
      <xdr:rowOff>43815</xdr:rowOff>
    </xdr:from>
    <xdr:to>
      <xdr:col>17</xdr:col>
      <xdr:colOff>493395</xdr:colOff>
      <xdr:row>39</xdr:row>
      <xdr:rowOff>158115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848C400-890A-369C-E93A-1A38123DD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8720" y="3482340"/>
          <a:ext cx="5857875" cy="453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349062</xdr:colOff>
      <xdr:row>17</xdr:row>
      <xdr:rowOff>95361</xdr:rowOff>
    </xdr:from>
    <xdr:to>
      <xdr:col>16</xdr:col>
      <xdr:colOff>179450</xdr:colOff>
      <xdr:row>49</xdr:row>
      <xdr:rowOff>128122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6D767D-2590-DF0E-39C8-8EA7B738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4" y="4118273"/>
          <a:ext cx="12190476" cy="6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447675</xdr:colOff>
      <xdr:row>0</xdr:row>
      <xdr:rowOff>114300</xdr:rowOff>
    </xdr:from>
    <xdr:to>
      <xdr:col>27</xdr:col>
      <xdr:colOff>427637</xdr:colOff>
      <xdr:row>12</xdr:row>
      <xdr:rowOff>104127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154F55B-37AF-2A84-6392-000E7A39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7150" y="114300"/>
          <a:ext cx="7904762" cy="51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0</xdr:row>
      <xdr:rowOff>95250</xdr:rowOff>
    </xdr:from>
    <xdr:to>
      <xdr:col>25</xdr:col>
      <xdr:colOff>370771</xdr:colOff>
      <xdr:row>19</xdr:row>
      <xdr:rowOff>180289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5D120B2-BC72-0E46-623D-2BE8DA697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95250"/>
          <a:ext cx="5628571" cy="54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</xdr:row>
      <xdr:rowOff>0</xdr:rowOff>
    </xdr:from>
    <xdr:to>
      <xdr:col>16</xdr:col>
      <xdr:colOff>10396</xdr:colOff>
      <xdr:row>14</xdr:row>
      <xdr:rowOff>104100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DBF145A-81BD-6047-C8A1-99FA5DB67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200025"/>
          <a:ext cx="5125321" cy="41046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15</xdr:row>
      <xdr:rowOff>114299</xdr:rowOff>
    </xdr:from>
    <xdr:to>
      <xdr:col>16</xdr:col>
      <xdr:colOff>66247</xdr:colOff>
      <xdr:row>32</xdr:row>
      <xdr:rowOff>46936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2A189DA-6857-2ACB-6657-B91CA73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0" y="4514849"/>
          <a:ext cx="5457397" cy="39331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104775</xdr:rowOff>
    </xdr:to>
    <xdr:sp macro="" textlink="">
      <xdr:nvSpPr>
        <xdr:cNvPr id="10242" name="AutoShape 2" descr="Трансформатор ТСЗ/ТСЛ 400/10(6)/0,4">
          <a:extLst>
            <a:ext uri="{FF2B5EF4-FFF2-40B4-BE49-F238E27FC236}">
              <a16:creationId xmlns:a16="http://schemas.microsoft.com/office/drawing/2014/main" id="{E4D61BF8-A12A-C881-9C44-9A413D06D7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104775</xdr:rowOff>
    </xdr:to>
    <xdr:sp macro="" textlink="">
      <xdr:nvSpPr>
        <xdr:cNvPr id="10243" name="AutoShape 3" descr="Трансформатор ТСЗ/ТСЛ 400/10(6)/0,4">
          <a:extLst>
            <a:ext uri="{FF2B5EF4-FFF2-40B4-BE49-F238E27FC236}">
              <a16:creationId xmlns:a16="http://schemas.microsoft.com/office/drawing/2014/main" id="{A441CB45-2EB6-7028-78AF-BE7CD84889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333376</xdr:colOff>
      <xdr:row>32</xdr:row>
      <xdr:rowOff>9525</xdr:rowOff>
    </xdr:from>
    <xdr:to>
      <xdr:col>4</xdr:col>
      <xdr:colOff>438150</xdr:colOff>
      <xdr:row>48</xdr:row>
      <xdr:rowOff>38099</xdr:rowOff>
    </xdr:to>
    <xdr:pic>
      <xdr:nvPicPr>
        <xdr:cNvPr id="7" name="Рисунок 6" descr="Picture background">
          <a:extLst>
            <a:ext uri="{FF2B5EF4-FFF2-40B4-BE49-F238E27FC236}">
              <a16:creationId xmlns:a16="http://schemas.microsoft.com/office/drawing/2014/main" id="{4EBA2755-0030-16B3-D3BB-93C6F342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6" y="8410575"/>
          <a:ext cx="3228974" cy="3228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zavod-96.ru/catalog/transfomatory_siloviye_sukhie/transformator-tsz-tsl-400-10-6-0-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sholod.ru/katalog/kholodilnye-sklady/bystrovozvodimye/navesy/" TargetMode="External"/><Relationship Id="rId1" Type="http://schemas.openxmlformats.org/officeDocument/2006/relationships/hyperlink" Target="https://allplans.ru/production/bystrovozvodimye-zdaniya/bystrovozvodimye-sklad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kraust.ru/product/blok-konteyner-bkod-01-uteplennyy-s-penofolom" TargetMode="External"/><Relationship Id="rId3" Type="http://schemas.openxmlformats.org/officeDocument/2006/relationships/hyperlink" Target="https://bitprom.ru/blok-konteinery/bk00" TargetMode="External"/><Relationship Id="rId7" Type="http://schemas.openxmlformats.org/officeDocument/2006/relationships/hyperlink" Target="https://kraust.ru/product/modulnyy-feldshersko-akusherskiy-punkt" TargetMode="External"/><Relationship Id="rId2" Type="http://schemas.openxmlformats.org/officeDocument/2006/relationships/hyperlink" Target="https://bitprom.ru/bytovki/bj015dvp" TargetMode="External"/><Relationship Id="rId1" Type="http://schemas.openxmlformats.org/officeDocument/2006/relationships/hyperlink" Target="https://kraust.ru/product/sborno-razbornyy-blok-konteyner-transpak-bk-01" TargetMode="External"/><Relationship Id="rId6" Type="http://schemas.openxmlformats.org/officeDocument/2006/relationships/hyperlink" Target="https://kraust.ru/product/razdevalka-dlya-stroiteley-kraus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kraust.ru/product/razdevalka-s-dushem-malenkaya" TargetMode="External"/><Relationship Id="rId10" Type="http://schemas.openxmlformats.org/officeDocument/2006/relationships/hyperlink" Target="https://bitprom.ru/blok-konteinery/bk04" TargetMode="External"/><Relationship Id="rId4" Type="http://schemas.openxmlformats.org/officeDocument/2006/relationships/hyperlink" Target="https://kraust.ru/product/santehnicheskiy-modul-600h245-sendvich-kraus" TargetMode="External"/><Relationship Id="rId9" Type="http://schemas.openxmlformats.org/officeDocument/2006/relationships/hyperlink" Target="https://bitprom.ru/blok-konteinery/bk0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AMJ148"/>
  <sheetViews>
    <sheetView tabSelected="1" topLeftCell="A27" zoomScaleNormal="100" workbookViewId="0">
      <selection activeCell="A40" sqref="A40"/>
    </sheetView>
  </sheetViews>
  <sheetFormatPr defaultColWidth="9.140625" defaultRowHeight="15.75"/>
  <cols>
    <col min="1" max="1" width="9.140625" style="5"/>
    <col min="2" max="2" width="3.85546875" style="5" customWidth="1"/>
    <col min="3" max="3" width="65.7109375" style="5" customWidth="1"/>
    <col min="4" max="5" width="10.5703125" style="5" customWidth="1"/>
    <col min="6" max="6" width="24.28515625" style="5" customWidth="1"/>
    <col min="7" max="7" width="15.85546875" style="5" customWidth="1"/>
    <col min="8" max="8" width="17.42578125" style="5" customWidth="1"/>
    <col min="9" max="9" width="34.85546875" style="5" customWidth="1"/>
    <col min="10" max="10" width="22" style="5" customWidth="1"/>
    <col min="11" max="11" width="23.5703125" style="5" customWidth="1"/>
    <col min="12" max="12" width="11.7109375" style="5" customWidth="1"/>
    <col min="13" max="13" width="15.85546875" style="5" customWidth="1"/>
    <col min="14" max="14" width="13.85546875" style="5" customWidth="1"/>
    <col min="15" max="15" width="18.85546875" style="5" customWidth="1"/>
    <col min="16" max="16" width="22.85546875" style="5" customWidth="1"/>
    <col min="17" max="17" width="14.42578125" style="5" customWidth="1"/>
    <col min="18" max="18" width="27.140625" style="5" customWidth="1"/>
    <col min="19" max="19" width="21.5703125" style="5" customWidth="1"/>
    <col min="20" max="1024" width="9.140625" style="5"/>
  </cols>
  <sheetData>
    <row r="2" spans="2:21" ht="15.75" customHeigh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2:21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2:2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2:21" ht="15" customHeight="1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7" spans="2:21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26">
        <f>SUM(Q23:Q42)</f>
        <v>96</v>
      </c>
    </row>
    <row r="10" spans="2:21" ht="15" customHeight="1"/>
    <row r="15" spans="2:21" ht="15.75" customHeight="1">
      <c r="B15" s="150" t="s">
        <v>15</v>
      </c>
      <c r="C15" s="150" t="s">
        <v>16</v>
      </c>
      <c r="D15" s="150" t="s">
        <v>17</v>
      </c>
      <c r="E15" s="150"/>
      <c r="F15" s="150" t="s">
        <v>18</v>
      </c>
      <c r="G15" s="150" t="s">
        <v>19</v>
      </c>
      <c r="H15" s="150"/>
      <c r="I15" s="151" t="s">
        <v>20</v>
      </c>
      <c r="J15" s="151"/>
      <c r="K15" s="151"/>
      <c r="L15" s="151" t="s">
        <v>21</v>
      </c>
      <c r="M15" s="151" t="s">
        <v>22</v>
      </c>
      <c r="N15" s="151" t="s">
        <v>23</v>
      </c>
      <c r="O15" s="151" t="s">
        <v>24</v>
      </c>
      <c r="P15" s="151" t="s">
        <v>25</v>
      </c>
      <c r="Q15" s="151" t="s">
        <v>26</v>
      </c>
      <c r="R15" s="151" t="s">
        <v>27</v>
      </c>
      <c r="S15" s="151" t="s">
        <v>28</v>
      </c>
    </row>
    <row r="16" spans="2:21">
      <c r="B16" s="150"/>
      <c r="C16" s="150"/>
      <c r="D16" s="3" t="s">
        <v>29</v>
      </c>
      <c r="E16" s="3" t="s">
        <v>30</v>
      </c>
      <c r="F16" s="150"/>
      <c r="G16" s="3" t="s">
        <v>31</v>
      </c>
      <c r="H16" s="3" t="s">
        <v>32</v>
      </c>
      <c r="I16" s="2" t="s">
        <v>33</v>
      </c>
      <c r="J16" s="2" t="s">
        <v>34</v>
      </c>
      <c r="K16" s="2" t="s">
        <v>35</v>
      </c>
      <c r="L16" s="151"/>
      <c r="M16" s="151"/>
      <c r="N16" s="151"/>
      <c r="O16" s="151"/>
      <c r="P16" s="151"/>
      <c r="Q16" s="151"/>
      <c r="R16" s="151"/>
      <c r="S16" s="151"/>
    </row>
    <row r="17" spans="1:32"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>
        <v>14</v>
      </c>
      <c r="P17" s="4">
        <v>15</v>
      </c>
      <c r="Q17" s="4">
        <v>16</v>
      </c>
      <c r="R17" s="4">
        <v>17</v>
      </c>
      <c r="S17" s="4">
        <v>18</v>
      </c>
    </row>
    <row r="18" spans="1:32">
      <c r="B18" s="153" t="s">
        <v>0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5"/>
    </row>
    <row r="19" spans="1:32" ht="15" customHeight="1">
      <c r="B19" s="4">
        <v>1</v>
      </c>
      <c r="C19" s="7" t="s">
        <v>1</v>
      </c>
      <c r="D19" s="6" t="s">
        <v>2</v>
      </c>
      <c r="E19" s="6">
        <v>2.08</v>
      </c>
      <c r="F19" s="7" t="s">
        <v>3</v>
      </c>
      <c r="G19" s="6">
        <v>1.49</v>
      </c>
      <c r="H19" s="8">
        <f>G19*E19</f>
        <v>3.0992000000000002</v>
      </c>
      <c r="I19" s="10" t="s">
        <v>359</v>
      </c>
      <c r="J19" s="10">
        <v>0.98</v>
      </c>
      <c r="K19" s="11">
        <f>J19*E19</f>
        <v>2.0384000000000002</v>
      </c>
      <c r="L19" s="4">
        <v>1</v>
      </c>
      <c r="M19" s="11">
        <v>1</v>
      </c>
      <c r="N19" s="4">
        <v>1</v>
      </c>
      <c r="O19" s="11">
        <f>ROUNDUP(K19/(N19*8*M19),0)</f>
        <v>1</v>
      </c>
      <c r="P19" s="4">
        <v>1</v>
      </c>
      <c r="Q19" s="11">
        <f>MAX(P19,O19)</f>
        <v>1</v>
      </c>
      <c r="R19" s="12" t="s">
        <v>4</v>
      </c>
      <c r="S19" s="6" t="s">
        <v>5</v>
      </c>
    </row>
    <row r="20" spans="1:32" ht="78.75">
      <c r="B20" s="4">
        <v>2</v>
      </c>
      <c r="C20" s="6" t="s">
        <v>6</v>
      </c>
      <c r="D20" s="6" t="s">
        <v>7</v>
      </c>
      <c r="E20" s="6">
        <v>1.944</v>
      </c>
      <c r="F20" s="13" t="s">
        <v>8</v>
      </c>
      <c r="G20" s="6">
        <v>4.9400000000000004</v>
      </c>
      <c r="H20" s="6">
        <f>E20*G20</f>
        <v>9.6033600000000003</v>
      </c>
      <c r="I20" s="10" t="s">
        <v>360</v>
      </c>
      <c r="J20" s="6">
        <v>25.96</v>
      </c>
      <c r="K20" s="6">
        <f>J20*E20</f>
        <v>50.466239999999999</v>
      </c>
      <c r="L20" s="4">
        <v>2</v>
      </c>
      <c r="M20" s="4">
        <v>1</v>
      </c>
      <c r="N20" s="4">
        <v>2</v>
      </c>
      <c r="O20" s="4">
        <f>ROUNDUP(K20/(N20*8*M20),0)</f>
        <v>4</v>
      </c>
      <c r="P20" s="4">
        <v>0</v>
      </c>
      <c r="Q20" s="4">
        <f>MAX(O20:P20)</f>
        <v>4</v>
      </c>
      <c r="R20" s="6" t="s">
        <v>4</v>
      </c>
      <c r="S20" s="6" t="s">
        <v>5</v>
      </c>
    </row>
    <row r="21" spans="1:32" ht="31.5">
      <c r="B21" s="4">
        <v>3</v>
      </c>
      <c r="C21" s="6" t="s">
        <v>9</v>
      </c>
      <c r="D21" s="6" t="s">
        <v>10</v>
      </c>
      <c r="E21" s="6">
        <f>0.1557*2</f>
        <v>0.31140000000000001</v>
      </c>
      <c r="F21" s="13" t="s">
        <v>11</v>
      </c>
      <c r="G21" s="13">
        <v>213.12</v>
      </c>
      <c r="H21" s="6">
        <f>E21*G21</f>
        <v>66.36556800000001</v>
      </c>
      <c r="I21" s="6" t="s">
        <v>12</v>
      </c>
      <c r="J21" s="6">
        <v>52.49</v>
      </c>
      <c r="K21" s="6">
        <f>J21*E21</f>
        <v>16.345386000000001</v>
      </c>
      <c r="L21" s="4">
        <v>2</v>
      </c>
      <c r="M21" s="4">
        <v>1</v>
      </c>
      <c r="N21" s="4">
        <v>1</v>
      </c>
      <c r="O21" s="4">
        <f>ROUNDUP(K21/(N21*8*M21),0)</f>
        <v>3</v>
      </c>
      <c r="P21" s="4">
        <f>ROUNDUP((H21/(8*N21*L21)),0)</f>
        <v>5</v>
      </c>
      <c r="Q21" s="4">
        <f>MAX(O21:P21)</f>
        <v>5</v>
      </c>
      <c r="R21" s="6" t="s">
        <v>13</v>
      </c>
      <c r="S21" s="6" t="s">
        <v>14</v>
      </c>
    </row>
    <row r="22" spans="1:32" ht="15" customHeight="1">
      <c r="B22" s="149" t="s">
        <v>36</v>
      </c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</row>
    <row r="23" spans="1:32" ht="31.5">
      <c r="B23" s="4">
        <v>1</v>
      </c>
      <c r="C23" s="6" t="s">
        <v>37</v>
      </c>
      <c r="D23" s="6" t="s">
        <v>10</v>
      </c>
      <c r="E23" s="6">
        <v>1.1499999999999999</v>
      </c>
      <c r="F23" s="13" t="s">
        <v>38</v>
      </c>
      <c r="G23" s="13">
        <v>658.56</v>
      </c>
      <c r="H23" s="6">
        <f t="shared" ref="H23:H29" si="0">E23*G23</f>
        <v>757.34399999999982</v>
      </c>
      <c r="I23" s="99" t="s">
        <v>12</v>
      </c>
      <c r="J23" s="6">
        <v>93.68</v>
      </c>
      <c r="K23" s="6">
        <f t="shared" ref="K23:K29" si="1">J23*E23</f>
        <v>107.732</v>
      </c>
      <c r="L23" s="4">
        <v>5</v>
      </c>
      <c r="M23" s="4">
        <v>1</v>
      </c>
      <c r="N23" s="4">
        <v>3</v>
      </c>
      <c r="O23" s="4">
        <f t="shared" ref="O23:O29" si="2">ROUNDUP(K23/(N23*8*M23),0)</f>
        <v>5</v>
      </c>
      <c r="P23" s="4">
        <f t="shared" ref="P23:P29" si="3">ROUNDUP((H23/(8*N23*L23)),0)</f>
        <v>7</v>
      </c>
      <c r="Q23" s="4">
        <f t="shared" ref="Q23:Q29" si="4">MAX(O23:P23)</f>
        <v>7</v>
      </c>
      <c r="R23" s="6" t="s">
        <v>39</v>
      </c>
      <c r="S23" s="6" t="s">
        <v>40</v>
      </c>
      <c r="X23" s="27"/>
    </row>
    <row r="24" spans="1:32" ht="31.5">
      <c r="A24" s="5" t="s">
        <v>508</v>
      </c>
      <c r="B24" s="4">
        <v>2</v>
      </c>
      <c r="C24" s="6" t="s">
        <v>41</v>
      </c>
      <c r="D24" s="6" t="s">
        <v>10</v>
      </c>
      <c r="E24" s="6">
        <v>0.48</v>
      </c>
      <c r="F24" s="13" t="s">
        <v>42</v>
      </c>
      <c r="G24" s="13">
        <v>223.11</v>
      </c>
      <c r="H24" s="6">
        <f>E24*G24</f>
        <v>107.0928</v>
      </c>
      <c r="I24" s="99" t="s">
        <v>43</v>
      </c>
      <c r="J24" s="6">
        <v>31.98</v>
      </c>
      <c r="K24" s="6">
        <f>J24*E24</f>
        <v>15.3504</v>
      </c>
      <c r="L24" s="4">
        <v>3</v>
      </c>
      <c r="M24" s="4">
        <v>1</v>
      </c>
      <c r="N24" s="4">
        <v>1</v>
      </c>
      <c r="O24" s="4">
        <f>ROUNDUP(K24/(N24*8*M24),0)</f>
        <v>2</v>
      </c>
      <c r="P24" s="4">
        <f>ROUNDUP((H24/(8*N24*L24)),0)</f>
        <v>5</v>
      </c>
      <c r="Q24" s="4">
        <f>MAX(O24:P24)</f>
        <v>5</v>
      </c>
      <c r="R24" s="6" t="s">
        <v>44</v>
      </c>
      <c r="S24" s="6" t="s">
        <v>45</v>
      </c>
      <c r="X24" s="27"/>
    </row>
    <row r="25" spans="1:32" ht="47.25">
      <c r="A25" s="5" t="s">
        <v>509</v>
      </c>
      <c r="B25" s="4">
        <v>3</v>
      </c>
      <c r="C25" s="6" t="s">
        <v>46</v>
      </c>
      <c r="D25" s="6" t="s">
        <v>10</v>
      </c>
      <c r="E25" s="6">
        <v>0.89600000000000002</v>
      </c>
      <c r="F25" s="13" t="s">
        <v>47</v>
      </c>
      <c r="G25" s="13">
        <v>458.43</v>
      </c>
      <c r="H25" s="6">
        <f t="shared" si="0"/>
        <v>410.75328000000002</v>
      </c>
      <c r="I25" s="99" t="s">
        <v>48</v>
      </c>
      <c r="J25" s="6">
        <v>82.87</v>
      </c>
      <c r="K25" s="6">
        <f t="shared" si="1"/>
        <v>74.251519999999999</v>
      </c>
      <c r="L25" s="4">
        <v>3</v>
      </c>
      <c r="M25" s="4">
        <v>1</v>
      </c>
      <c r="N25" s="4">
        <v>2</v>
      </c>
      <c r="O25" s="4">
        <f t="shared" si="2"/>
        <v>5</v>
      </c>
      <c r="P25" s="4">
        <f t="shared" si="3"/>
        <v>9</v>
      </c>
      <c r="Q25" s="4">
        <f t="shared" si="4"/>
        <v>9</v>
      </c>
      <c r="R25" s="6" t="s">
        <v>49</v>
      </c>
      <c r="S25" s="6" t="s">
        <v>50</v>
      </c>
      <c r="X25" s="27"/>
    </row>
    <row r="26" spans="1:32" ht="94.5">
      <c r="A26" s="5" t="s">
        <v>510</v>
      </c>
      <c r="B26" s="4">
        <v>4</v>
      </c>
      <c r="C26" s="6" t="s">
        <v>51</v>
      </c>
      <c r="D26" s="6" t="s">
        <v>52</v>
      </c>
      <c r="E26" s="6">
        <f>E25*1.55</f>
        <v>1.3888</v>
      </c>
      <c r="F26" s="13" t="s">
        <v>53</v>
      </c>
      <c r="G26" s="13">
        <v>484.5</v>
      </c>
      <c r="H26" s="6">
        <f t="shared" si="0"/>
        <v>672.87360000000001</v>
      </c>
      <c r="I26" s="101" t="s">
        <v>355</v>
      </c>
      <c r="J26" s="6">
        <v>113.13</v>
      </c>
      <c r="K26" s="6">
        <f t="shared" si="1"/>
        <v>157.11494400000001</v>
      </c>
      <c r="L26" s="4">
        <v>4</v>
      </c>
      <c r="M26" s="4">
        <v>1</v>
      </c>
      <c r="N26" s="4">
        <v>3</v>
      </c>
      <c r="O26" s="4">
        <f t="shared" si="2"/>
        <v>7</v>
      </c>
      <c r="P26" s="4">
        <f t="shared" si="3"/>
        <v>8</v>
      </c>
      <c r="Q26" s="4">
        <f t="shared" si="4"/>
        <v>8</v>
      </c>
      <c r="R26" s="6" t="s">
        <v>49</v>
      </c>
      <c r="S26" s="6" t="s">
        <v>54</v>
      </c>
      <c r="X26" s="27"/>
    </row>
    <row r="27" spans="1:32" ht="31.5">
      <c r="A27" s="5" t="s">
        <v>511</v>
      </c>
      <c r="B27" s="4">
        <v>5</v>
      </c>
      <c r="C27" s="6" t="s">
        <v>55</v>
      </c>
      <c r="D27" s="6" t="s">
        <v>10</v>
      </c>
      <c r="E27" s="6">
        <v>0.04</v>
      </c>
      <c r="F27" s="13" t="s">
        <v>56</v>
      </c>
      <c r="G27" s="13">
        <v>347.48</v>
      </c>
      <c r="H27" s="6">
        <f t="shared" si="0"/>
        <v>13.8992</v>
      </c>
      <c r="I27" s="99" t="s">
        <v>57</v>
      </c>
      <c r="J27" s="6">
        <v>82.25</v>
      </c>
      <c r="K27" s="6">
        <f t="shared" si="1"/>
        <v>3.29</v>
      </c>
      <c r="L27" s="4">
        <v>1</v>
      </c>
      <c r="M27" s="4">
        <v>1</v>
      </c>
      <c r="N27" s="4">
        <v>1</v>
      </c>
      <c r="O27" s="4">
        <f t="shared" si="2"/>
        <v>1</v>
      </c>
      <c r="P27" s="4">
        <f t="shared" si="3"/>
        <v>2</v>
      </c>
      <c r="Q27" s="4">
        <f t="shared" si="4"/>
        <v>2</v>
      </c>
      <c r="R27" s="6" t="s">
        <v>13</v>
      </c>
      <c r="S27" s="6" t="s">
        <v>58</v>
      </c>
      <c r="T27"/>
      <c r="U27" s="14">
        <f>(U7+U30+U70)/30</f>
        <v>6.6333333333333337</v>
      </c>
      <c r="V27"/>
      <c r="W27" s="25"/>
      <c r="X27" s="28"/>
      <c r="Y27"/>
      <c r="Z27"/>
      <c r="AA27"/>
      <c r="AB27"/>
      <c r="AC27"/>
      <c r="AD27"/>
      <c r="AE27"/>
      <c r="AF27"/>
    </row>
    <row r="28" spans="1:32" ht="31.5">
      <c r="A28" s="5" t="s">
        <v>512</v>
      </c>
      <c r="B28" s="4">
        <v>6</v>
      </c>
      <c r="C28" s="6" t="s">
        <v>59</v>
      </c>
      <c r="D28" s="6" t="s">
        <v>60</v>
      </c>
      <c r="E28" s="6">
        <v>0.16200000000000001</v>
      </c>
      <c r="F28" s="13" t="s">
        <v>61</v>
      </c>
      <c r="G28" s="13">
        <v>39.51</v>
      </c>
      <c r="H28" s="6">
        <f t="shared" si="0"/>
        <v>6.40062</v>
      </c>
      <c r="I28" s="99" t="s">
        <v>62</v>
      </c>
      <c r="J28" s="6">
        <v>9.07</v>
      </c>
      <c r="K28" s="6">
        <f t="shared" si="1"/>
        <v>1.4693400000000001</v>
      </c>
      <c r="L28" s="4">
        <v>5</v>
      </c>
      <c r="M28" s="4">
        <v>1</v>
      </c>
      <c r="N28" s="4">
        <v>1</v>
      </c>
      <c r="O28" s="4">
        <f t="shared" si="2"/>
        <v>1</v>
      </c>
      <c r="P28" s="4">
        <f t="shared" si="3"/>
        <v>1</v>
      </c>
      <c r="Q28" s="4">
        <f t="shared" si="4"/>
        <v>1</v>
      </c>
      <c r="R28" s="6" t="s">
        <v>63</v>
      </c>
      <c r="S28" s="6" t="s">
        <v>64</v>
      </c>
      <c r="T28"/>
      <c r="U28"/>
      <c r="V28"/>
      <c r="W28"/>
      <c r="X28" s="28"/>
      <c r="Y28"/>
      <c r="Z28"/>
      <c r="AA28"/>
      <c r="AB28"/>
      <c r="AC28"/>
      <c r="AD28"/>
      <c r="AE28"/>
      <c r="AF28"/>
    </row>
    <row r="29" spans="1:32" ht="15" customHeight="1">
      <c r="A29" s="5" t="s">
        <v>513</v>
      </c>
      <c r="B29" s="4">
        <v>7</v>
      </c>
      <c r="C29" s="9" t="s">
        <v>65</v>
      </c>
      <c r="D29" s="6" t="s">
        <v>60</v>
      </c>
      <c r="E29" s="6">
        <v>6.3959999999999999</v>
      </c>
      <c r="F29" s="13" t="s">
        <v>66</v>
      </c>
      <c r="G29" s="13">
        <v>45.4</v>
      </c>
      <c r="H29" s="6">
        <f t="shared" si="0"/>
        <v>290.3784</v>
      </c>
      <c r="I29" s="99" t="s">
        <v>67</v>
      </c>
      <c r="J29" s="6">
        <v>0.3</v>
      </c>
      <c r="K29" s="6">
        <f t="shared" si="1"/>
        <v>1.9187999999999998</v>
      </c>
      <c r="L29" s="4">
        <v>3</v>
      </c>
      <c r="M29" s="4">
        <v>1</v>
      </c>
      <c r="N29" s="4">
        <v>1</v>
      </c>
      <c r="O29" s="4">
        <f t="shared" si="2"/>
        <v>1</v>
      </c>
      <c r="P29" s="4">
        <f t="shared" si="3"/>
        <v>13</v>
      </c>
      <c r="Q29" s="4">
        <f t="shared" si="4"/>
        <v>13</v>
      </c>
      <c r="R29" s="6" t="s">
        <v>39</v>
      </c>
      <c r="S29" s="6" t="s">
        <v>68</v>
      </c>
      <c r="X29" s="27"/>
    </row>
    <row r="30" spans="1:32" ht="63">
      <c r="A30" s="5" t="s">
        <v>513</v>
      </c>
      <c r="B30" s="4">
        <v>8</v>
      </c>
      <c r="C30" s="6" t="s">
        <v>69</v>
      </c>
      <c r="D30" s="6" t="s">
        <v>60</v>
      </c>
      <c r="E30" s="6">
        <v>0.35949999999999999</v>
      </c>
      <c r="F30" s="13" t="s">
        <v>70</v>
      </c>
      <c r="G30" s="13">
        <v>119.78</v>
      </c>
      <c r="H30" s="6">
        <f t="shared" ref="H30:H42" si="5">E30*G30</f>
        <v>43.06091</v>
      </c>
      <c r="I30" s="101" t="s">
        <v>353</v>
      </c>
      <c r="J30" s="6">
        <v>2.2999999999999998</v>
      </c>
      <c r="K30" s="6">
        <f t="shared" ref="K30:K42" si="6">J30*E30</f>
        <v>0.82684999999999986</v>
      </c>
      <c r="L30" s="4">
        <v>1</v>
      </c>
      <c r="M30" s="4">
        <v>1</v>
      </c>
      <c r="N30" s="4">
        <v>1</v>
      </c>
      <c r="O30" s="4">
        <f t="shared" ref="O30:O42" si="7">ROUNDUP(K30/(N30*8*M30),0)</f>
        <v>1</v>
      </c>
      <c r="P30" s="4">
        <f t="shared" ref="P30:P42" si="8">ROUNDUP((H30/(8*N30*L30)),0)</f>
        <v>6</v>
      </c>
      <c r="Q30" s="4">
        <f t="shared" ref="Q30:Q42" si="9">MAX(O30:P30)</f>
        <v>6</v>
      </c>
      <c r="R30" s="6" t="s">
        <v>71</v>
      </c>
      <c r="S30" s="6" t="s">
        <v>72</v>
      </c>
      <c r="U30" s="26">
        <f>SUM(Q44:Q63)</f>
        <v>93</v>
      </c>
      <c r="X30" s="27"/>
    </row>
    <row r="31" spans="1:32" ht="31.5">
      <c r="A31" s="5" t="s">
        <v>514</v>
      </c>
      <c r="B31" s="4">
        <v>9</v>
      </c>
      <c r="C31" s="6" t="s">
        <v>73</v>
      </c>
      <c r="D31" s="6" t="s">
        <v>60</v>
      </c>
      <c r="E31" s="6">
        <v>0.64300000000000002</v>
      </c>
      <c r="F31" s="13" t="s">
        <v>74</v>
      </c>
      <c r="G31" s="13">
        <v>104.28</v>
      </c>
      <c r="H31" s="6">
        <f t="shared" si="5"/>
        <v>67.052040000000005</v>
      </c>
      <c r="I31" s="99" t="s">
        <v>57</v>
      </c>
      <c r="J31" s="6">
        <v>9.69</v>
      </c>
      <c r="K31" s="6">
        <f t="shared" si="6"/>
        <v>6.2306699999999999</v>
      </c>
      <c r="L31" s="4">
        <v>5</v>
      </c>
      <c r="M31" s="4">
        <v>1</v>
      </c>
      <c r="N31" s="4">
        <v>1</v>
      </c>
      <c r="O31" s="4">
        <f t="shared" si="7"/>
        <v>1</v>
      </c>
      <c r="P31" s="4">
        <f t="shared" si="8"/>
        <v>2</v>
      </c>
      <c r="Q31" s="4">
        <f t="shared" si="9"/>
        <v>2</v>
      </c>
      <c r="R31" s="6" t="s">
        <v>44</v>
      </c>
      <c r="S31" s="6" t="s">
        <v>75</v>
      </c>
      <c r="W31" s="27"/>
      <c r="X31" s="27"/>
    </row>
    <row r="32" spans="1:32" ht="47.25">
      <c r="A32" s="5" t="s">
        <v>514</v>
      </c>
      <c r="B32" s="15">
        <v>10</v>
      </c>
      <c r="C32" s="6" t="s">
        <v>76</v>
      </c>
      <c r="D32" s="6" t="s">
        <v>60</v>
      </c>
      <c r="E32" s="6">
        <v>0.91200000000000003</v>
      </c>
      <c r="F32" s="13" t="s">
        <v>77</v>
      </c>
      <c r="G32" s="13">
        <v>120.3</v>
      </c>
      <c r="H32" s="6">
        <f t="shared" si="5"/>
        <v>109.7136</v>
      </c>
      <c r="I32" s="100" t="s">
        <v>354</v>
      </c>
      <c r="J32" s="6">
        <v>1.73</v>
      </c>
      <c r="K32" s="6">
        <f t="shared" si="6"/>
        <v>1.5777600000000001</v>
      </c>
      <c r="L32" s="4">
        <v>3</v>
      </c>
      <c r="M32" s="4">
        <v>1</v>
      </c>
      <c r="N32" s="4">
        <v>1</v>
      </c>
      <c r="O32" s="4">
        <f t="shared" si="7"/>
        <v>1</v>
      </c>
      <c r="P32" s="4">
        <f t="shared" si="8"/>
        <v>5</v>
      </c>
      <c r="Q32" s="4">
        <f t="shared" si="9"/>
        <v>5</v>
      </c>
      <c r="R32" s="6" t="s">
        <v>78</v>
      </c>
      <c r="S32" s="6" t="s">
        <v>79</v>
      </c>
    </row>
    <row r="33" spans="1:24" ht="31.5">
      <c r="A33" s="5" t="s">
        <v>515</v>
      </c>
      <c r="B33" s="4">
        <v>11</v>
      </c>
      <c r="C33" s="6" t="s">
        <v>80</v>
      </c>
      <c r="D33" s="6" t="s">
        <v>60</v>
      </c>
      <c r="E33" s="9">
        <v>6.7320000000000002</v>
      </c>
      <c r="F33" s="13" t="s">
        <v>81</v>
      </c>
      <c r="G33" s="13">
        <v>65.66</v>
      </c>
      <c r="H33" s="6">
        <f t="shared" si="5"/>
        <v>442.02312000000001</v>
      </c>
      <c r="I33" s="102" t="s">
        <v>357</v>
      </c>
      <c r="J33" s="6">
        <v>4.76</v>
      </c>
      <c r="K33" s="6">
        <f t="shared" si="6"/>
        <v>32.044319999999999</v>
      </c>
      <c r="L33" s="4">
        <v>5</v>
      </c>
      <c r="M33" s="4">
        <v>1</v>
      </c>
      <c r="N33" s="4">
        <v>3</v>
      </c>
      <c r="O33" s="4">
        <f t="shared" si="7"/>
        <v>2</v>
      </c>
      <c r="P33" s="4">
        <f t="shared" si="8"/>
        <v>4</v>
      </c>
      <c r="Q33" s="4">
        <f t="shared" si="9"/>
        <v>4</v>
      </c>
      <c r="R33" s="6" t="s">
        <v>82</v>
      </c>
      <c r="S33" s="6" t="s">
        <v>83</v>
      </c>
      <c r="X33" s="27"/>
    </row>
    <row r="34" spans="1:24" ht="31.5">
      <c r="A34" s="5" t="s">
        <v>515</v>
      </c>
      <c r="B34" s="4">
        <v>12</v>
      </c>
      <c r="C34" s="6" t="s">
        <v>84</v>
      </c>
      <c r="D34" s="6" t="s">
        <v>60</v>
      </c>
      <c r="E34" s="9">
        <v>6.7320000000000002</v>
      </c>
      <c r="F34" s="13" t="s">
        <v>85</v>
      </c>
      <c r="G34" s="13">
        <v>15.18</v>
      </c>
      <c r="H34" s="6">
        <f t="shared" si="5"/>
        <v>102.19176</v>
      </c>
      <c r="I34" s="100" t="s">
        <v>356</v>
      </c>
      <c r="J34" s="6">
        <v>0.08</v>
      </c>
      <c r="K34" s="6">
        <f t="shared" si="6"/>
        <v>0.53856000000000004</v>
      </c>
      <c r="L34" s="4">
        <v>5</v>
      </c>
      <c r="M34" s="4">
        <v>1</v>
      </c>
      <c r="N34" s="4">
        <v>1</v>
      </c>
      <c r="O34" s="4">
        <f t="shared" si="7"/>
        <v>1</v>
      </c>
      <c r="P34" s="4">
        <f t="shared" si="8"/>
        <v>3</v>
      </c>
      <c r="Q34" s="4">
        <f t="shared" si="9"/>
        <v>3</v>
      </c>
      <c r="R34" s="6" t="s">
        <v>13</v>
      </c>
      <c r="S34" s="6" t="s">
        <v>83</v>
      </c>
      <c r="X34" s="27"/>
    </row>
    <row r="35" spans="1:24" ht="31.5">
      <c r="A35" s="5" t="s">
        <v>515</v>
      </c>
      <c r="B35" s="4">
        <v>13</v>
      </c>
      <c r="C35" s="6" t="s">
        <v>86</v>
      </c>
      <c r="D35" s="6" t="s">
        <v>60</v>
      </c>
      <c r="E35" s="9">
        <v>6.7320000000000002</v>
      </c>
      <c r="F35" s="13" t="s">
        <v>87</v>
      </c>
      <c r="G35" s="13">
        <v>68.790000000000006</v>
      </c>
      <c r="H35" s="6">
        <f t="shared" si="5"/>
        <v>463.09428000000008</v>
      </c>
      <c r="I35" s="102" t="s">
        <v>357</v>
      </c>
      <c r="J35" s="6">
        <v>4.76</v>
      </c>
      <c r="K35" s="6">
        <f t="shared" si="6"/>
        <v>32.044319999999999</v>
      </c>
      <c r="L35" s="4">
        <v>7</v>
      </c>
      <c r="M35" s="4">
        <v>1</v>
      </c>
      <c r="N35" s="4">
        <v>2</v>
      </c>
      <c r="O35" s="4">
        <f t="shared" si="7"/>
        <v>3</v>
      </c>
      <c r="P35" s="4">
        <f t="shared" si="8"/>
        <v>5</v>
      </c>
      <c r="Q35" s="4">
        <f t="shared" si="9"/>
        <v>5</v>
      </c>
      <c r="R35" s="6" t="s">
        <v>82</v>
      </c>
      <c r="S35" s="6" t="s">
        <v>64</v>
      </c>
      <c r="X35" s="27"/>
    </row>
    <row r="36" spans="1:24" ht="47.25">
      <c r="A36" s="5" t="s">
        <v>515</v>
      </c>
      <c r="B36" s="4">
        <v>14</v>
      </c>
      <c r="C36" s="6" t="s">
        <v>88</v>
      </c>
      <c r="D36" s="6" t="s">
        <v>60</v>
      </c>
      <c r="E36" s="9">
        <v>6.7320000000000002</v>
      </c>
      <c r="F36" s="13" t="s">
        <v>89</v>
      </c>
      <c r="G36" s="13">
        <v>16.940000000000001</v>
      </c>
      <c r="H36" s="6">
        <f t="shared" si="5"/>
        <v>114.04008000000002</v>
      </c>
      <c r="I36" s="100" t="s">
        <v>356</v>
      </c>
      <c r="J36" s="6">
        <v>0.09</v>
      </c>
      <c r="K36" s="6">
        <f t="shared" si="6"/>
        <v>0.60587999999999997</v>
      </c>
      <c r="L36" s="4">
        <v>4</v>
      </c>
      <c r="M36" s="4">
        <v>1</v>
      </c>
      <c r="N36" s="4">
        <v>2</v>
      </c>
      <c r="O36" s="4">
        <f t="shared" si="7"/>
        <v>1</v>
      </c>
      <c r="P36" s="4">
        <f t="shared" si="8"/>
        <v>2</v>
      </c>
      <c r="Q36" s="4">
        <f t="shared" si="9"/>
        <v>2</v>
      </c>
      <c r="R36" s="6" t="s">
        <v>13</v>
      </c>
      <c r="S36" s="6" t="s">
        <v>64</v>
      </c>
      <c r="X36" s="27"/>
    </row>
    <row r="37" spans="1:24" ht="31.5">
      <c r="A37" s="5" t="s">
        <v>516</v>
      </c>
      <c r="B37" s="4">
        <v>15</v>
      </c>
      <c r="C37" s="6" t="s">
        <v>90</v>
      </c>
      <c r="D37" s="6" t="s">
        <v>60</v>
      </c>
      <c r="E37" s="6">
        <v>0.75600000000000001</v>
      </c>
      <c r="F37" s="13" t="s">
        <v>91</v>
      </c>
      <c r="G37" s="13">
        <v>24.3</v>
      </c>
      <c r="H37" s="6">
        <f t="shared" si="5"/>
        <v>18.370799999999999</v>
      </c>
      <c r="I37" s="100" t="s">
        <v>356</v>
      </c>
      <c r="J37" s="6">
        <v>0.25</v>
      </c>
      <c r="K37" s="6">
        <f t="shared" si="6"/>
        <v>0.189</v>
      </c>
      <c r="L37" s="4">
        <v>1</v>
      </c>
      <c r="M37" s="4">
        <v>1</v>
      </c>
      <c r="N37" s="4">
        <v>1</v>
      </c>
      <c r="O37" s="4">
        <f t="shared" si="7"/>
        <v>1</v>
      </c>
      <c r="P37" s="4">
        <f t="shared" si="8"/>
        <v>3</v>
      </c>
      <c r="Q37" s="4">
        <f t="shared" si="9"/>
        <v>3</v>
      </c>
      <c r="R37" s="6" t="s">
        <v>92</v>
      </c>
      <c r="S37" s="6" t="s">
        <v>93</v>
      </c>
    </row>
    <row r="38" spans="1:24" ht="31.5">
      <c r="A38" s="5" t="s">
        <v>516</v>
      </c>
      <c r="B38" s="4">
        <v>16</v>
      </c>
      <c r="C38" s="6" t="s">
        <v>94</v>
      </c>
      <c r="D38" s="6" t="s">
        <v>60</v>
      </c>
      <c r="E38" s="6">
        <v>7.8E-2</v>
      </c>
      <c r="F38" s="13" t="s">
        <v>95</v>
      </c>
      <c r="G38" s="13">
        <v>66.22</v>
      </c>
      <c r="H38" s="6">
        <f t="shared" si="5"/>
        <v>5.1651600000000002</v>
      </c>
      <c r="I38" s="102" t="s">
        <v>358</v>
      </c>
      <c r="J38" s="6">
        <v>1</v>
      </c>
      <c r="K38" s="6">
        <f t="shared" si="6"/>
        <v>7.8E-2</v>
      </c>
      <c r="L38" s="4">
        <v>7</v>
      </c>
      <c r="M38" s="4">
        <v>1</v>
      </c>
      <c r="N38" s="4">
        <v>1</v>
      </c>
      <c r="O38" s="4">
        <f t="shared" si="7"/>
        <v>1</v>
      </c>
      <c r="P38" s="4">
        <f t="shared" si="8"/>
        <v>1</v>
      </c>
      <c r="Q38" s="4">
        <f t="shared" si="9"/>
        <v>1</v>
      </c>
      <c r="R38" s="6" t="s">
        <v>96</v>
      </c>
      <c r="S38" s="6" t="s">
        <v>97</v>
      </c>
    </row>
    <row r="39" spans="1:24" ht="47.25">
      <c r="A39" s="5" t="s">
        <v>517</v>
      </c>
      <c r="B39" s="4">
        <v>17</v>
      </c>
      <c r="C39" s="6" t="s">
        <v>98</v>
      </c>
      <c r="D39" s="6" t="s">
        <v>60</v>
      </c>
      <c r="E39" s="6">
        <v>4.2767999999999997</v>
      </c>
      <c r="F39" s="13" t="s">
        <v>99</v>
      </c>
      <c r="G39" s="13">
        <v>290.7</v>
      </c>
      <c r="H39" s="6">
        <f t="shared" si="5"/>
        <v>1243.2657599999998</v>
      </c>
      <c r="I39" s="100" t="s">
        <v>354</v>
      </c>
      <c r="J39" s="6">
        <v>1.21</v>
      </c>
      <c r="K39" s="6">
        <f t="shared" si="6"/>
        <v>5.1749279999999995</v>
      </c>
      <c r="L39" s="4">
        <v>7</v>
      </c>
      <c r="M39" s="4">
        <v>1</v>
      </c>
      <c r="N39" s="4">
        <v>2</v>
      </c>
      <c r="O39" s="4">
        <f t="shared" si="7"/>
        <v>1</v>
      </c>
      <c r="P39" s="4">
        <f t="shared" si="8"/>
        <v>12</v>
      </c>
      <c r="Q39" s="4">
        <f t="shared" si="9"/>
        <v>12</v>
      </c>
      <c r="R39" s="6" t="s">
        <v>39</v>
      </c>
      <c r="S39" s="6" t="s">
        <v>100</v>
      </c>
    </row>
    <row r="40" spans="1:24" ht="31.5">
      <c r="A40" s="5" t="s">
        <v>518</v>
      </c>
      <c r="B40" s="4">
        <v>18</v>
      </c>
      <c r="C40" s="6" t="s">
        <v>101</v>
      </c>
      <c r="D40" s="6" t="s">
        <v>60</v>
      </c>
      <c r="E40" s="6">
        <v>2.052</v>
      </c>
      <c r="F40" s="13" t="s">
        <v>102</v>
      </c>
      <c r="G40" s="6">
        <v>31.41</v>
      </c>
      <c r="H40" s="6">
        <f t="shared" si="5"/>
        <v>64.453320000000005</v>
      </c>
      <c r="I40" s="99" t="s">
        <v>103</v>
      </c>
      <c r="J40" s="6">
        <v>0.34</v>
      </c>
      <c r="K40" s="6">
        <f t="shared" si="6"/>
        <v>0.69768000000000008</v>
      </c>
      <c r="L40" s="4">
        <v>3</v>
      </c>
      <c r="M40" s="4">
        <v>1</v>
      </c>
      <c r="N40" s="4">
        <v>2</v>
      </c>
      <c r="O40" s="4">
        <f t="shared" si="7"/>
        <v>1</v>
      </c>
      <c r="P40" s="4">
        <f t="shared" si="8"/>
        <v>2</v>
      </c>
      <c r="Q40" s="4">
        <f t="shared" si="9"/>
        <v>2</v>
      </c>
      <c r="R40" s="6" t="s">
        <v>104</v>
      </c>
      <c r="S40" s="6" t="s">
        <v>105</v>
      </c>
      <c r="X40" s="27"/>
    </row>
    <row r="41" spans="1:24" ht="31.5">
      <c r="B41" s="4">
        <v>19</v>
      </c>
      <c r="C41" s="6" t="s">
        <v>106</v>
      </c>
      <c r="D41" s="6" t="s">
        <v>60</v>
      </c>
      <c r="E41" s="6">
        <v>3.24</v>
      </c>
      <c r="F41" s="13" t="s">
        <v>107</v>
      </c>
      <c r="G41" s="13">
        <v>26.22</v>
      </c>
      <c r="H41" s="6">
        <f t="shared" si="5"/>
        <v>84.952799999999996</v>
      </c>
      <c r="I41" s="102" t="s">
        <v>358</v>
      </c>
      <c r="J41" s="6">
        <v>6.38</v>
      </c>
      <c r="K41" s="6">
        <f t="shared" si="6"/>
        <v>20.671200000000002</v>
      </c>
      <c r="L41" s="4">
        <v>5</v>
      </c>
      <c r="M41" s="4">
        <v>1</v>
      </c>
      <c r="N41" s="4">
        <v>1</v>
      </c>
      <c r="O41" s="4">
        <f t="shared" si="7"/>
        <v>3</v>
      </c>
      <c r="P41" s="4">
        <f t="shared" si="8"/>
        <v>3</v>
      </c>
      <c r="Q41" s="4">
        <f t="shared" si="9"/>
        <v>3</v>
      </c>
      <c r="R41" s="6" t="s">
        <v>39</v>
      </c>
      <c r="S41" s="6" t="s">
        <v>64</v>
      </c>
    </row>
    <row r="42" spans="1:24" ht="47.25">
      <c r="B42" s="4">
        <v>20</v>
      </c>
      <c r="C42" s="142" t="s">
        <v>108</v>
      </c>
      <c r="D42" s="6" t="s">
        <v>60</v>
      </c>
      <c r="E42" s="6">
        <v>0.32</v>
      </c>
      <c r="F42" s="16" t="s">
        <v>109</v>
      </c>
      <c r="G42" s="13">
        <v>270.25</v>
      </c>
      <c r="H42" s="6">
        <f t="shared" si="5"/>
        <v>86.48</v>
      </c>
      <c r="I42" s="99" t="s">
        <v>110</v>
      </c>
      <c r="J42" s="6">
        <v>1.52</v>
      </c>
      <c r="K42" s="6">
        <f t="shared" si="6"/>
        <v>0.4864</v>
      </c>
      <c r="L42" s="4">
        <v>4</v>
      </c>
      <c r="M42" s="4">
        <v>1</v>
      </c>
      <c r="N42" s="4">
        <v>1</v>
      </c>
      <c r="O42" s="4">
        <f t="shared" si="7"/>
        <v>1</v>
      </c>
      <c r="P42" s="4">
        <f t="shared" si="8"/>
        <v>3</v>
      </c>
      <c r="Q42" s="4">
        <f t="shared" si="9"/>
        <v>3</v>
      </c>
      <c r="R42" s="6" t="s">
        <v>39</v>
      </c>
      <c r="S42" s="6" t="s">
        <v>111</v>
      </c>
    </row>
    <row r="43" spans="1:24">
      <c r="B43" s="156" t="s">
        <v>112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8"/>
    </row>
    <row r="44" spans="1:24" ht="31.5">
      <c r="B44" s="4">
        <v>1</v>
      </c>
      <c r="C44" s="6" t="s">
        <v>37</v>
      </c>
      <c r="D44" s="6" t="s">
        <v>10</v>
      </c>
      <c r="E44" s="6">
        <v>0.9</v>
      </c>
      <c r="F44" s="13" t="s">
        <v>38</v>
      </c>
      <c r="G44" s="13">
        <v>658.56</v>
      </c>
      <c r="H44" s="6">
        <f t="shared" ref="H44:H63" si="10">E44*G44</f>
        <v>592.70399999999995</v>
      </c>
      <c r="I44" s="6" t="s">
        <v>12</v>
      </c>
      <c r="J44" s="6">
        <v>93.68</v>
      </c>
      <c r="K44" s="6">
        <f t="shared" ref="K44:K63" si="11">J44*E44</f>
        <v>84.312000000000012</v>
      </c>
      <c r="L44" s="4">
        <v>5</v>
      </c>
      <c r="M44" s="4">
        <v>1</v>
      </c>
      <c r="N44" s="4">
        <v>3</v>
      </c>
      <c r="O44" s="4">
        <f t="shared" ref="O44:O63" si="12">ROUNDUP(K44/(N44*8*M44),0)</f>
        <v>4</v>
      </c>
      <c r="P44" s="4">
        <f t="shared" ref="P44:P63" si="13">ROUNDUP((H44/(8*N44*L44)),0)</f>
        <v>5</v>
      </c>
      <c r="Q44" s="4">
        <f t="shared" ref="Q44:Q63" si="14">MAX(O44:P44)</f>
        <v>5</v>
      </c>
      <c r="R44" s="6" t="s">
        <v>39</v>
      </c>
      <c r="S44" s="6" t="s">
        <v>40</v>
      </c>
    </row>
    <row r="45" spans="1:24" ht="31.5">
      <c r="B45" s="4">
        <v>2</v>
      </c>
      <c r="C45" s="6" t="s">
        <v>41</v>
      </c>
      <c r="D45" s="6" t="s">
        <v>10</v>
      </c>
      <c r="E45" s="9">
        <v>0.48</v>
      </c>
      <c r="F45" s="13" t="s">
        <v>42</v>
      </c>
      <c r="G45" s="13">
        <v>223.11</v>
      </c>
      <c r="H45" s="6">
        <f t="shared" si="10"/>
        <v>107.0928</v>
      </c>
      <c r="I45" s="6" t="s">
        <v>43</v>
      </c>
      <c r="J45" s="6">
        <v>31.98</v>
      </c>
      <c r="K45" s="6">
        <f t="shared" si="11"/>
        <v>15.3504</v>
      </c>
      <c r="L45" s="4">
        <v>3</v>
      </c>
      <c r="M45" s="4">
        <v>1</v>
      </c>
      <c r="N45" s="4">
        <v>1</v>
      </c>
      <c r="O45" s="4">
        <f t="shared" si="12"/>
        <v>2</v>
      </c>
      <c r="P45" s="4">
        <f t="shared" si="13"/>
        <v>5</v>
      </c>
      <c r="Q45" s="4">
        <f t="shared" si="14"/>
        <v>5</v>
      </c>
      <c r="R45" s="6" t="s">
        <v>44</v>
      </c>
      <c r="S45" s="6" t="s">
        <v>45</v>
      </c>
    </row>
    <row r="46" spans="1:24" ht="15" customHeight="1">
      <c r="B46" s="4">
        <v>3</v>
      </c>
      <c r="C46" s="6" t="s">
        <v>46</v>
      </c>
      <c r="D46" s="6" t="s">
        <v>10</v>
      </c>
      <c r="E46" s="6">
        <v>0.83799999999999997</v>
      </c>
      <c r="F46" s="13" t="s">
        <v>47</v>
      </c>
      <c r="G46" s="13">
        <v>458.43</v>
      </c>
      <c r="H46" s="6">
        <f t="shared" si="10"/>
        <v>384.16433999999998</v>
      </c>
      <c r="I46" s="6" t="s">
        <v>48</v>
      </c>
      <c r="J46" s="6">
        <v>82.87</v>
      </c>
      <c r="K46" s="6">
        <f t="shared" si="11"/>
        <v>69.445059999999998</v>
      </c>
      <c r="L46" s="4">
        <v>3</v>
      </c>
      <c r="M46" s="4">
        <v>1</v>
      </c>
      <c r="N46" s="4">
        <v>2</v>
      </c>
      <c r="O46" s="4">
        <f t="shared" si="12"/>
        <v>5</v>
      </c>
      <c r="P46" s="4">
        <f t="shared" si="13"/>
        <v>9</v>
      </c>
      <c r="Q46" s="4">
        <f t="shared" si="14"/>
        <v>9</v>
      </c>
      <c r="R46" s="6" t="s">
        <v>49</v>
      </c>
      <c r="S46" s="6" t="s">
        <v>50</v>
      </c>
    </row>
    <row r="47" spans="1:24" ht="78.75">
      <c r="B47" s="4">
        <v>4</v>
      </c>
      <c r="C47" s="6" t="s">
        <v>51</v>
      </c>
      <c r="D47" s="6" t="s">
        <v>52</v>
      </c>
      <c r="E47" s="9">
        <f>E46*1.55</f>
        <v>1.2988999999999999</v>
      </c>
      <c r="F47" s="13" t="s">
        <v>53</v>
      </c>
      <c r="G47" s="13">
        <v>484.5</v>
      </c>
      <c r="H47" s="6">
        <f t="shared" si="10"/>
        <v>629.31704999999999</v>
      </c>
      <c r="I47" s="68" t="s">
        <v>355</v>
      </c>
      <c r="J47" s="6">
        <v>113.13</v>
      </c>
      <c r="K47" s="6">
        <f t="shared" si="11"/>
        <v>146.94455699999997</v>
      </c>
      <c r="L47" s="4">
        <v>4</v>
      </c>
      <c r="M47" s="4">
        <v>1</v>
      </c>
      <c r="N47" s="4">
        <v>3</v>
      </c>
      <c r="O47" s="4">
        <f t="shared" si="12"/>
        <v>7</v>
      </c>
      <c r="P47" s="4">
        <f t="shared" si="13"/>
        <v>7</v>
      </c>
      <c r="Q47" s="4">
        <f t="shared" si="14"/>
        <v>7</v>
      </c>
      <c r="R47" s="6" t="s">
        <v>49</v>
      </c>
      <c r="S47" s="6" t="s">
        <v>54</v>
      </c>
    </row>
    <row r="48" spans="1:24" ht="31.5">
      <c r="B48" s="4">
        <v>5</v>
      </c>
      <c r="C48" s="6" t="s">
        <v>55</v>
      </c>
      <c r="D48" s="6" t="s">
        <v>10</v>
      </c>
      <c r="E48" s="6">
        <v>0.04</v>
      </c>
      <c r="F48" s="13" t="s">
        <v>56</v>
      </c>
      <c r="G48" s="13">
        <v>347.48</v>
      </c>
      <c r="H48" s="6">
        <f t="shared" si="10"/>
        <v>13.8992</v>
      </c>
      <c r="I48" s="6" t="s">
        <v>57</v>
      </c>
      <c r="J48" s="6">
        <v>82.25</v>
      </c>
      <c r="K48" s="6">
        <f t="shared" si="11"/>
        <v>3.29</v>
      </c>
      <c r="L48" s="4">
        <v>1</v>
      </c>
      <c r="M48" s="4">
        <v>1</v>
      </c>
      <c r="N48" s="4">
        <v>1</v>
      </c>
      <c r="O48" s="4">
        <f t="shared" si="12"/>
        <v>1</v>
      </c>
      <c r="P48" s="4">
        <f t="shared" si="13"/>
        <v>2</v>
      </c>
      <c r="Q48" s="4">
        <f t="shared" si="14"/>
        <v>2</v>
      </c>
      <c r="R48" s="6" t="s">
        <v>13</v>
      </c>
      <c r="S48" s="6" t="s">
        <v>58</v>
      </c>
    </row>
    <row r="49" spans="2:24" ht="31.5">
      <c r="B49" s="4">
        <v>6</v>
      </c>
      <c r="C49" s="6" t="s">
        <v>59</v>
      </c>
      <c r="D49" s="6" t="s">
        <v>60</v>
      </c>
      <c r="E49" s="6">
        <v>0.16200000000000001</v>
      </c>
      <c r="F49" s="13" t="s">
        <v>61</v>
      </c>
      <c r="G49" s="13">
        <v>39.51</v>
      </c>
      <c r="H49" s="6">
        <f t="shared" si="10"/>
        <v>6.40062</v>
      </c>
      <c r="I49" s="6" t="s">
        <v>62</v>
      </c>
      <c r="J49" s="6">
        <v>9.07</v>
      </c>
      <c r="K49" s="6">
        <f t="shared" si="11"/>
        <v>1.4693400000000001</v>
      </c>
      <c r="L49" s="4">
        <v>5</v>
      </c>
      <c r="M49" s="4">
        <v>1</v>
      </c>
      <c r="N49" s="4">
        <v>1</v>
      </c>
      <c r="O49" s="4">
        <f t="shared" si="12"/>
        <v>1</v>
      </c>
      <c r="P49" s="4">
        <f t="shared" si="13"/>
        <v>1</v>
      </c>
      <c r="Q49" s="4">
        <f t="shared" si="14"/>
        <v>1</v>
      </c>
      <c r="R49" s="6" t="s">
        <v>63</v>
      </c>
      <c r="S49" s="6" t="s">
        <v>64</v>
      </c>
    </row>
    <row r="50" spans="2:24" ht="31.5">
      <c r="B50" s="4">
        <v>7</v>
      </c>
      <c r="C50" s="9" t="s">
        <v>65</v>
      </c>
      <c r="D50" s="6" t="s">
        <v>60</v>
      </c>
      <c r="E50" s="6">
        <v>6.3959999999999999</v>
      </c>
      <c r="F50" s="13" t="s">
        <v>66</v>
      </c>
      <c r="G50" s="13">
        <v>45.4</v>
      </c>
      <c r="H50" s="6">
        <f t="shared" si="10"/>
        <v>290.3784</v>
      </c>
      <c r="I50" s="6" t="s">
        <v>67</v>
      </c>
      <c r="J50" s="6">
        <v>0.3</v>
      </c>
      <c r="K50" s="6">
        <f t="shared" si="11"/>
        <v>1.9187999999999998</v>
      </c>
      <c r="L50" s="4">
        <v>3</v>
      </c>
      <c r="M50" s="4">
        <v>1</v>
      </c>
      <c r="N50" s="4">
        <v>1</v>
      </c>
      <c r="O50" s="4">
        <f t="shared" si="12"/>
        <v>1</v>
      </c>
      <c r="P50" s="4">
        <f t="shared" si="13"/>
        <v>13</v>
      </c>
      <c r="Q50" s="4">
        <f t="shared" si="14"/>
        <v>13</v>
      </c>
      <c r="R50" s="6" t="s">
        <v>39</v>
      </c>
      <c r="S50" s="6" t="s">
        <v>68</v>
      </c>
      <c r="T50"/>
      <c r="U50"/>
      <c r="V50"/>
      <c r="W50"/>
      <c r="X50"/>
    </row>
    <row r="51" spans="2:24" ht="63">
      <c r="B51" s="4">
        <v>8</v>
      </c>
      <c r="C51" s="6" t="s">
        <v>69</v>
      </c>
      <c r="D51" s="6" t="s">
        <v>60</v>
      </c>
      <c r="E51" s="9">
        <v>0.35949999999999999</v>
      </c>
      <c r="F51" s="13" t="s">
        <v>70</v>
      </c>
      <c r="G51" s="13">
        <v>119.78</v>
      </c>
      <c r="H51" s="6">
        <f t="shared" si="10"/>
        <v>43.06091</v>
      </c>
      <c r="I51" s="68" t="s">
        <v>353</v>
      </c>
      <c r="J51" s="6">
        <v>2.2999999999999998</v>
      </c>
      <c r="K51" s="6">
        <f t="shared" si="11"/>
        <v>0.82684999999999986</v>
      </c>
      <c r="L51" s="4">
        <v>1</v>
      </c>
      <c r="M51" s="4">
        <v>1</v>
      </c>
      <c r="N51" s="4">
        <v>1</v>
      </c>
      <c r="O51" s="4">
        <f t="shared" si="12"/>
        <v>1</v>
      </c>
      <c r="P51" s="4">
        <f t="shared" si="13"/>
        <v>6</v>
      </c>
      <c r="Q51" s="4">
        <f t="shared" si="14"/>
        <v>6</v>
      </c>
      <c r="R51" s="6" t="s">
        <v>71</v>
      </c>
      <c r="S51" s="6" t="s">
        <v>72</v>
      </c>
      <c r="T51"/>
      <c r="U51"/>
      <c r="V51"/>
      <c r="W51"/>
      <c r="X51"/>
    </row>
    <row r="52" spans="2:24" ht="31.5">
      <c r="B52" s="4">
        <v>9</v>
      </c>
      <c r="C52" s="6" t="s">
        <v>73</v>
      </c>
      <c r="D52" s="6" t="s">
        <v>60</v>
      </c>
      <c r="E52" s="6">
        <v>0.64300000000000002</v>
      </c>
      <c r="F52" s="13" t="s">
        <v>74</v>
      </c>
      <c r="G52" s="13">
        <v>104.28</v>
      </c>
      <c r="H52" s="6">
        <f t="shared" si="10"/>
        <v>67.052040000000005</v>
      </c>
      <c r="I52" s="6" t="s">
        <v>57</v>
      </c>
      <c r="J52" s="6">
        <v>9.69</v>
      </c>
      <c r="K52" s="6">
        <f t="shared" si="11"/>
        <v>6.2306699999999999</v>
      </c>
      <c r="L52" s="4">
        <v>5</v>
      </c>
      <c r="M52" s="4">
        <v>1</v>
      </c>
      <c r="N52" s="4">
        <v>1</v>
      </c>
      <c r="O52" s="4">
        <f t="shared" si="12"/>
        <v>1</v>
      </c>
      <c r="P52" s="4">
        <f t="shared" si="13"/>
        <v>2</v>
      </c>
      <c r="Q52" s="4">
        <f t="shared" si="14"/>
        <v>2</v>
      </c>
      <c r="R52" s="6" t="s">
        <v>44</v>
      </c>
      <c r="S52" s="6" t="s">
        <v>75</v>
      </c>
      <c r="T52"/>
      <c r="U52"/>
      <c r="V52"/>
      <c r="W52"/>
      <c r="X52"/>
    </row>
    <row r="53" spans="2:24" ht="47.25">
      <c r="B53" s="15">
        <v>10</v>
      </c>
      <c r="C53" s="6" t="s">
        <v>76</v>
      </c>
      <c r="D53" s="6" t="s">
        <v>60</v>
      </c>
      <c r="E53" s="6">
        <v>0.99199999999999999</v>
      </c>
      <c r="F53" s="13" t="s">
        <v>77</v>
      </c>
      <c r="G53" s="13">
        <v>120.3</v>
      </c>
      <c r="H53" s="6">
        <f t="shared" si="10"/>
        <v>119.33759999999999</v>
      </c>
      <c r="I53" s="10" t="s">
        <v>354</v>
      </c>
      <c r="J53" s="6">
        <v>1.73</v>
      </c>
      <c r="K53" s="6">
        <f t="shared" si="11"/>
        <v>1.7161599999999999</v>
      </c>
      <c r="L53" s="4">
        <v>3</v>
      </c>
      <c r="M53" s="4">
        <v>1</v>
      </c>
      <c r="N53" s="4">
        <v>1</v>
      </c>
      <c r="O53" s="4">
        <f t="shared" si="12"/>
        <v>1</v>
      </c>
      <c r="P53" s="4">
        <f t="shared" si="13"/>
        <v>5</v>
      </c>
      <c r="Q53" s="4">
        <f t="shared" si="14"/>
        <v>5</v>
      </c>
      <c r="R53" s="6" t="s">
        <v>78</v>
      </c>
      <c r="S53" s="6" t="s">
        <v>79</v>
      </c>
      <c r="T53"/>
      <c r="U53"/>
      <c r="V53"/>
      <c r="W53"/>
      <c r="X53"/>
    </row>
    <row r="54" spans="2:24" ht="31.5">
      <c r="B54" s="4">
        <v>11</v>
      </c>
      <c r="C54" s="6" t="s">
        <v>80</v>
      </c>
      <c r="D54" s="6" t="s">
        <v>60</v>
      </c>
      <c r="E54" s="9">
        <v>6.7320000000000002</v>
      </c>
      <c r="F54" s="13" t="s">
        <v>81</v>
      </c>
      <c r="G54" s="13">
        <v>65.66</v>
      </c>
      <c r="H54" s="6">
        <f t="shared" si="10"/>
        <v>442.02312000000001</v>
      </c>
      <c r="I54" s="72" t="s">
        <v>357</v>
      </c>
      <c r="J54" s="6">
        <v>4.76</v>
      </c>
      <c r="K54" s="6">
        <f t="shared" si="11"/>
        <v>32.044319999999999</v>
      </c>
      <c r="L54" s="4">
        <v>5</v>
      </c>
      <c r="M54" s="4">
        <v>1</v>
      </c>
      <c r="N54" s="4">
        <v>3</v>
      </c>
      <c r="O54" s="4">
        <f t="shared" si="12"/>
        <v>2</v>
      </c>
      <c r="P54" s="4">
        <f t="shared" si="13"/>
        <v>4</v>
      </c>
      <c r="Q54" s="4">
        <f t="shared" si="14"/>
        <v>4</v>
      </c>
      <c r="R54" s="6" t="s">
        <v>82</v>
      </c>
      <c r="S54" s="6" t="s">
        <v>83</v>
      </c>
      <c r="T54"/>
      <c r="U54"/>
      <c r="V54"/>
      <c r="W54"/>
      <c r="X54"/>
    </row>
    <row r="55" spans="2:24" ht="31.5">
      <c r="B55" s="4">
        <v>12</v>
      </c>
      <c r="C55" s="6" t="s">
        <v>84</v>
      </c>
      <c r="D55" s="6" t="s">
        <v>60</v>
      </c>
      <c r="E55" s="9">
        <v>6.7320000000000002</v>
      </c>
      <c r="F55" s="13" t="s">
        <v>85</v>
      </c>
      <c r="G55" s="13">
        <v>15.18</v>
      </c>
      <c r="H55" s="6">
        <f t="shared" si="10"/>
        <v>102.19176</v>
      </c>
      <c r="I55" s="10" t="s">
        <v>356</v>
      </c>
      <c r="J55" s="6">
        <v>0.08</v>
      </c>
      <c r="K55" s="6">
        <f t="shared" si="11"/>
        <v>0.53856000000000004</v>
      </c>
      <c r="L55" s="4">
        <v>5</v>
      </c>
      <c r="M55" s="4">
        <v>1</v>
      </c>
      <c r="N55" s="4">
        <v>1</v>
      </c>
      <c r="O55" s="4">
        <f t="shared" si="12"/>
        <v>1</v>
      </c>
      <c r="P55" s="4">
        <f t="shared" si="13"/>
        <v>3</v>
      </c>
      <c r="Q55" s="4">
        <f t="shared" si="14"/>
        <v>3</v>
      </c>
      <c r="R55" s="6" t="s">
        <v>13</v>
      </c>
      <c r="S55" s="6" t="s">
        <v>83</v>
      </c>
      <c r="T55"/>
      <c r="U55"/>
      <c r="V55"/>
      <c r="W55"/>
      <c r="X55"/>
    </row>
    <row r="56" spans="2:24" ht="31.5">
      <c r="B56" s="4">
        <v>13</v>
      </c>
      <c r="C56" s="6" t="s">
        <v>86</v>
      </c>
      <c r="D56" s="6" t="s">
        <v>60</v>
      </c>
      <c r="E56" s="9">
        <v>6.7320000000000002</v>
      </c>
      <c r="F56" s="13" t="s">
        <v>87</v>
      </c>
      <c r="G56" s="13">
        <v>68.790000000000006</v>
      </c>
      <c r="H56" s="6">
        <f t="shared" si="10"/>
        <v>463.09428000000008</v>
      </c>
      <c r="I56" s="72" t="s">
        <v>357</v>
      </c>
      <c r="J56" s="6">
        <v>4.76</v>
      </c>
      <c r="K56" s="6">
        <f t="shared" si="11"/>
        <v>32.044319999999999</v>
      </c>
      <c r="L56" s="4">
        <v>7</v>
      </c>
      <c r="M56" s="4">
        <v>1</v>
      </c>
      <c r="N56" s="4">
        <v>2</v>
      </c>
      <c r="O56" s="4">
        <f t="shared" si="12"/>
        <v>3</v>
      </c>
      <c r="P56" s="4">
        <f t="shared" si="13"/>
        <v>5</v>
      </c>
      <c r="Q56" s="4">
        <f t="shared" si="14"/>
        <v>5</v>
      </c>
      <c r="R56" s="6" t="s">
        <v>82</v>
      </c>
      <c r="S56" s="6" t="s">
        <v>64</v>
      </c>
      <c r="T56"/>
      <c r="U56"/>
      <c r="V56"/>
      <c r="W56"/>
      <c r="X56"/>
    </row>
    <row r="57" spans="2:24" ht="47.25">
      <c r="B57" s="4">
        <v>14</v>
      </c>
      <c r="C57" s="6" t="s">
        <v>88</v>
      </c>
      <c r="D57" s="6" t="s">
        <v>60</v>
      </c>
      <c r="E57" s="9">
        <v>6.7320000000000002</v>
      </c>
      <c r="F57" s="13" t="s">
        <v>89</v>
      </c>
      <c r="G57" s="13">
        <v>16.940000000000001</v>
      </c>
      <c r="H57" s="6">
        <f t="shared" si="10"/>
        <v>114.04008000000002</v>
      </c>
      <c r="I57" s="10" t="s">
        <v>356</v>
      </c>
      <c r="J57" s="6">
        <v>0.09</v>
      </c>
      <c r="K57" s="6">
        <f t="shared" si="11"/>
        <v>0.60587999999999997</v>
      </c>
      <c r="L57" s="4">
        <v>4</v>
      </c>
      <c r="M57" s="4">
        <v>1</v>
      </c>
      <c r="N57" s="4">
        <v>2</v>
      </c>
      <c r="O57" s="4">
        <f t="shared" si="12"/>
        <v>1</v>
      </c>
      <c r="P57" s="4">
        <f t="shared" si="13"/>
        <v>2</v>
      </c>
      <c r="Q57" s="4">
        <f t="shared" si="14"/>
        <v>2</v>
      </c>
      <c r="R57" s="6" t="s">
        <v>13</v>
      </c>
      <c r="S57" s="6" t="s">
        <v>64</v>
      </c>
      <c r="T57"/>
      <c r="U57"/>
      <c r="V57"/>
      <c r="W57"/>
      <c r="X57"/>
    </row>
    <row r="58" spans="2:24" ht="31.5">
      <c r="B58" s="4">
        <v>15</v>
      </c>
      <c r="C58" s="6" t="s">
        <v>90</v>
      </c>
      <c r="D58" s="6" t="s">
        <v>60</v>
      </c>
      <c r="E58" s="6">
        <v>0.7056</v>
      </c>
      <c r="F58" s="13" t="s">
        <v>91</v>
      </c>
      <c r="G58" s="13">
        <v>24.3</v>
      </c>
      <c r="H58" s="6">
        <f t="shared" si="10"/>
        <v>17.146080000000001</v>
      </c>
      <c r="I58" s="10" t="s">
        <v>356</v>
      </c>
      <c r="J58" s="6">
        <v>0.25</v>
      </c>
      <c r="K58" s="6">
        <f t="shared" si="11"/>
        <v>0.1764</v>
      </c>
      <c r="L58" s="4">
        <v>1</v>
      </c>
      <c r="M58" s="4">
        <v>1</v>
      </c>
      <c r="N58" s="4">
        <v>1</v>
      </c>
      <c r="O58" s="4">
        <f t="shared" si="12"/>
        <v>1</v>
      </c>
      <c r="P58" s="4">
        <f t="shared" si="13"/>
        <v>3</v>
      </c>
      <c r="Q58" s="4">
        <f t="shared" si="14"/>
        <v>3</v>
      </c>
      <c r="R58" s="6" t="s">
        <v>92</v>
      </c>
      <c r="S58" s="6" t="s">
        <v>93</v>
      </c>
      <c r="T58"/>
      <c r="U58"/>
      <c r="V58"/>
      <c r="W58"/>
      <c r="X58"/>
    </row>
    <row r="59" spans="2:24" ht="31.5">
      <c r="B59" s="4">
        <v>16</v>
      </c>
      <c r="C59" s="6" t="s">
        <v>94</v>
      </c>
      <c r="D59" s="6" t="s">
        <v>60</v>
      </c>
      <c r="E59" s="6">
        <v>0.09</v>
      </c>
      <c r="F59" s="13" t="s">
        <v>95</v>
      </c>
      <c r="G59" s="13">
        <v>66.22</v>
      </c>
      <c r="H59" s="6">
        <f t="shared" si="10"/>
        <v>5.9597999999999995</v>
      </c>
      <c r="I59" s="72" t="s">
        <v>358</v>
      </c>
      <c r="J59" s="6">
        <v>1</v>
      </c>
      <c r="K59" s="6">
        <f t="shared" si="11"/>
        <v>0.09</v>
      </c>
      <c r="L59" s="4">
        <v>7</v>
      </c>
      <c r="M59" s="4">
        <v>1</v>
      </c>
      <c r="N59" s="4">
        <v>1</v>
      </c>
      <c r="O59" s="4">
        <f t="shared" si="12"/>
        <v>1</v>
      </c>
      <c r="P59" s="4">
        <f t="shared" si="13"/>
        <v>1</v>
      </c>
      <c r="Q59" s="4">
        <f t="shared" si="14"/>
        <v>1</v>
      </c>
      <c r="R59" s="6" t="s">
        <v>96</v>
      </c>
      <c r="S59" s="6" t="s">
        <v>97</v>
      </c>
      <c r="T59"/>
      <c r="U59"/>
      <c r="V59"/>
      <c r="W59"/>
      <c r="X59"/>
    </row>
    <row r="60" spans="2:24" ht="47.25">
      <c r="B60" s="4">
        <v>17</v>
      </c>
      <c r="C60" s="6" t="s">
        <v>98</v>
      </c>
      <c r="D60" s="6" t="s">
        <v>60</v>
      </c>
      <c r="E60" s="9">
        <v>4.2767999999999997</v>
      </c>
      <c r="F60" s="13" t="s">
        <v>99</v>
      </c>
      <c r="G60" s="13">
        <v>290.7</v>
      </c>
      <c r="H60" s="6">
        <f t="shared" si="10"/>
        <v>1243.2657599999998</v>
      </c>
      <c r="I60" s="10" t="s">
        <v>354</v>
      </c>
      <c r="J60" s="6">
        <v>1.21</v>
      </c>
      <c r="K60" s="6">
        <f t="shared" si="11"/>
        <v>5.1749279999999995</v>
      </c>
      <c r="L60" s="4">
        <v>7</v>
      </c>
      <c r="M60" s="4">
        <v>1</v>
      </c>
      <c r="N60" s="4">
        <v>2</v>
      </c>
      <c r="O60" s="4">
        <f t="shared" si="12"/>
        <v>1</v>
      </c>
      <c r="P60" s="4">
        <f t="shared" si="13"/>
        <v>12</v>
      </c>
      <c r="Q60" s="4">
        <f t="shared" si="14"/>
        <v>12</v>
      </c>
      <c r="R60" s="6" t="s">
        <v>39</v>
      </c>
      <c r="S60" s="6" t="s">
        <v>100</v>
      </c>
      <c r="T60"/>
      <c r="U60"/>
      <c r="V60"/>
      <c r="W60"/>
      <c r="X60"/>
    </row>
    <row r="61" spans="2:24" ht="31.5">
      <c r="B61" s="4">
        <v>18</v>
      </c>
      <c r="C61" s="6" t="s">
        <v>101</v>
      </c>
      <c r="D61" s="6" t="s">
        <v>60</v>
      </c>
      <c r="E61" s="9">
        <v>2.052</v>
      </c>
      <c r="F61" s="13" t="s">
        <v>102</v>
      </c>
      <c r="G61" s="6">
        <v>31.41</v>
      </c>
      <c r="H61" s="6">
        <f t="shared" si="10"/>
        <v>64.453320000000005</v>
      </c>
      <c r="I61" s="6" t="s">
        <v>103</v>
      </c>
      <c r="J61" s="6">
        <v>0.34</v>
      </c>
      <c r="K61" s="6">
        <f t="shared" si="11"/>
        <v>0.69768000000000008</v>
      </c>
      <c r="L61" s="4">
        <v>3</v>
      </c>
      <c r="M61" s="4">
        <v>1</v>
      </c>
      <c r="N61" s="4">
        <v>2</v>
      </c>
      <c r="O61" s="4">
        <f t="shared" si="12"/>
        <v>1</v>
      </c>
      <c r="P61" s="4">
        <f t="shared" si="13"/>
        <v>2</v>
      </c>
      <c r="Q61" s="4">
        <f t="shared" si="14"/>
        <v>2</v>
      </c>
      <c r="R61" s="6" t="s">
        <v>104</v>
      </c>
      <c r="S61" s="6" t="s">
        <v>105</v>
      </c>
      <c r="T61"/>
      <c r="U61"/>
      <c r="V61"/>
      <c r="W61"/>
      <c r="X61"/>
    </row>
    <row r="62" spans="2:24" ht="31.5">
      <c r="B62" s="4">
        <v>19</v>
      </c>
      <c r="C62" s="6" t="s">
        <v>106</v>
      </c>
      <c r="D62" s="6" t="s">
        <v>60</v>
      </c>
      <c r="E62" s="6">
        <v>3.24</v>
      </c>
      <c r="F62" s="13" t="s">
        <v>107</v>
      </c>
      <c r="G62" s="13">
        <v>26.22</v>
      </c>
      <c r="H62" s="6">
        <f t="shared" si="10"/>
        <v>84.952799999999996</v>
      </c>
      <c r="I62" s="72" t="s">
        <v>358</v>
      </c>
      <c r="J62" s="6">
        <v>6.38</v>
      </c>
      <c r="K62" s="6">
        <f t="shared" si="11"/>
        <v>20.671200000000002</v>
      </c>
      <c r="L62" s="4">
        <v>5</v>
      </c>
      <c r="M62" s="4">
        <v>1</v>
      </c>
      <c r="N62" s="4">
        <v>1</v>
      </c>
      <c r="O62" s="4">
        <f t="shared" si="12"/>
        <v>3</v>
      </c>
      <c r="P62" s="4">
        <f t="shared" si="13"/>
        <v>3</v>
      </c>
      <c r="Q62" s="4">
        <f t="shared" si="14"/>
        <v>3</v>
      </c>
      <c r="R62" s="6" t="s">
        <v>39</v>
      </c>
      <c r="S62" s="6" t="s">
        <v>64</v>
      </c>
      <c r="T62"/>
      <c r="U62"/>
      <c r="V62"/>
      <c r="W62"/>
      <c r="X62"/>
    </row>
    <row r="63" spans="2:24" ht="47.25">
      <c r="B63" s="4">
        <v>20</v>
      </c>
      <c r="C63" s="142" t="s">
        <v>108</v>
      </c>
      <c r="D63" s="6" t="s">
        <v>60</v>
      </c>
      <c r="E63" s="6">
        <v>0.32</v>
      </c>
      <c r="F63" s="16" t="s">
        <v>109</v>
      </c>
      <c r="G63" s="13">
        <v>270.25</v>
      </c>
      <c r="H63" s="6">
        <f t="shared" si="10"/>
        <v>86.48</v>
      </c>
      <c r="I63" s="6" t="s">
        <v>110</v>
      </c>
      <c r="J63" s="6">
        <v>1.52</v>
      </c>
      <c r="K63" s="6">
        <f t="shared" si="11"/>
        <v>0.4864</v>
      </c>
      <c r="L63" s="4">
        <v>4</v>
      </c>
      <c r="M63" s="4">
        <v>1</v>
      </c>
      <c r="N63" s="4">
        <v>1</v>
      </c>
      <c r="O63" s="4">
        <f t="shared" si="12"/>
        <v>1</v>
      </c>
      <c r="P63" s="4">
        <f t="shared" si="13"/>
        <v>3</v>
      </c>
      <c r="Q63" s="4">
        <f t="shared" si="14"/>
        <v>3</v>
      </c>
      <c r="R63" s="6" t="s">
        <v>39</v>
      </c>
      <c r="S63" s="6" t="s">
        <v>111</v>
      </c>
      <c r="T63"/>
      <c r="U63"/>
      <c r="V63"/>
      <c r="W63"/>
      <c r="X63"/>
    </row>
    <row r="64" spans="2:24">
      <c r="T64"/>
      <c r="U64"/>
      <c r="V64"/>
      <c r="W64"/>
      <c r="X64"/>
    </row>
    <row r="65" spans="2:24">
      <c r="T65"/>
      <c r="U65"/>
      <c r="V65"/>
      <c r="W65"/>
      <c r="X65"/>
    </row>
    <row r="66" spans="2:24">
      <c r="T66"/>
      <c r="U66"/>
      <c r="V66"/>
      <c r="W66"/>
      <c r="X66"/>
    </row>
    <row r="67" spans="2:24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 ht="15" customHeight="1">
      <c r="B70"/>
      <c r="C70"/>
      <c r="D70"/>
      <c r="E70"/>
      <c r="F70"/>
      <c r="G70"/>
      <c r="H70">
        <f>SUM(H19:H63)</f>
        <v>10058.687618</v>
      </c>
      <c r="I70"/>
      <c r="J70"/>
      <c r="K70">
        <f>SUM(K19:K63)</f>
        <v>955.17612299999996</v>
      </c>
      <c r="L70"/>
      <c r="M70"/>
      <c r="N70"/>
      <c r="O70"/>
      <c r="P70"/>
      <c r="Q70">
        <f>SUM(Q19:Q63)/30</f>
        <v>6.6333333333333337</v>
      </c>
      <c r="R70"/>
      <c r="S70"/>
      <c r="U70" s="5">
        <f>SUM(Q19:Q21)</f>
        <v>10</v>
      </c>
    </row>
    <row r="71" spans="2:24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2:24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2:24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2:24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2:24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2:24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2:24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2:24" ht="15.75" customHeight="1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2:24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2:24">
      <c r="B80"/>
      <c r="C80"/>
      <c r="D80"/>
      <c r="E80"/>
      <c r="F80"/>
      <c r="G80"/>
      <c r="H80"/>
      <c r="I80" s="17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2:2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2:2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2:2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2:2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2:2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2:2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2:2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2:2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2:2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2:22">
      <c r="B90" s="150" t="s">
        <v>15</v>
      </c>
      <c r="C90" s="150" t="s">
        <v>16</v>
      </c>
      <c r="D90" s="150" t="s">
        <v>17</v>
      </c>
      <c r="E90" s="150"/>
      <c r="F90" s="150" t="s">
        <v>18</v>
      </c>
      <c r="G90" s="150" t="s">
        <v>19</v>
      </c>
      <c r="H90" s="150"/>
      <c r="I90" s="151" t="s">
        <v>20</v>
      </c>
      <c r="J90" s="151"/>
      <c r="K90" s="151"/>
      <c r="L90" s="151" t="s">
        <v>21</v>
      </c>
      <c r="M90" s="151" t="s">
        <v>22</v>
      </c>
      <c r="N90" s="151" t="s">
        <v>23</v>
      </c>
      <c r="O90" s="151" t="s">
        <v>24</v>
      </c>
      <c r="P90" s="151" t="s">
        <v>25</v>
      </c>
      <c r="Q90" s="151" t="s">
        <v>26</v>
      </c>
      <c r="R90" s="151" t="s">
        <v>27</v>
      </c>
      <c r="S90" s="151" t="s">
        <v>28</v>
      </c>
      <c r="T90"/>
      <c r="U90"/>
      <c r="V90"/>
    </row>
    <row r="91" spans="2:22">
      <c r="B91" s="150"/>
      <c r="C91" s="150"/>
      <c r="D91" s="3" t="s">
        <v>29</v>
      </c>
      <c r="E91" s="3" t="s">
        <v>30</v>
      </c>
      <c r="F91" s="150"/>
      <c r="G91" s="3" t="s">
        <v>31</v>
      </c>
      <c r="H91" s="3" t="s">
        <v>32</v>
      </c>
      <c r="I91" s="2" t="s">
        <v>33</v>
      </c>
      <c r="J91" s="2" t="s">
        <v>34</v>
      </c>
      <c r="K91" s="2" t="s">
        <v>35</v>
      </c>
      <c r="L91" s="151"/>
      <c r="M91" s="151"/>
      <c r="N91" s="151"/>
      <c r="O91" s="151"/>
      <c r="P91" s="151"/>
      <c r="Q91" s="151"/>
      <c r="R91" s="151"/>
      <c r="S91" s="151"/>
      <c r="T91"/>
      <c r="U91"/>
      <c r="V91"/>
    </row>
    <row r="92" spans="2:22"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>
        <v>14</v>
      </c>
      <c r="P92" s="4">
        <v>15</v>
      </c>
      <c r="Q92" s="4">
        <v>16</v>
      </c>
      <c r="R92" s="4">
        <v>17</v>
      </c>
      <c r="S92" s="4">
        <v>18</v>
      </c>
      <c r="T92"/>
      <c r="U92"/>
      <c r="V92"/>
    </row>
    <row r="93" spans="2:22">
      <c r="B93" s="152" t="s">
        <v>0</v>
      </c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/>
      <c r="U93"/>
      <c r="V93"/>
    </row>
    <row r="94" spans="2:22" ht="47.25">
      <c r="B94" s="4">
        <v>1</v>
      </c>
      <c r="C94" s="7" t="s">
        <v>1</v>
      </c>
      <c r="D94" s="6" t="s">
        <v>2</v>
      </c>
      <c r="E94" s="6">
        <v>2.08</v>
      </c>
      <c r="F94" s="7" t="s">
        <v>3</v>
      </c>
      <c r="G94" s="6">
        <v>1.49</v>
      </c>
      <c r="H94" s="8">
        <f>G94*E94</f>
        <v>3.0992000000000002</v>
      </c>
      <c r="I94" s="10" t="s">
        <v>359</v>
      </c>
      <c r="J94" s="10">
        <v>0.98</v>
      </c>
      <c r="K94" s="11">
        <f>J94*E94</f>
        <v>2.0384000000000002</v>
      </c>
      <c r="L94" s="4">
        <v>1</v>
      </c>
      <c r="M94" s="11">
        <v>1</v>
      </c>
      <c r="N94" s="4">
        <v>1</v>
      </c>
      <c r="O94" s="11">
        <f>ROUNDUP(K94/(N94*8*M94),0)</f>
        <v>1</v>
      </c>
      <c r="P94" s="4">
        <v>1</v>
      </c>
      <c r="Q94" s="11">
        <f>MAX(P94,O94)</f>
        <v>1</v>
      </c>
      <c r="R94" s="12" t="s">
        <v>4</v>
      </c>
      <c r="S94" s="6" t="s">
        <v>5</v>
      </c>
      <c r="T94"/>
      <c r="U94"/>
      <c r="V94"/>
    </row>
    <row r="95" spans="2:22" ht="78.75">
      <c r="B95" s="4">
        <v>2</v>
      </c>
      <c r="C95" s="6" t="s">
        <v>6</v>
      </c>
      <c r="D95" s="6" t="s">
        <v>7</v>
      </c>
      <c r="E95" s="6">
        <v>1.944</v>
      </c>
      <c r="F95" s="13" t="s">
        <v>8</v>
      </c>
      <c r="G95" s="6">
        <v>4.9400000000000004</v>
      </c>
      <c r="H95" s="6">
        <f>E95*G95</f>
        <v>9.6033600000000003</v>
      </c>
      <c r="I95" s="10" t="s">
        <v>360</v>
      </c>
      <c r="J95" s="6">
        <v>25.96</v>
      </c>
      <c r="K95" s="6">
        <f>J95*E95</f>
        <v>50.466239999999999</v>
      </c>
      <c r="L95" s="4">
        <v>2</v>
      </c>
      <c r="M95" s="4">
        <v>1</v>
      </c>
      <c r="N95" s="4">
        <v>2</v>
      </c>
      <c r="O95" s="4">
        <f>ROUNDUP(K95/(N95*8*M95),0)</f>
        <v>4</v>
      </c>
      <c r="P95" s="4">
        <v>0</v>
      </c>
      <c r="Q95" s="4">
        <f>MAX(O95:P95)</f>
        <v>4</v>
      </c>
      <c r="R95" s="6" t="s">
        <v>4</v>
      </c>
      <c r="S95" s="6" t="s">
        <v>5</v>
      </c>
    </row>
    <row r="96" spans="2:22" ht="31.5">
      <c r="B96" s="4">
        <v>3</v>
      </c>
      <c r="C96" s="6" t="s">
        <v>9</v>
      </c>
      <c r="D96" s="6" t="s">
        <v>10</v>
      </c>
      <c r="E96" s="6">
        <f>0.1557*2</f>
        <v>0.31140000000000001</v>
      </c>
      <c r="F96" s="13" t="s">
        <v>11</v>
      </c>
      <c r="G96" s="13">
        <v>213.12</v>
      </c>
      <c r="H96" s="6">
        <f>E96*G96</f>
        <v>66.36556800000001</v>
      </c>
      <c r="I96" s="6" t="s">
        <v>12</v>
      </c>
      <c r="J96" s="6">
        <v>52.49</v>
      </c>
      <c r="K96" s="6">
        <f>J96*E96</f>
        <v>16.345386000000001</v>
      </c>
      <c r="L96" s="4">
        <v>2</v>
      </c>
      <c r="M96" s="4">
        <v>1</v>
      </c>
      <c r="N96" s="4">
        <v>1</v>
      </c>
      <c r="O96" s="4">
        <f>ROUNDUP(K96/(N96*8*M96),0)</f>
        <v>3</v>
      </c>
      <c r="P96" s="4">
        <f>ROUNDUP((H96/(8*N96*L96)),0)</f>
        <v>5</v>
      </c>
      <c r="Q96" s="4">
        <f>MAX(O96:P96)</f>
        <v>5</v>
      </c>
      <c r="R96" s="6" t="s">
        <v>13</v>
      </c>
      <c r="S96" s="6" t="s">
        <v>14</v>
      </c>
    </row>
    <row r="97" spans="2:19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2:19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2:19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2:19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2:19">
      <c r="B101" s="150" t="s">
        <v>15</v>
      </c>
      <c r="C101" s="150" t="s">
        <v>16</v>
      </c>
      <c r="D101" s="150" t="s">
        <v>17</v>
      </c>
      <c r="E101" s="150"/>
      <c r="F101" s="150" t="s">
        <v>18</v>
      </c>
      <c r="G101" s="150" t="s">
        <v>19</v>
      </c>
      <c r="H101" s="150"/>
      <c r="I101" s="151" t="s">
        <v>20</v>
      </c>
      <c r="J101" s="151"/>
      <c r="K101" s="151"/>
      <c r="L101" s="151" t="s">
        <v>21</v>
      </c>
      <c r="M101" s="151" t="s">
        <v>22</v>
      </c>
      <c r="N101" s="151" t="s">
        <v>23</v>
      </c>
      <c r="O101" s="151" t="s">
        <v>24</v>
      </c>
      <c r="P101" s="151" t="s">
        <v>25</v>
      </c>
      <c r="Q101" s="151" t="s">
        <v>26</v>
      </c>
      <c r="R101" s="151" t="s">
        <v>27</v>
      </c>
      <c r="S101" s="151" t="s">
        <v>28</v>
      </c>
    </row>
    <row r="102" spans="2:19">
      <c r="B102" s="150"/>
      <c r="C102" s="150"/>
      <c r="D102" s="3" t="s">
        <v>29</v>
      </c>
      <c r="E102" s="3" t="s">
        <v>30</v>
      </c>
      <c r="F102" s="150"/>
      <c r="G102" s="3" t="s">
        <v>31</v>
      </c>
      <c r="H102" s="3" t="s">
        <v>32</v>
      </c>
      <c r="I102" s="2" t="s">
        <v>33</v>
      </c>
      <c r="J102" s="2" t="s">
        <v>34</v>
      </c>
      <c r="K102" s="2" t="s">
        <v>35</v>
      </c>
      <c r="L102" s="151"/>
      <c r="M102" s="151"/>
      <c r="N102" s="151"/>
      <c r="O102" s="151"/>
      <c r="P102" s="151"/>
      <c r="Q102" s="151"/>
      <c r="R102" s="151"/>
      <c r="S102" s="151"/>
    </row>
    <row r="103" spans="2:19"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>
        <v>14</v>
      </c>
      <c r="P103" s="4">
        <v>15</v>
      </c>
      <c r="Q103" s="4">
        <v>16</v>
      </c>
      <c r="R103" s="4">
        <v>17</v>
      </c>
      <c r="S103" s="4">
        <v>18</v>
      </c>
    </row>
    <row r="104" spans="2:19">
      <c r="B104" s="149" t="s">
        <v>36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</row>
    <row r="105" spans="2:19" ht="31.5">
      <c r="B105" s="4">
        <v>1</v>
      </c>
      <c r="C105" s="6" t="s">
        <v>37</v>
      </c>
      <c r="D105" s="6" t="s">
        <v>10</v>
      </c>
      <c r="E105" s="6">
        <v>1.1499999999999999</v>
      </c>
      <c r="F105" s="13" t="s">
        <v>38</v>
      </c>
      <c r="G105" s="13">
        <v>658.56</v>
      </c>
      <c r="H105" s="6">
        <f t="shared" ref="H105" si="15">E105*G105</f>
        <v>757.34399999999982</v>
      </c>
      <c r="I105" s="99" t="s">
        <v>12</v>
      </c>
      <c r="J105" s="6">
        <v>93.68</v>
      </c>
      <c r="K105" s="6">
        <f t="shared" ref="K105" si="16">J105*E105</f>
        <v>107.732</v>
      </c>
      <c r="L105" s="4">
        <v>5</v>
      </c>
      <c r="M105" s="4">
        <v>1</v>
      </c>
      <c r="N105" s="4">
        <v>3</v>
      </c>
      <c r="O105" s="4">
        <f t="shared" ref="O105" si="17">ROUNDUP(K105/(N105*8*M105),0)</f>
        <v>5</v>
      </c>
      <c r="P105" s="4">
        <f t="shared" ref="P105" si="18">ROUNDUP((H105/(8*N105*L105)),0)</f>
        <v>7</v>
      </c>
      <c r="Q105" s="4">
        <f t="shared" ref="Q105" si="19">MAX(O105:P105)</f>
        <v>7</v>
      </c>
      <c r="R105" s="6" t="s">
        <v>39</v>
      </c>
      <c r="S105" s="6" t="s">
        <v>40</v>
      </c>
    </row>
    <row r="106" spans="2:19" ht="31.5">
      <c r="B106" s="4">
        <v>2</v>
      </c>
      <c r="C106" s="6" t="s">
        <v>41</v>
      </c>
      <c r="D106" s="6" t="s">
        <v>10</v>
      </c>
      <c r="E106" s="6">
        <v>0.48</v>
      </c>
      <c r="F106" s="13" t="s">
        <v>42</v>
      </c>
      <c r="G106" s="13">
        <v>223.11</v>
      </c>
      <c r="H106" s="6">
        <f>E106*G106</f>
        <v>107.0928</v>
      </c>
      <c r="I106" s="99" t="s">
        <v>43</v>
      </c>
      <c r="J106" s="6">
        <v>31.98</v>
      </c>
      <c r="K106" s="6">
        <f>J106*E106</f>
        <v>15.3504</v>
      </c>
      <c r="L106" s="4">
        <v>3</v>
      </c>
      <c r="M106" s="4">
        <v>1</v>
      </c>
      <c r="N106" s="4">
        <v>1</v>
      </c>
      <c r="O106" s="4">
        <f>ROUNDUP(K106/(N106*8*M106),0)</f>
        <v>2</v>
      </c>
      <c r="P106" s="4">
        <f>ROUNDUP((H106/(8*N106*L106)),0)</f>
        <v>5</v>
      </c>
      <c r="Q106" s="4">
        <f>MAX(O106:P106)</f>
        <v>5</v>
      </c>
      <c r="R106" s="6" t="s">
        <v>44</v>
      </c>
      <c r="S106" s="6" t="s">
        <v>45</v>
      </c>
    </row>
    <row r="107" spans="2:19" ht="47.25">
      <c r="B107" s="4">
        <v>3</v>
      </c>
      <c r="C107" s="6" t="s">
        <v>46</v>
      </c>
      <c r="D107" s="6" t="s">
        <v>10</v>
      </c>
      <c r="E107" s="6">
        <v>0.89600000000000002</v>
      </c>
      <c r="F107" s="13" t="s">
        <v>47</v>
      </c>
      <c r="G107" s="13">
        <v>458.43</v>
      </c>
      <c r="H107" s="6">
        <f t="shared" ref="H107:H124" si="20">E107*G107</f>
        <v>410.75328000000002</v>
      </c>
      <c r="I107" s="99" t="s">
        <v>48</v>
      </c>
      <c r="J107" s="6">
        <v>82.87</v>
      </c>
      <c r="K107" s="6">
        <f t="shared" ref="K107:K124" si="21">J107*E107</f>
        <v>74.251519999999999</v>
      </c>
      <c r="L107" s="4">
        <v>3</v>
      </c>
      <c r="M107" s="4">
        <v>1</v>
      </c>
      <c r="N107" s="4">
        <v>2</v>
      </c>
      <c r="O107" s="4">
        <f t="shared" ref="O107:O124" si="22">ROUNDUP(K107/(N107*8*M107),0)</f>
        <v>5</v>
      </c>
      <c r="P107" s="4">
        <f t="shared" ref="P107:P124" si="23">ROUNDUP((H107/(8*N107*L107)),0)</f>
        <v>9</v>
      </c>
      <c r="Q107" s="4">
        <f t="shared" ref="Q107:Q124" si="24">MAX(O107:P107)</f>
        <v>9</v>
      </c>
      <c r="R107" s="6" t="s">
        <v>49</v>
      </c>
      <c r="S107" s="6" t="s">
        <v>50</v>
      </c>
    </row>
    <row r="108" spans="2:19" ht="78.75">
      <c r="B108" s="4">
        <v>4</v>
      </c>
      <c r="C108" s="6" t="s">
        <v>51</v>
      </c>
      <c r="D108" s="6" t="s">
        <v>52</v>
      </c>
      <c r="E108" s="6">
        <f>E107*1.55</f>
        <v>1.3888</v>
      </c>
      <c r="F108" s="13" t="s">
        <v>53</v>
      </c>
      <c r="G108" s="13">
        <v>484.5</v>
      </c>
      <c r="H108" s="6">
        <f t="shared" si="20"/>
        <v>672.87360000000001</v>
      </c>
      <c r="I108" s="101" t="s">
        <v>355</v>
      </c>
      <c r="J108" s="6">
        <v>113.13</v>
      </c>
      <c r="K108" s="6">
        <f t="shared" si="21"/>
        <v>157.11494400000001</v>
      </c>
      <c r="L108" s="4">
        <v>4</v>
      </c>
      <c r="M108" s="4">
        <v>1</v>
      </c>
      <c r="N108" s="4">
        <v>3</v>
      </c>
      <c r="O108" s="4">
        <f t="shared" si="22"/>
        <v>7</v>
      </c>
      <c r="P108" s="4">
        <f t="shared" si="23"/>
        <v>8</v>
      </c>
      <c r="Q108" s="4">
        <f t="shared" si="24"/>
        <v>8</v>
      </c>
      <c r="R108" s="6" t="s">
        <v>49</v>
      </c>
      <c r="S108" s="6" t="s">
        <v>54</v>
      </c>
    </row>
    <row r="109" spans="2:19" ht="31.5">
      <c r="B109" s="4">
        <v>5</v>
      </c>
      <c r="C109" s="6" t="s">
        <v>55</v>
      </c>
      <c r="D109" s="6" t="s">
        <v>10</v>
      </c>
      <c r="E109" s="6">
        <v>0.04</v>
      </c>
      <c r="F109" s="13" t="s">
        <v>56</v>
      </c>
      <c r="G109" s="13">
        <v>347.48</v>
      </c>
      <c r="H109" s="6">
        <f t="shared" si="20"/>
        <v>13.8992</v>
      </c>
      <c r="I109" s="99" t="s">
        <v>57</v>
      </c>
      <c r="J109" s="6">
        <v>82.25</v>
      </c>
      <c r="K109" s="6">
        <f t="shared" si="21"/>
        <v>3.29</v>
      </c>
      <c r="L109" s="4">
        <v>1</v>
      </c>
      <c r="M109" s="4">
        <v>1</v>
      </c>
      <c r="N109" s="4">
        <v>1</v>
      </c>
      <c r="O109" s="4">
        <f t="shared" si="22"/>
        <v>1</v>
      </c>
      <c r="P109" s="4">
        <f t="shared" si="23"/>
        <v>2</v>
      </c>
      <c r="Q109" s="4">
        <f t="shared" si="24"/>
        <v>2</v>
      </c>
      <c r="R109" s="6" t="s">
        <v>13</v>
      </c>
      <c r="S109" s="6" t="s">
        <v>58</v>
      </c>
    </row>
    <row r="110" spans="2:19" ht="31.5">
      <c r="B110" s="4">
        <v>6</v>
      </c>
      <c r="C110" s="6" t="s">
        <v>59</v>
      </c>
      <c r="D110" s="6" t="s">
        <v>60</v>
      </c>
      <c r="E110" s="6">
        <v>0.16200000000000001</v>
      </c>
      <c r="F110" s="13" t="s">
        <v>61</v>
      </c>
      <c r="G110" s="13">
        <v>39.51</v>
      </c>
      <c r="H110" s="6">
        <f t="shared" si="20"/>
        <v>6.40062</v>
      </c>
      <c r="I110" s="99" t="s">
        <v>62</v>
      </c>
      <c r="J110" s="6">
        <v>9.07</v>
      </c>
      <c r="K110" s="6">
        <f t="shared" si="21"/>
        <v>1.4693400000000001</v>
      </c>
      <c r="L110" s="4">
        <v>5</v>
      </c>
      <c r="M110" s="4">
        <v>1</v>
      </c>
      <c r="N110" s="4">
        <v>1</v>
      </c>
      <c r="O110" s="4">
        <f t="shared" si="22"/>
        <v>1</v>
      </c>
      <c r="P110" s="4">
        <f t="shared" si="23"/>
        <v>1</v>
      </c>
      <c r="Q110" s="4">
        <f t="shared" si="24"/>
        <v>1</v>
      </c>
      <c r="R110" s="6" t="s">
        <v>63</v>
      </c>
      <c r="S110" s="6" t="s">
        <v>64</v>
      </c>
    </row>
    <row r="111" spans="2:19" ht="31.5">
      <c r="B111" s="4">
        <v>7</v>
      </c>
      <c r="C111" s="9" t="s">
        <v>65</v>
      </c>
      <c r="D111" s="6" t="s">
        <v>60</v>
      </c>
      <c r="E111" s="6">
        <v>6.3959999999999999</v>
      </c>
      <c r="F111" s="13" t="s">
        <v>66</v>
      </c>
      <c r="G111" s="13">
        <v>45.4</v>
      </c>
      <c r="H111" s="6">
        <f t="shared" si="20"/>
        <v>290.3784</v>
      </c>
      <c r="I111" s="99" t="s">
        <v>67</v>
      </c>
      <c r="J111" s="6">
        <v>0.3</v>
      </c>
      <c r="K111" s="6">
        <f t="shared" si="21"/>
        <v>1.9187999999999998</v>
      </c>
      <c r="L111" s="4">
        <v>3</v>
      </c>
      <c r="M111" s="4">
        <v>1</v>
      </c>
      <c r="N111" s="4">
        <v>1</v>
      </c>
      <c r="O111" s="4">
        <f t="shared" si="22"/>
        <v>1</v>
      </c>
      <c r="P111" s="4">
        <f t="shared" si="23"/>
        <v>13</v>
      </c>
      <c r="Q111" s="4">
        <f t="shared" si="24"/>
        <v>13</v>
      </c>
      <c r="R111" s="6" t="s">
        <v>39</v>
      </c>
      <c r="S111" s="6" t="s">
        <v>68</v>
      </c>
    </row>
    <row r="112" spans="2:19" ht="63">
      <c r="B112" s="4">
        <v>8</v>
      </c>
      <c r="C112" s="6" t="s">
        <v>69</v>
      </c>
      <c r="D112" s="6" t="s">
        <v>60</v>
      </c>
      <c r="E112" s="6">
        <v>0.35949999999999999</v>
      </c>
      <c r="F112" s="13" t="s">
        <v>70</v>
      </c>
      <c r="G112" s="13">
        <v>119.78</v>
      </c>
      <c r="H112" s="6">
        <f t="shared" si="20"/>
        <v>43.06091</v>
      </c>
      <c r="I112" s="101" t="s">
        <v>353</v>
      </c>
      <c r="J112" s="6">
        <v>2.2999999999999998</v>
      </c>
      <c r="K112" s="6">
        <f t="shared" si="21"/>
        <v>0.82684999999999986</v>
      </c>
      <c r="L112" s="4">
        <v>1</v>
      </c>
      <c r="M112" s="4">
        <v>1</v>
      </c>
      <c r="N112" s="4">
        <v>1</v>
      </c>
      <c r="O112" s="4">
        <f t="shared" si="22"/>
        <v>1</v>
      </c>
      <c r="P112" s="4">
        <f t="shared" si="23"/>
        <v>6</v>
      </c>
      <c r="Q112" s="4">
        <f t="shared" si="24"/>
        <v>6</v>
      </c>
      <c r="R112" s="6" t="s">
        <v>71</v>
      </c>
      <c r="S112" s="6" t="s">
        <v>72</v>
      </c>
    </row>
    <row r="113" spans="2:19" ht="31.5">
      <c r="B113" s="4">
        <v>9</v>
      </c>
      <c r="C113" s="6" t="s">
        <v>73</v>
      </c>
      <c r="D113" s="6" t="s">
        <v>60</v>
      </c>
      <c r="E113" s="6">
        <v>0.64300000000000002</v>
      </c>
      <c r="F113" s="13" t="s">
        <v>74</v>
      </c>
      <c r="G113" s="13">
        <v>104.28</v>
      </c>
      <c r="H113" s="6">
        <f t="shared" si="20"/>
        <v>67.052040000000005</v>
      </c>
      <c r="I113" s="99" t="s">
        <v>57</v>
      </c>
      <c r="J113" s="6">
        <v>9.69</v>
      </c>
      <c r="K113" s="6">
        <f t="shared" si="21"/>
        <v>6.2306699999999999</v>
      </c>
      <c r="L113" s="4">
        <v>5</v>
      </c>
      <c r="M113" s="4">
        <v>1</v>
      </c>
      <c r="N113" s="4">
        <v>1</v>
      </c>
      <c r="O113" s="4">
        <f t="shared" si="22"/>
        <v>1</v>
      </c>
      <c r="P113" s="4">
        <f t="shared" si="23"/>
        <v>2</v>
      </c>
      <c r="Q113" s="4">
        <f t="shared" si="24"/>
        <v>2</v>
      </c>
      <c r="R113" s="6" t="s">
        <v>44</v>
      </c>
      <c r="S113" s="6" t="s">
        <v>75</v>
      </c>
    </row>
    <row r="114" spans="2:19" ht="47.25">
      <c r="B114" s="15">
        <v>10</v>
      </c>
      <c r="C114" s="6" t="s">
        <v>76</v>
      </c>
      <c r="D114" s="6" t="s">
        <v>60</v>
      </c>
      <c r="E114" s="6">
        <v>0.91200000000000003</v>
      </c>
      <c r="F114" s="13" t="s">
        <v>77</v>
      </c>
      <c r="G114" s="13">
        <v>120.3</v>
      </c>
      <c r="H114" s="6">
        <f t="shared" si="20"/>
        <v>109.7136</v>
      </c>
      <c r="I114" s="100" t="s">
        <v>354</v>
      </c>
      <c r="J114" s="6">
        <v>1.73</v>
      </c>
      <c r="K114" s="6">
        <f t="shared" si="21"/>
        <v>1.5777600000000001</v>
      </c>
      <c r="L114" s="4">
        <v>3</v>
      </c>
      <c r="M114" s="4">
        <v>1</v>
      </c>
      <c r="N114" s="4">
        <v>1</v>
      </c>
      <c r="O114" s="4">
        <f t="shared" si="22"/>
        <v>1</v>
      </c>
      <c r="P114" s="4">
        <f t="shared" si="23"/>
        <v>5</v>
      </c>
      <c r="Q114" s="4">
        <f t="shared" si="24"/>
        <v>5</v>
      </c>
      <c r="R114" s="6" t="s">
        <v>78</v>
      </c>
      <c r="S114" s="6" t="s">
        <v>79</v>
      </c>
    </row>
    <row r="115" spans="2:19" ht="31.5">
      <c r="B115" s="4">
        <v>11</v>
      </c>
      <c r="C115" s="6" t="s">
        <v>80</v>
      </c>
      <c r="D115" s="6" t="s">
        <v>60</v>
      </c>
      <c r="E115" s="9">
        <v>6.7320000000000002</v>
      </c>
      <c r="F115" s="13" t="s">
        <v>81</v>
      </c>
      <c r="G115" s="13">
        <v>65.66</v>
      </c>
      <c r="H115" s="6">
        <f t="shared" si="20"/>
        <v>442.02312000000001</v>
      </c>
      <c r="I115" s="102" t="s">
        <v>357</v>
      </c>
      <c r="J115" s="6">
        <v>4.76</v>
      </c>
      <c r="K115" s="6">
        <f t="shared" si="21"/>
        <v>32.044319999999999</v>
      </c>
      <c r="L115" s="4">
        <v>5</v>
      </c>
      <c r="M115" s="4">
        <v>1</v>
      </c>
      <c r="N115" s="4">
        <v>3</v>
      </c>
      <c r="O115" s="4">
        <f t="shared" si="22"/>
        <v>2</v>
      </c>
      <c r="P115" s="4">
        <f t="shared" si="23"/>
        <v>4</v>
      </c>
      <c r="Q115" s="4">
        <f t="shared" si="24"/>
        <v>4</v>
      </c>
      <c r="R115" s="6" t="s">
        <v>82</v>
      </c>
      <c r="S115" s="6" t="s">
        <v>83</v>
      </c>
    </row>
    <row r="116" spans="2:19" ht="31.5">
      <c r="B116" s="4">
        <v>12</v>
      </c>
      <c r="C116" s="6" t="s">
        <v>84</v>
      </c>
      <c r="D116" s="6" t="s">
        <v>60</v>
      </c>
      <c r="E116" s="9">
        <v>6.7320000000000002</v>
      </c>
      <c r="F116" s="13" t="s">
        <v>85</v>
      </c>
      <c r="G116" s="13">
        <v>15.18</v>
      </c>
      <c r="H116" s="6">
        <f t="shared" si="20"/>
        <v>102.19176</v>
      </c>
      <c r="I116" s="100" t="s">
        <v>356</v>
      </c>
      <c r="J116" s="6">
        <v>0.08</v>
      </c>
      <c r="K116" s="6">
        <f t="shared" si="21"/>
        <v>0.53856000000000004</v>
      </c>
      <c r="L116" s="4">
        <v>5</v>
      </c>
      <c r="M116" s="4">
        <v>1</v>
      </c>
      <c r="N116" s="4">
        <v>1</v>
      </c>
      <c r="O116" s="4">
        <f t="shared" si="22"/>
        <v>1</v>
      </c>
      <c r="P116" s="4">
        <f t="shared" si="23"/>
        <v>3</v>
      </c>
      <c r="Q116" s="4">
        <f t="shared" si="24"/>
        <v>3</v>
      </c>
      <c r="R116" s="6" t="s">
        <v>13</v>
      </c>
      <c r="S116" s="6" t="s">
        <v>83</v>
      </c>
    </row>
    <row r="117" spans="2:19" ht="31.5">
      <c r="B117" s="4">
        <v>13</v>
      </c>
      <c r="C117" s="6" t="s">
        <v>86</v>
      </c>
      <c r="D117" s="6" t="s">
        <v>60</v>
      </c>
      <c r="E117" s="9">
        <v>6.7320000000000002</v>
      </c>
      <c r="F117" s="13" t="s">
        <v>87</v>
      </c>
      <c r="G117" s="13">
        <v>68.790000000000006</v>
      </c>
      <c r="H117" s="6">
        <f t="shared" si="20"/>
        <v>463.09428000000008</v>
      </c>
      <c r="I117" s="102" t="s">
        <v>357</v>
      </c>
      <c r="J117" s="6">
        <v>4.76</v>
      </c>
      <c r="K117" s="6">
        <f t="shared" si="21"/>
        <v>32.044319999999999</v>
      </c>
      <c r="L117" s="4">
        <v>7</v>
      </c>
      <c r="M117" s="4">
        <v>1</v>
      </c>
      <c r="N117" s="4">
        <v>2</v>
      </c>
      <c r="O117" s="4">
        <f t="shared" si="22"/>
        <v>3</v>
      </c>
      <c r="P117" s="4">
        <f t="shared" si="23"/>
        <v>5</v>
      </c>
      <c r="Q117" s="4">
        <f t="shared" si="24"/>
        <v>5</v>
      </c>
      <c r="R117" s="6" t="s">
        <v>82</v>
      </c>
      <c r="S117" s="6" t="s">
        <v>64</v>
      </c>
    </row>
    <row r="118" spans="2:19" ht="47.25">
      <c r="B118" s="4">
        <v>14</v>
      </c>
      <c r="C118" s="6" t="s">
        <v>88</v>
      </c>
      <c r="D118" s="6" t="s">
        <v>60</v>
      </c>
      <c r="E118" s="9">
        <v>6.7320000000000002</v>
      </c>
      <c r="F118" s="13" t="s">
        <v>89</v>
      </c>
      <c r="G118" s="13">
        <v>16.940000000000001</v>
      </c>
      <c r="H118" s="6">
        <f t="shared" si="20"/>
        <v>114.04008000000002</v>
      </c>
      <c r="I118" s="100" t="s">
        <v>356</v>
      </c>
      <c r="J118" s="6">
        <v>0.09</v>
      </c>
      <c r="K118" s="6">
        <f t="shared" si="21"/>
        <v>0.60587999999999997</v>
      </c>
      <c r="L118" s="4">
        <v>4</v>
      </c>
      <c r="M118" s="4">
        <v>1</v>
      </c>
      <c r="N118" s="4">
        <v>2</v>
      </c>
      <c r="O118" s="4">
        <f t="shared" si="22"/>
        <v>1</v>
      </c>
      <c r="P118" s="4">
        <f t="shared" si="23"/>
        <v>2</v>
      </c>
      <c r="Q118" s="4">
        <f t="shared" si="24"/>
        <v>2</v>
      </c>
      <c r="R118" s="6" t="s">
        <v>13</v>
      </c>
      <c r="S118" s="6" t="s">
        <v>64</v>
      </c>
    </row>
    <row r="119" spans="2:19" ht="31.5">
      <c r="B119" s="4">
        <v>15</v>
      </c>
      <c r="C119" s="6" t="s">
        <v>90</v>
      </c>
      <c r="D119" s="6" t="s">
        <v>60</v>
      </c>
      <c r="E119" s="6">
        <v>0.75600000000000001</v>
      </c>
      <c r="F119" s="13" t="s">
        <v>91</v>
      </c>
      <c r="G119" s="13">
        <v>24.3</v>
      </c>
      <c r="H119" s="6">
        <f t="shared" si="20"/>
        <v>18.370799999999999</v>
      </c>
      <c r="I119" s="100" t="s">
        <v>356</v>
      </c>
      <c r="J119" s="6">
        <v>0.25</v>
      </c>
      <c r="K119" s="6">
        <f t="shared" si="21"/>
        <v>0.189</v>
      </c>
      <c r="L119" s="4">
        <v>1</v>
      </c>
      <c r="M119" s="4">
        <v>1</v>
      </c>
      <c r="N119" s="4">
        <v>1</v>
      </c>
      <c r="O119" s="4">
        <f t="shared" si="22"/>
        <v>1</v>
      </c>
      <c r="P119" s="4">
        <f t="shared" si="23"/>
        <v>3</v>
      </c>
      <c r="Q119" s="4">
        <f t="shared" si="24"/>
        <v>3</v>
      </c>
      <c r="R119" s="6" t="s">
        <v>92</v>
      </c>
      <c r="S119" s="6" t="s">
        <v>93</v>
      </c>
    </row>
    <row r="120" spans="2:19" ht="31.5">
      <c r="B120" s="4">
        <v>16</v>
      </c>
      <c r="C120" s="6" t="s">
        <v>94</v>
      </c>
      <c r="D120" s="6" t="s">
        <v>60</v>
      </c>
      <c r="E120" s="6">
        <v>7.8E-2</v>
      </c>
      <c r="F120" s="13" t="s">
        <v>95</v>
      </c>
      <c r="G120" s="13">
        <v>66.22</v>
      </c>
      <c r="H120" s="6">
        <f t="shared" si="20"/>
        <v>5.1651600000000002</v>
      </c>
      <c r="I120" s="102" t="s">
        <v>358</v>
      </c>
      <c r="J120" s="6">
        <v>1</v>
      </c>
      <c r="K120" s="6">
        <f t="shared" si="21"/>
        <v>7.8E-2</v>
      </c>
      <c r="L120" s="4">
        <v>7</v>
      </c>
      <c r="M120" s="4">
        <v>1</v>
      </c>
      <c r="N120" s="4">
        <v>1</v>
      </c>
      <c r="O120" s="4">
        <f t="shared" si="22"/>
        <v>1</v>
      </c>
      <c r="P120" s="4">
        <f t="shared" si="23"/>
        <v>1</v>
      </c>
      <c r="Q120" s="4">
        <f t="shared" si="24"/>
        <v>1</v>
      </c>
      <c r="R120" s="6" t="s">
        <v>96</v>
      </c>
      <c r="S120" s="6" t="s">
        <v>97</v>
      </c>
    </row>
    <row r="121" spans="2:19" ht="47.25">
      <c r="B121" s="4">
        <v>17</v>
      </c>
      <c r="C121" s="6" t="s">
        <v>98</v>
      </c>
      <c r="D121" s="6" t="s">
        <v>60</v>
      </c>
      <c r="E121" s="6">
        <v>4.2767999999999997</v>
      </c>
      <c r="F121" s="13" t="s">
        <v>99</v>
      </c>
      <c r="G121" s="13">
        <v>290.7</v>
      </c>
      <c r="H121" s="6">
        <f t="shared" si="20"/>
        <v>1243.2657599999998</v>
      </c>
      <c r="I121" s="100" t="s">
        <v>354</v>
      </c>
      <c r="J121" s="6">
        <v>1.21</v>
      </c>
      <c r="K121" s="6">
        <f t="shared" si="21"/>
        <v>5.1749279999999995</v>
      </c>
      <c r="L121" s="4">
        <v>7</v>
      </c>
      <c r="M121" s="4">
        <v>1</v>
      </c>
      <c r="N121" s="4">
        <v>2</v>
      </c>
      <c r="O121" s="4">
        <f t="shared" si="22"/>
        <v>1</v>
      </c>
      <c r="P121" s="4">
        <f t="shared" si="23"/>
        <v>12</v>
      </c>
      <c r="Q121" s="4">
        <f t="shared" si="24"/>
        <v>12</v>
      </c>
      <c r="R121" s="6" t="s">
        <v>39</v>
      </c>
      <c r="S121" s="6" t="s">
        <v>100</v>
      </c>
    </row>
    <row r="122" spans="2:19" ht="31.5">
      <c r="B122" s="4">
        <v>18</v>
      </c>
      <c r="C122" s="6" t="s">
        <v>101</v>
      </c>
      <c r="D122" s="6" t="s">
        <v>60</v>
      </c>
      <c r="E122" s="6">
        <v>2.052</v>
      </c>
      <c r="F122" s="13" t="s">
        <v>102</v>
      </c>
      <c r="G122" s="6">
        <v>31.41</v>
      </c>
      <c r="H122" s="6">
        <f t="shared" si="20"/>
        <v>64.453320000000005</v>
      </c>
      <c r="I122" s="99" t="s">
        <v>103</v>
      </c>
      <c r="J122" s="6">
        <v>0.34</v>
      </c>
      <c r="K122" s="6">
        <f t="shared" si="21"/>
        <v>0.69768000000000008</v>
      </c>
      <c r="L122" s="4">
        <v>3</v>
      </c>
      <c r="M122" s="4">
        <v>1</v>
      </c>
      <c r="N122" s="4">
        <v>2</v>
      </c>
      <c r="O122" s="4">
        <f t="shared" si="22"/>
        <v>1</v>
      </c>
      <c r="P122" s="4">
        <f t="shared" si="23"/>
        <v>2</v>
      </c>
      <c r="Q122" s="4">
        <f t="shared" si="24"/>
        <v>2</v>
      </c>
      <c r="R122" s="6" t="s">
        <v>104</v>
      </c>
      <c r="S122" s="6" t="s">
        <v>105</v>
      </c>
    </row>
    <row r="123" spans="2:19" ht="31.5">
      <c r="B123" s="4">
        <v>19</v>
      </c>
      <c r="C123" s="6" t="s">
        <v>106</v>
      </c>
      <c r="D123" s="6" t="s">
        <v>60</v>
      </c>
      <c r="E123" s="6">
        <v>3.24</v>
      </c>
      <c r="F123" s="13" t="s">
        <v>107</v>
      </c>
      <c r="G123" s="13">
        <v>26.22</v>
      </c>
      <c r="H123" s="6">
        <f t="shared" si="20"/>
        <v>84.952799999999996</v>
      </c>
      <c r="I123" s="102" t="s">
        <v>358</v>
      </c>
      <c r="J123" s="6">
        <v>6.38</v>
      </c>
      <c r="K123" s="6">
        <f t="shared" si="21"/>
        <v>20.671200000000002</v>
      </c>
      <c r="L123" s="4">
        <v>5</v>
      </c>
      <c r="M123" s="4">
        <v>1</v>
      </c>
      <c r="N123" s="4">
        <v>1</v>
      </c>
      <c r="O123" s="4">
        <f t="shared" si="22"/>
        <v>3</v>
      </c>
      <c r="P123" s="4">
        <f t="shared" si="23"/>
        <v>3</v>
      </c>
      <c r="Q123" s="4">
        <f t="shared" si="24"/>
        <v>3</v>
      </c>
      <c r="R123" s="6" t="s">
        <v>39</v>
      </c>
      <c r="S123" s="6" t="s">
        <v>64</v>
      </c>
    </row>
    <row r="124" spans="2:19" ht="47.25">
      <c r="B124" s="4">
        <v>20</v>
      </c>
      <c r="C124" s="142" t="s">
        <v>108</v>
      </c>
      <c r="D124" s="6" t="s">
        <v>60</v>
      </c>
      <c r="E124" s="6">
        <v>0.32</v>
      </c>
      <c r="F124" s="16" t="s">
        <v>109</v>
      </c>
      <c r="G124" s="13">
        <v>270.25</v>
      </c>
      <c r="H124" s="6">
        <f t="shared" si="20"/>
        <v>86.48</v>
      </c>
      <c r="I124" s="99" t="s">
        <v>110</v>
      </c>
      <c r="J124" s="6">
        <v>1.52</v>
      </c>
      <c r="K124" s="6">
        <f t="shared" si="21"/>
        <v>0.4864</v>
      </c>
      <c r="L124" s="4">
        <v>4</v>
      </c>
      <c r="M124" s="4">
        <v>1</v>
      </c>
      <c r="N124" s="4">
        <v>1</v>
      </c>
      <c r="O124" s="4">
        <f t="shared" si="22"/>
        <v>1</v>
      </c>
      <c r="P124" s="4">
        <f t="shared" si="23"/>
        <v>3</v>
      </c>
      <c r="Q124" s="4">
        <f t="shared" si="24"/>
        <v>3</v>
      </c>
      <c r="R124" s="6" t="s">
        <v>39</v>
      </c>
      <c r="S124" s="6" t="s">
        <v>111</v>
      </c>
    </row>
    <row r="125" spans="2:19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2:19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2:19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2:19">
      <c r="B128" s="149" t="s">
        <v>112</v>
      </c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</row>
    <row r="129" spans="2:19" ht="31.5">
      <c r="B129" s="4">
        <v>1</v>
      </c>
      <c r="C129" s="6" t="s">
        <v>37</v>
      </c>
      <c r="D129" s="6" t="s">
        <v>10</v>
      </c>
      <c r="E129" s="6">
        <v>0.9</v>
      </c>
      <c r="F129" s="13" t="s">
        <v>38</v>
      </c>
      <c r="G129" s="13">
        <v>658.56</v>
      </c>
      <c r="H129" s="6">
        <f t="shared" ref="H129:H148" si="25">E129*G129</f>
        <v>592.70399999999995</v>
      </c>
      <c r="I129" s="6" t="s">
        <v>12</v>
      </c>
      <c r="J129" s="6">
        <v>93.68</v>
      </c>
      <c r="K129" s="6">
        <f t="shared" ref="K129:K148" si="26">J129*E129</f>
        <v>84.312000000000012</v>
      </c>
      <c r="L129" s="4">
        <v>5</v>
      </c>
      <c r="M129" s="4">
        <v>1</v>
      </c>
      <c r="N129" s="4">
        <v>3</v>
      </c>
      <c r="O129" s="4">
        <f t="shared" ref="O129:O148" si="27">ROUNDUP(K129/(N129*8*M129),0)</f>
        <v>4</v>
      </c>
      <c r="P129" s="4">
        <f t="shared" ref="P129:P148" si="28">ROUNDUP((H129/(8*N129*L129)),0)</f>
        <v>5</v>
      </c>
      <c r="Q129" s="4">
        <f t="shared" ref="Q129:Q148" si="29">MAX(O129:P129)</f>
        <v>5</v>
      </c>
      <c r="R129" s="6" t="s">
        <v>39</v>
      </c>
      <c r="S129" s="6" t="s">
        <v>40</v>
      </c>
    </row>
    <row r="130" spans="2:19" ht="31.5">
      <c r="B130" s="4">
        <v>2</v>
      </c>
      <c r="C130" s="6" t="s">
        <v>41</v>
      </c>
      <c r="D130" s="6" t="s">
        <v>10</v>
      </c>
      <c r="E130" s="9">
        <v>0.48</v>
      </c>
      <c r="F130" s="13" t="s">
        <v>42</v>
      </c>
      <c r="G130" s="13">
        <v>223.11</v>
      </c>
      <c r="H130" s="6">
        <f t="shared" si="25"/>
        <v>107.0928</v>
      </c>
      <c r="I130" s="6" t="s">
        <v>43</v>
      </c>
      <c r="J130" s="6">
        <v>31.98</v>
      </c>
      <c r="K130" s="6">
        <f t="shared" si="26"/>
        <v>15.3504</v>
      </c>
      <c r="L130" s="4">
        <v>3</v>
      </c>
      <c r="M130" s="4">
        <v>1</v>
      </c>
      <c r="N130" s="4">
        <v>1</v>
      </c>
      <c r="O130" s="4">
        <f t="shared" si="27"/>
        <v>2</v>
      </c>
      <c r="P130" s="4">
        <f t="shared" si="28"/>
        <v>5</v>
      </c>
      <c r="Q130" s="4">
        <f t="shared" si="29"/>
        <v>5</v>
      </c>
      <c r="R130" s="6" t="s">
        <v>44</v>
      </c>
      <c r="S130" s="6" t="s">
        <v>45</v>
      </c>
    </row>
    <row r="131" spans="2:19" ht="47.25">
      <c r="B131" s="4">
        <v>3</v>
      </c>
      <c r="C131" s="6" t="s">
        <v>46</v>
      </c>
      <c r="D131" s="6" t="s">
        <v>10</v>
      </c>
      <c r="E131" s="6">
        <v>0.83799999999999997</v>
      </c>
      <c r="F131" s="13" t="s">
        <v>47</v>
      </c>
      <c r="G131" s="13">
        <v>458.43</v>
      </c>
      <c r="H131" s="6">
        <f t="shared" si="25"/>
        <v>384.16433999999998</v>
      </c>
      <c r="I131" s="6" t="s">
        <v>48</v>
      </c>
      <c r="J131" s="6">
        <v>82.87</v>
      </c>
      <c r="K131" s="6">
        <f t="shared" si="26"/>
        <v>69.445059999999998</v>
      </c>
      <c r="L131" s="4">
        <v>3</v>
      </c>
      <c r="M131" s="4">
        <v>1</v>
      </c>
      <c r="N131" s="4">
        <v>2</v>
      </c>
      <c r="O131" s="4">
        <f t="shared" si="27"/>
        <v>5</v>
      </c>
      <c r="P131" s="4">
        <f t="shared" si="28"/>
        <v>9</v>
      </c>
      <c r="Q131" s="4">
        <f t="shared" si="29"/>
        <v>9</v>
      </c>
      <c r="R131" s="6" t="s">
        <v>49</v>
      </c>
      <c r="S131" s="6" t="s">
        <v>50</v>
      </c>
    </row>
    <row r="132" spans="2:19" ht="63">
      <c r="B132" s="4">
        <v>4</v>
      </c>
      <c r="C132" s="6" t="s">
        <v>51</v>
      </c>
      <c r="D132" s="6" t="s">
        <v>52</v>
      </c>
      <c r="E132" s="9">
        <f>E131*1.55</f>
        <v>1.2988999999999999</v>
      </c>
      <c r="F132" s="13" t="s">
        <v>53</v>
      </c>
      <c r="G132" s="13">
        <v>484.5</v>
      </c>
      <c r="H132" s="6">
        <f t="shared" si="25"/>
        <v>629.31704999999999</v>
      </c>
      <c r="I132" s="68" t="s">
        <v>355</v>
      </c>
      <c r="J132" s="6">
        <v>113.13</v>
      </c>
      <c r="K132" s="6">
        <f t="shared" si="26"/>
        <v>146.94455699999997</v>
      </c>
      <c r="L132" s="4">
        <v>4</v>
      </c>
      <c r="M132" s="4">
        <v>1</v>
      </c>
      <c r="N132" s="4">
        <v>3</v>
      </c>
      <c r="O132" s="4">
        <f t="shared" si="27"/>
        <v>7</v>
      </c>
      <c r="P132" s="4">
        <f t="shared" si="28"/>
        <v>7</v>
      </c>
      <c r="Q132" s="4">
        <f t="shared" si="29"/>
        <v>7</v>
      </c>
      <c r="R132" s="6" t="s">
        <v>49</v>
      </c>
      <c r="S132" s="6" t="s">
        <v>54</v>
      </c>
    </row>
    <row r="133" spans="2:19" ht="31.5">
      <c r="B133" s="4">
        <v>5</v>
      </c>
      <c r="C133" s="6" t="s">
        <v>55</v>
      </c>
      <c r="D133" s="6" t="s">
        <v>10</v>
      </c>
      <c r="E133" s="6">
        <v>0.04</v>
      </c>
      <c r="F133" s="13" t="s">
        <v>56</v>
      </c>
      <c r="G133" s="13">
        <v>347.48</v>
      </c>
      <c r="H133" s="6">
        <f t="shared" si="25"/>
        <v>13.8992</v>
      </c>
      <c r="I133" s="6" t="s">
        <v>57</v>
      </c>
      <c r="J133" s="6">
        <v>82.25</v>
      </c>
      <c r="K133" s="6">
        <f t="shared" si="26"/>
        <v>3.29</v>
      </c>
      <c r="L133" s="4">
        <v>1</v>
      </c>
      <c r="M133" s="4">
        <v>1</v>
      </c>
      <c r="N133" s="4">
        <v>1</v>
      </c>
      <c r="O133" s="4">
        <f t="shared" si="27"/>
        <v>1</v>
      </c>
      <c r="P133" s="4">
        <f t="shared" si="28"/>
        <v>2</v>
      </c>
      <c r="Q133" s="4">
        <f t="shared" si="29"/>
        <v>2</v>
      </c>
      <c r="R133" s="6" t="s">
        <v>13</v>
      </c>
      <c r="S133" s="6" t="s">
        <v>58</v>
      </c>
    </row>
    <row r="134" spans="2:19" ht="31.5">
      <c r="B134" s="4">
        <v>6</v>
      </c>
      <c r="C134" s="6" t="s">
        <v>59</v>
      </c>
      <c r="D134" s="6" t="s">
        <v>60</v>
      </c>
      <c r="E134" s="6">
        <v>0.16200000000000001</v>
      </c>
      <c r="F134" s="13" t="s">
        <v>61</v>
      </c>
      <c r="G134" s="13">
        <v>39.51</v>
      </c>
      <c r="H134" s="6">
        <f t="shared" si="25"/>
        <v>6.40062</v>
      </c>
      <c r="I134" s="6" t="s">
        <v>62</v>
      </c>
      <c r="J134" s="6">
        <v>9.07</v>
      </c>
      <c r="K134" s="6">
        <f t="shared" si="26"/>
        <v>1.4693400000000001</v>
      </c>
      <c r="L134" s="4">
        <v>5</v>
      </c>
      <c r="M134" s="4">
        <v>1</v>
      </c>
      <c r="N134" s="4">
        <v>1</v>
      </c>
      <c r="O134" s="4">
        <f t="shared" si="27"/>
        <v>1</v>
      </c>
      <c r="P134" s="4">
        <f t="shared" si="28"/>
        <v>1</v>
      </c>
      <c r="Q134" s="4">
        <f t="shared" si="29"/>
        <v>1</v>
      </c>
      <c r="R134" s="6" t="s">
        <v>63</v>
      </c>
      <c r="S134" s="6" t="s">
        <v>64</v>
      </c>
    </row>
    <row r="135" spans="2:19" ht="31.5">
      <c r="B135" s="4">
        <v>7</v>
      </c>
      <c r="C135" s="9" t="s">
        <v>65</v>
      </c>
      <c r="D135" s="6" t="s">
        <v>60</v>
      </c>
      <c r="E135" s="6">
        <v>6.3959999999999999</v>
      </c>
      <c r="F135" s="13" t="s">
        <v>66</v>
      </c>
      <c r="G135" s="13">
        <v>45.4</v>
      </c>
      <c r="H135" s="6">
        <f t="shared" si="25"/>
        <v>290.3784</v>
      </c>
      <c r="I135" s="6" t="s">
        <v>67</v>
      </c>
      <c r="J135" s="6">
        <v>0.3</v>
      </c>
      <c r="K135" s="6">
        <f t="shared" si="26"/>
        <v>1.9187999999999998</v>
      </c>
      <c r="L135" s="4">
        <v>3</v>
      </c>
      <c r="M135" s="4">
        <v>1</v>
      </c>
      <c r="N135" s="4">
        <v>1</v>
      </c>
      <c r="O135" s="4">
        <f t="shared" si="27"/>
        <v>1</v>
      </c>
      <c r="P135" s="4">
        <f t="shared" si="28"/>
        <v>13</v>
      </c>
      <c r="Q135" s="4">
        <f t="shared" si="29"/>
        <v>13</v>
      </c>
      <c r="R135" s="6" t="s">
        <v>39</v>
      </c>
      <c r="S135" s="6" t="s">
        <v>68</v>
      </c>
    </row>
    <row r="136" spans="2:19" ht="47.25">
      <c r="B136" s="4">
        <v>8</v>
      </c>
      <c r="C136" s="6" t="s">
        <v>69</v>
      </c>
      <c r="D136" s="6" t="s">
        <v>60</v>
      </c>
      <c r="E136" s="9">
        <v>0.35949999999999999</v>
      </c>
      <c r="F136" s="13" t="s">
        <v>70</v>
      </c>
      <c r="G136" s="13">
        <v>119.78</v>
      </c>
      <c r="H136" s="6">
        <f t="shared" si="25"/>
        <v>43.06091</v>
      </c>
      <c r="I136" s="68" t="s">
        <v>353</v>
      </c>
      <c r="J136" s="6">
        <v>2.2999999999999998</v>
      </c>
      <c r="K136" s="6">
        <f t="shared" si="26"/>
        <v>0.82684999999999986</v>
      </c>
      <c r="L136" s="4">
        <v>1</v>
      </c>
      <c r="M136" s="4">
        <v>1</v>
      </c>
      <c r="N136" s="4">
        <v>1</v>
      </c>
      <c r="O136" s="4">
        <f t="shared" si="27"/>
        <v>1</v>
      </c>
      <c r="P136" s="4">
        <f t="shared" si="28"/>
        <v>6</v>
      </c>
      <c r="Q136" s="4">
        <f t="shared" si="29"/>
        <v>6</v>
      </c>
      <c r="R136" s="6" t="s">
        <v>71</v>
      </c>
      <c r="S136" s="6" t="s">
        <v>72</v>
      </c>
    </row>
    <row r="137" spans="2:19" ht="31.5">
      <c r="B137" s="4">
        <v>9</v>
      </c>
      <c r="C137" s="6" t="s">
        <v>73</v>
      </c>
      <c r="D137" s="6" t="s">
        <v>60</v>
      </c>
      <c r="E137" s="6">
        <v>0.64300000000000002</v>
      </c>
      <c r="F137" s="13" t="s">
        <v>74</v>
      </c>
      <c r="G137" s="13">
        <v>104.28</v>
      </c>
      <c r="H137" s="6">
        <f t="shared" si="25"/>
        <v>67.052040000000005</v>
      </c>
      <c r="I137" s="6" t="s">
        <v>57</v>
      </c>
      <c r="J137" s="6">
        <v>9.69</v>
      </c>
      <c r="K137" s="6">
        <f t="shared" si="26"/>
        <v>6.2306699999999999</v>
      </c>
      <c r="L137" s="4">
        <v>5</v>
      </c>
      <c r="M137" s="4">
        <v>1</v>
      </c>
      <c r="N137" s="4">
        <v>1</v>
      </c>
      <c r="O137" s="4">
        <f t="shared" si="27"/>
        <v>1</v>
      </c>
      <c r="P137" s="4">
        <f t="shared" si="28"/>
        <v>2</v>
      </c>
      <c r="Q137" s="4">
        <f t="shared" si="29"/>
        <v>2</v>
      </c>
      <c r="R137" s="6" t="s">
        <v>44</v>
      </c>
      <c r="S137" s="6" t="s">
        <v>75</v>
      </c>
    </row>
    <row r="138" spans="2:19" ht="47.25">
      <c r="B138" s="15">
        <v>10</v>
      </c>
      <c r="C138" s="6" t="s">
        <v>76</v>
      </c>
      <c r="D138" s="6" t="s">
        <v>60</v>
      </c>
      <c r="E138" s="6">
        <v>0.99199999999999999</v>
      </c>
      <c r="F138" s="13" t="s">
        <v>77</v>
      </c>
      <c r="G138" s="13">
        <v>120.3</v>
      </c>
      <c r="H138" s="6">
        <f t="shared" si="25"/>
        <v>119.33759999999999</v>
      </c>
      <c r="I138" s="10" t="s">
        <v>354</v>
      </c>
      <c r="J138" s="6">
        <v>1.73</v>
      </c>
      <c r="K138" s="6">
        <f t="shared" si="26"/>
        <v>1.7161599999999999</v>
      </c>
      <c r="L138" s="4">
        <v>3</v>
      </c>
      <c r="M138" s="4">
        <v>1</v>
      </c>
      <c r="N138" s="4">
        <v>1</v>
      </c>
      <c r="O138" s="4">
        <f t="shared" si="27"/>
        <v>1</v>
      </c>
      <c r="P138" s="4">
        <f t="shared" si="28"/>
        <v>5</v>
      </c>
      <c r="Q138" s="4">
        <f t="shared" si="29"/>
        <v>5</v>
      </c>
      <c r="R138" s="6" t="s">
        <v>78</v>
      </c>
      <c r="S138" s="6" t="s">
        <v>79</v>
      </c>
    </row>
    <row r="139" spans="2:19" ht="31.5">
      <c r="B139" s="4">
        <v>11</v>
      </c>
      <c r="C139" s="6" t="s">
        <v>80</v>
      </c>
      <c r="D139" s="6" t="s">
        <v>60</v>
      </c>
      <c r="E139" s="9">
        <v>6.7320000000000002</v>
      </c>
      <c r="F139" s="13" t="s">
        <v>81</v>
      </c>
      <c r="G139" s="13">
        <v>65.66</v>
      </c>
      <c r="H139" s="6">
        <f t="shared" si="25"/>
        <v>442.02312000000001</v>
      </c>
      <c r="I139" s="72" t="s">
        <v>357</v>
      </c>
      <c r="J139" s="6">
        <v>4.76</v>
      </c>
      <c r="K139" s="6">
        <f t="shared" si="26"/>
        <v>32.044319999999999</v>
      </c>
      <c r="L139" s="4">
        <v>5</v>
      </c>
      <c r="M139" s="4">
        <v>1</v>
      </c>
      <c r="N139" s="4">
        <v>3</v>
      </c>
      <c r="O139" s="4">
        <f t="shared" si="27"/>
        <v>2</v>
      </c>
      <c r="P139" s="4">
        <f t="shared" si="28"/>
        <v>4</v>
      </c>
      <c r="Q139" s="4">
        <f t="shared" si="29"/>
        <v>4</v>
      </c>
      <c r="R139" s="6" t="s">
        <v>82</v>
      </c>
      <c r="S139" s="6" t="s">
        <v>83</v>
      </c>
    </row>
    <row r="140" spans="2:19" ht="31.5">
      <c r="B140" s="4">
        <v>12</v>
      </c>
      <c r="C140" s="6" t="s">
        <v>84</v>
      </c>
      <c r="D140" s="6" t="s">
        <v>60</v>
      </c>
      <c r="E140" s="9">
        <v>6.7320000000000002</v>
      </c>
      <c r="F140" s="13" t="s">
        <v>85</v>
      </c>
      <c r="G140" s="13">
        <v>15.18</v>
      </c>
      <c r="H140" s="6">
        <f t="shared" si="25"/>
        <v>102.19176</v>
      </c>
      <c r="I140" s="10" t="s">
        <v>356</v>
      </c>
      <c r="J140" s="6">
        <v>0.08</v>
      </c>
      <c r="K140" s="6">
        <f t="shared" si="26"/>
        <v>0.53856000000000004</v>
      </c>
      <c r="L140" s="4">
        <v>5</v>
      </c>
      <c r="M140" s="4">
        <v>1</v>
      </c>
      <c r="N140" s="4">
        <v>1</v>
      </c>
      <c r="O140" s="4">
        <f t="shared" si="27"/>
        <v>1</v>
      </c>
      <c r="P140" s="4">
        <f t="shared" si="28"/>
        <v>3</v>
      </c>
      <c r="Q140" s="4">
        <f t="shared" si="29"/>
        <v>3</v>
      </c>
      <c r="R140" s="6" t="s">
        <v>13</v>
      </c>
      <c r="S140" s="6" t="s">
        <v>83</v>
      </c>
    </row>
    <row r="141" spans="2:19" ht="31.5">
      <c r="B141" s="4">
        <v>13</v>
      </c>
      <c r="C141" s="6" t="s">
        <v>86</v>
      </c>
      <c r="D141" s="6" t="s">
        <v>60</v>
      </c>
      <c r="E141" s="9">
        <v>6.7320000000000002</v>
      </c>
      <c r="F141" s="13" t="s">
        <v>87</v>
      </c>
      <c r="G141" s="13">
        <v>68.790000000000006</v>
      </c>
      <c r="H141" s="6">
        <f t="shared" si="25"/>
        <v>463.09428000000008</v>
      </c>
      <c r="I141" s="72" t="s">
        <v>357</v>
      </c>
      <c r="J141" s="6">
        <v>4.76</v>
      </c>
      <c r="K141" s="6">
        <f t="shared" si="26"/>
        <v>32.044319999999999</v>
      </c>
      <c r="L141" s="4">
        <v>7</v>
      </c>
      <c r="M141" s="4">
        <v>1</v>
      </c>
      <c r="N141" s="4">
        <v>2</v>
      </c>
      <c r="O141" s="4">
        <f t="shared" si="27"/>
        <v>3</v>
      </c>
      <c r="P141" s="4">
        <f t="shared" si="28"/>
        <v>5</v>
      </c>
      <c r="Q141" s="4">
        <f t="shared" si="29"/>
        <v>5</v>
      </c>
      <c r="R141" s="6" t="s">
        <v>82</v>
      </c>
      <c r="S141" s="6" t="s">
        <v>64</v>
      </c>
    </row>
    <row r="142" spans="2:19" ht="47.25">
      <c r="B142" s="4">
        <v>14</v>
      </c>
      <c r="C142" s="6" t="s">
        <v>88</v>
      </c>
      <c r="D142" s="6" t="s">
        <v>60</v>
      </c>
      <c r="E142" s="9">
        <v>6.7320000000000002</v>
      </c>
      <c r="F142" s="13" t="s">
        <v>89</v>
      </c>
      <c r="G142" s="13">
        <v>16.940000000000001</v>
      </c>
      <c r="H142" s="6">
        <f t="shared" si="25"/>
        <v>114.04008000000002</v>
      </c>
      <c r="I142" s="10" t="s">
        <v>356</v>
      </c>
      <c r="J142" s="6">
        <v>0.09</v>
      </c>
      <c r="K142" s="6">
        <f t="shared" si="26"/>
        <v>0.60587999999999997</v>
      </c>
      <c r="L142" s="4">
        <v>4</v>
      </c>
      <c r="M142" s="4">
        <v>1</v>
      </c>
      <c r="N142" s="4">
        <v>2</v>
      </c>
      <c r="O142" s="4">
        <f t="shared" si="27"/>
        <v>1</v>
      </c>
      <c r="P142" s="4">
        <f t="shared" si="28"/>
        <v>2</v>
      </c>
      <c r="Q142" s="4">
        <f t="shared" si="29"/>
        <v>2</v>
      </c>
      <c r="R142" s="6" t="s">
        <v>13</v>
      </c>
      <c r="S142" s="6" t="s">
        <v>64</v>
      </c>
    </row>
    <row r="143" spans="2:19" ht="31.5">
      <c r="B143" s="4">
        <v>15</v>
      </c>
      <c r="C143" s="6" t="s">
        <v>90</v>
      </c>
      <c r="D143" s="6" t="s">
        <v>60</v>
      </c>
      <c r="E143" s="6">
        <v>0.7056</v>
      </c>
      <c r="F143" s="13" t="s">
        <v>91</v>
      </c>
      <c r="G143" s="13">
        <v>24.3</v>
      </c>
      <c r="H143" s="6">
        <f t="shared" si="25"/>
        <v>17.146080000000001</v>
      </c>
      <c r="I143" s="10" t="s">
        <v>356</v>
      </c>
      <c r="J143" s="6">
        <v>0.25</v>
      </c>
      <c r="K143" s="6">
        <f t="shared" si="26"/>
        <v>0.1764</v>
      </c>
      <c r="L143" s="4">
        <v>1</v>
      </c>
      <c r="M143" s="4">
        <v>1</v>
      </c>
      <c r="N143" s="4">
        <v>1</v>
      </c>
      <c r="O143" s="4">
        <f t="shared" si="27"/>
        <v>1</v>
      </c>
      <c r="P143" s="4">
        <f t="shared" si="28"/>
        <v>3</v>
      </c>
      <c r="Q143" s="4">
        <f t="shared" si="29"/>
        <v>3</v>
      </c>
      <c r="R143" s="6" t="s">
        <v>92</v>
      </c>
      <c r="S143" s="6" t="s">
        <v>93</v>
      </c>
    </row>
    <row r="144" spans="2:19" ht="31.5">
      <c r="B144" s="4">
        <v>16</v>
      </c>
      <c r="C144" s="6" t="s">
        <v>94</v>
      </c>
      <c r="D144" s="6" t="s">
        <v>60</v>
      </c>
      <c r="E144" s="6">
        <v>0.09</v>
      </c>
      <c r="F144" s="13" t="s">
        <v>95</v>
      </c>
      <c r="G144" s="13">
        <v>66.22</v>
      </c>
      <c r="H144" s="6">
        <f t="shared" si="25"/>
        <v>5.9597999999999995</v>
      </c>
      <c r="I144" s="72" t="s">
        <v>358</v>
      </c>
      <c r="J144" s="6">
        <v>1</v>
      </c>
      <c r="K144" s="6">
        <f t="shared" si="26"/>
        <v>0.09</v>
      </c>
      <c r="L144" s="4">
        <v>7</v>
      </c>
      <c r="M144" s="4">
        <v>1</v>
      </c>
      <c r="N144" s="4">
        <v>1</v>
      </c>
      <c r="O144" s="4">
        <f t="shared" si="27"/>
        <v>1</v>
      </c>
      <c r="P144" s="4">
        <f t="shared" si="28"/>
        <v>1</v>
      </c>
      <c r="Q144" s="4">
        <f t="shared" si="29"/>
        <v>1</v>
      </c>
      <c r="R144" s="6" t="s">
        <v>96</v>
      </c>
      <c r="S144" s="6" t="s">
        <v>97</v>
      </c>
    </row>
    <row r="145" spans="2:19" ht="47.25">
      <c r="B145" s="4">
        <v>17</v>
      </c>
      <c r="C145" s="6" t="s">
        <v>98</v>
      </c>
      <c r="D145" s="6" t="s">
        <v>60</v>
      </c>
      <c r="E145" s="9">
        <v>4.2767999999999997</v>
      </c>
      <c r="F145" s="13" t="s">
        <v>99</v>
      </c>
      <c r="G145" s="13">
        <v>290.7</v>
      </c>
      <c r="H145" s="6">
        <f t="shared" si="25"/>
        <v>1243.2657599999998</v>
      </c>
      <c r="I145" s="10" t="s">
        <v>354</v>
      </c>
      <c r="J145" s="6">
        <v>1.21</v>
      </c>
      <c r="K145" s="6">
        <f t="shared" si="26"/>
        <v>5.1749279999999995</v>
      </c>
      <c r="L145" s="4">
        <v>7</v>
      </c>
      <c r="M145" s="4">
        <v>1</v>
      </c>
      <c r="N145" s="4">
        <v>2</v>
      </c>
      <c r="O145" s="4">
        <f t="shared" si="27"/>
        <v>1</v>
      </c>
      <c r="P145" s="4">
        <f t="shared" si="28"/>
        <v>12</v>
      </c>
      <c r="Q145" s="4">
        <f t="shared" si="29"/>
        <v>12</v>
      </c>
      <c r="R145" s="6" t="s">
        <v>39</v>
      </c>
      <c r="S145" s="6" t="s">
        <v>100</v>
      </c>
    </row>
    <row r="146" spans="2:19" ht="31.5">
      <c r="B146" s="4">
        <v>18</v>
      </c>
      <c r="C146" s="6" t="s">
        <v>101</v>
      </c>
      <c r="D146" s="6" t="s">
        <v>60</v>
      </c>
      <c r="E146" s="9">
        <v>2.052</v>
      </c>
      <c r="F146" s="13" t="s">
        <v>102</v>
      </c>
      <c r="G146" s="6">
        <v>31.41</v>
      </c>
      <c r="H146" s="6">
        <f t="shared" si="25"/>
        <v>64.453320000000005</v>
      </c>
      <c r="I146" s="6" t="s">
        <v>103</v>
      </c>
      <c r="J146" s="6">
        <v>0.34</v>
      </c>
      <c r="K146" s="6">
        <f t="shared" si="26"/>
        <v>0.69768000000000008</v>
      </c>
      <c r="L146" s="4">
        <v>3</v>
      </c>
      <c r="M146" s="4">
        <v>1</v>
      </c>
      <c r="N146" s="4">
        <v>2</v>
      </c>
      <c r="O146" s="4">
        <f t="shared" si="27"/>
        <v>1</v>
      </c>
      <c r="P146" s="4">
        <f t="shared" si="28"/>
        <v>2</v>
      </c>
      <c r="Q146" s="4">
        <f t="shared" si="29"/>
        <v>2</v>
      </c>
      <c r="R146" s="6" t="s">
        <v>104</v>
      </c>
      <c r="S146" s="6" t="s">
        <v>105</v>
      </c>
    </row>
    <row r="147" spans="2:19" ht="31.5">
      <c r="B147" s="4">
        <v>19</v>
      </c>
      <c r="C147" s="6" t="s">
        <v>106</v>
      </c>
      <c r="D147" s="6" t="s">
        <v>60</v>
      </c>
      <c r="E147" s="6">
        <v>3.24</v>
      </c>
      <c r="F147" s="13" t="s">
        <v>107</v>
      </c>
      <c r="G147" s="13">
        <v>26.22</v>
      </c>
      <c r="H147" s="6">
        <f t="shared" si="25"/>
        <v>84.952799999999996</v>
      </c>
      <c r="I147" s="72" t="s">
        <v>358</v>
      </c>
      <c r="J147" s="6">
        <v>6.38</v>
      </c>
      <c r="K147" s="6">
        <f t="shared" si="26"/>
        <v>20.671200000000002</v>
      </c>
      <c r="L147" s="4">
        <v>5</v>
      </c>
      <c r="M147" s="4">
        <v>1</v>
      </c>
      <c r="N147" s="4">
        <v>1</v>
      </c>
      <c r="O147" s="4">
        <f t="shared" si="27"/>
        <v>3</v>
      </c>
      <c r="P147" s="4">
        <f t="shared" si="28"/>
        <v>3</v>
      </c>
      <c r="Q147" s="4">
        <f t="shared" si="29"/>
        <v>3</v>
      </c>
      <c r="R147" s="6" t="s">
        <v>39</v>
      </c>
      <c r="S147" s="6" t="s">
        <v>64</v>
      </c>
    </row>
    <row r="148" spans="2:19" ht="47.25">
      <c r="B148" s="4">
        <v>20</v>
      </c>
      <c r="C148" s="142" t="s">
        <v>108</v>
      </c>
      <c r="D148" s="6" t="s">
        <v>60</v>
      </c>
      <c r="E148" s="6">
        <v>0.32</v>
      </c>
      <c r="F148" s="16" t="s">
        <v>109</v>
      </c>
      <c r="G148" s="13">
        <v>270.25</v>
      </c>
      <c r="H148" s="6">
        <f t="shared" si="25"/>
        <v>86.48</v>
      </c>
      <c r="I148" s="6" t="s">
        <v>110</v>
      </c>
      <c r="J148" s="6">
        <v>1.52</v>
      </c>
      <c r="K148" s="6">
        <f t="shared" si="26"/>
        <v>0.4864</v>
      </c>
      <c r="L148" s="4">
        <v>4</v>
      </c>
      <c r="M148" s="4">
        <v>1</v>
      </c>
      <c r="N148" s="4">
        <v>1</v>
      </c>
      <c r="O148" s="4">
        <f t="shared" si="27"/>
        <v>1</v>
      </c>
      <c r="P148" s="4">
        <f t="shared" si="28"/>
        <v>3</v>
      </c>
      <c r="Q148" s="4">
        <f t="shared" si="29"/>
        <v>3</v>
      </c>
      <c r="R148" s="6" t="s">
        <v>39</v>
      </c>
      <c r="S148" s="6" t="s">
        <v>111</v>
      </c>
    </row>
  </sheetData>
  <mergeCells count="48">
    <mergeCell ref="B128:S128"/>
    <mergeCell ref="B18:S18"/>
    <mergeCell ref="B43:S43"/>
    <mergeCell ref="P101:P102"/>
    <mergeCell ref="Q101:Q102"/>
    <mergeCell ref="R101:R102"/>
    <mergeCell ref="S101:S102"/>
    <mergeCell ref="B104:S104"/>
    <mergeCell ref="I101:K101"/>
    <mergeCell ref="L101:L102"/>
    <mergeCell ref="M101:M102"/>
    <mergeCell ref="N101:N102"/>
    <mergeCell ref="O101:O102"/>
    <mergeCell ref="B101:B102"/>
    <mergeCell ref="C101:C102"/>
    <mergeCell ref="D101:E101"/>
    <mergeCell ref="F101:F102"/>
    <mergeCell ref="G101:H101"/>
    <mergeCell ref="P90:P91"/>
    <mergeCell ref="Q90:Q91"/>
    <mergeCell ref="R90:R91"/>
    <mergeCell ref="S90:S91"/>
    <mergeCell ref="B93:S93"/>
    <mergeCell ref="I90:K90"/>
    <mergeCell ref="L90:L91"/>
    <mergeCell ref="M90:M91"/>
    <mergeCell ref="N90:N91"/>
    <mergeCell ref="O90:O91"/>
    <mergeCell ref="B90:B91"/>
    <mergeCell ref="C90:C91"/>
    <mergeCell ref="D90:E90"/>
    <mergeCell ref="F90:F91"/>
    <mergeCell ref="G90:H90"/>
    <mergeCell ref="B22:S22"/>
    <mergeCell ref="B15:B16"/>
    <mergeCell ref="C15:C16"/>
    <mergeCell ref="D15:E15"/>
    <mergeCell ref="F15:F16"/>
    <mergeCell ref="G15:H15"/>
    <mergeCell ref="I15:K15"/>
    <mergeCell ref="L15:L16"/>
    <mergeCell ref="M15:M16"/>
    <mergeCell ref="N15:N16"/>
    <mergeCell ref="O15:O16"/>
    <mergeCell ref="P15:P16"/>
    <mergeCell ref="Q15:Q16"/>
    <mergeCell ref="R15:R16"/>
    <mergeCell ref="S15:S16"/>
  </mergeCells>
  <pageMargins left="0.7" right="0.7" top="0.75" bottom="0.75" header="0.511811023622047" footer="0.511811023622047"/>
  <pageSetup paperSize="11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742-FF01-4F9D-B2AB-85EC9B673773}">
  <dimension ref="A1:T164"/>
  <sheetViews>
    <sheetView workbookViewId="0">
      <selection activeCell="C21" sqref="C21"/>
    </sheetView>
  </sheetViews>
  <sheetFormatPr defaultRowHeight="15"/>
  <cols>
    <col min="2" max="2" width="15.42578125" bestFit="1" customWidth="1"/>
    <col min="3" max="3" width="13.140625" bestFit="1" customWidth="1"/>
  </cols>
  <sheetData>
    <row r="1" spans="1:19" ht="15.7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19" ht="15.75">
      <c r="A2" s="87"/>
      <c r="B2" s="130"/>
      <c r="C2" s="103"/>
      <c r="D2" s="132"/>
      <c r="E2" s="103" t="s">
        <v>189</v>
      </c>
      <c r="F2" s="103" t="s">
        <v>473</v>
      </c>
      <c r="G2" s="103" t="s">
        <v>474</v>
      </c>
      <c r="H2" s="98"/>
      <c r="I2" s="98"/>
      <c r="J2" s="87"/>
      <c r="K2" s="87"/>
      <c r="L2" s="87"/>
      <c r="M2" s="87"/>
      <c r="N2" s="87"/>
      <c r="O2" s="87"/>
      <c r="P2" s="87"/>
      <c r="Q2" s="87"/>
      <c r="R2" s="87"/>
      <c r="S2" s="87"/>
    </row>
    <row r="3" spans="1:19" ht="15.75">
      <c r="A3" s="87"/>
      <c r="B3" s="130" t="s">
        <v>475</v>
      </c>
      <c r="C3" s="125">
        <f>C4*((C5*E5*F5/G5+C6*E6*F6/G6+C7*E7*F7/G7+C8*E8*F8/G8+C9*E9*F9/G9)+C12)</f>
        <v>286.90351781512607</v>
      </c>
      <c r="D3" s="132" t="s">
        <v>476</v>
      </c>
      <c r="E3" s="103"/>
      <c r="F3" s="103"/>
      <c r="G3" s="103"/>
      <c r="H3" s="98"/>
      <c r="I3" s="98"/>
      <c r="J3" s="87"/>
      <c r="K3" s="87"/>
      <c r="L3" s="87"/>
      <c r="M3" s="87"/>
      <c r="N3" s="87"/>
      <c r="O3" s="87"/>
      <c r="P3" s="87"/>
      <c r="Q3" s="87"/>
      <c r="R3" s="87"/>
      <c r="S3" s="87"/>
    </row>
    <row r="4" spans="1:19" ht="15.75">
      <c r="A4" s="87"/>
      <c r="B4" s="130" t="s">
        <v>494</v>
      </c>
      <c r="C4" s="103">
        <v>1.1000000000000001</v>
      </c>
      <c r="D4" s="132"/>
      <c r="E4" s="103"/>
      <c r="F4" s="103"/>
      <c r="G4" s="103"/>
      <c r="H4" s="98"/>
      <c r="I4" s="98"/>
      <c r="J4" s="87"/>
      <c r="K4" s="87"/>
      <c r="L4" s="87"/>
      <c r="M4" s="87"/>
      <c r="N4" s="87"/>
      <c r="O4" s="87"/>
      <c r="P4" s="87"/>
      <c r="Q4" s="87"/>
      <c r="R4" s="87"/>
      <c r="S4" s="87"/>
    </row>
    <row r="5" spans="1:19" ht="31.5">
      <c r="A5" s="87"/>
      <c r="B5" s="130" t="s">
        <v>495</v>
      </c>
      <c r="C5" s="103">
        <v>179</v>
      </c>
      <c r="D5" s="132" t="s">
        <v>476</v>
      </c>
      <c r="E5" s="103">
        <v>1</v>
      </c>
      <c r="F5" s="103">
        <v>0.3</v>
      </c>
      <c r="G5" s="103">
        <v>0.7</v>
      </c>
      <c r="H5" s="98"/>
      <c r="I5" s="98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19" ht="31.5">
      <c r="A6" s="87"/>
      <c r="B6" s="130" t="s">
        <v>496</v>
      </c>
      <c r="C6" s="15">
        <v>0.23</v>
      </c>
      <c r="D6" s="132" t="s">
        <v>476</v>
      </c>
      <c r="E6" s="103">
        <v>1</v>
      </c>
      <c r="F6" s="103">
        <v>0.7</v>
      </c>
      <c r="G6" s="103">
        <v>0.68</v>
      </c>
      <c r="H6" s="98"/>
      <c r="I6" s="98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19" ht="31.5">
      <c r="A7" s="87"/>
      <c r="B7" s="130" t="s">
        <v>497</v>
      </c>
      <c r="C7" s="75">
        <v>0.22</v>
      </c>
      <c r="D7" s="132" t="s">
        <v>476</v>
      </c>
      <c r="E7" s="103">
        <v>1</v>
      </c>
      <c r="F7" s="103">
        <v>0.7</v>
      </c>
      <c r="G7" s="103">
        <v>0.68</v>
      </c>
      <c r="H7" s="98"/>
      <c r="I7" s="98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19" ht="31.5">
      <c r="A8" s="87"/>
      <c r="B8" s="130" t="s">
        <v>493</v>
      </c>
      <c r="C8" s="15">
        <v>0.24</v>
      </c>
      <c r="D8" s="132" t="s">
        <v>476</v>
      </c>
      <c r="E8" s="103">
        <v>1</v>
      </c>
      <c r="F8" s="103">
        <v>0.7</v>
      </c>
      <c r="G8" s="103">
        <v>0.68</v>
      </c>
      <c r="H8" s="98"/>
      <c r="I8" s="98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31.5">
      <c r="A9" s="87"/>
      <c r="B9" s="130" t="s">
        <v>498</v>
      </c>
      <c r="C9" s="103">
        <v>42</v>
      </c>
      <c r="D9" s="132" t="s">
        <v>476</v>
      </c>
      <c r="E9" s="103">
        <v>2</v>
      </c>
      <c r="F9" s="103">
        <v>0.75</v>
      </c>
      <c r="G9" s="103">
        <v>0.75</v>
      </c>
      <c r="H9" s="98"/>
      <c r="I9" s="98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 spans="1:19" ht="15.75">
      <c r="A10" s="87"/>
      <c r="B10" s="93"/>
      <c r="C10" s="93"/>
      <c r="D10" s="93"/>
      <c r="E10" s="93"/>
      <c r="F10" s="93"/>
      <c r="G10" s="93"/>
      <c r="H10" s="98"/>
      <c r="I10" s="98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 spans="1:19" ht="31.5">
      <c r="A11" s="87"/>
      <c r="B11" s="103"/>
      <c r="C11" s="103"/>
      <c r="D11" s="130"/>
      <c r="E11" s="103" t="s">
        <v>477</v>
      </c>
      <c r="G11" s="93"/>
      <c r="H11" s="98"/>
      <c r="I11" s="98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5.75">
      <c r="A12" s="87"/>
      <c r="B12" s="103" t="s">
        <v>478</v>
      </c>
      <c r="C12" s="125">
        <f>SUM(C13:C18)+(C20*C21/1000)</f>
        <v>99.396799999999999</v>
      </c>
      <c r="D12" s="130"/>
      <c r="E12" s="103"/>
      <c r="G12" s="93"/>
      <c r="H12" s="98"/>
      <c r="I12" s="98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15.75">
      <c r="A13" s="87"/>
      <c r="B13" s="103" t="s">
        <v>479</v>
      </c>
      <c r="C13" s="103">
        <f>$C$19*E13/1000</f>
        <v>2.5920000000000001</v>
      </c>
      <c r="D13" s="130" t="s">
        <v>476</v>
      </c>
      <c r="E13" s="103">
        <v>0.8</v>
      </c>
      <c r="G13" s="93"/>
      <c r="H13" s="98"/>
      <c r="I13" s="98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31.5">
      <c r="A14" s="87"/>
      <c r="B14" s="103" t="s">
        <v>480</v>
      </c>
      <c r="C14" s="103">
        <f>$C$19*E14/1000</f>
        <v>3.8879999999999999</v>
      </c>
      <c r="D14" s="130" t="s">
        <v>476</v>
      </c>
      <c r="E14" s="103">
        <v>1.2</v>
      </c>
      <c r="G14" s="93"/>
      <c r="H14" s="98"/>
      <c r="I14" s="98"/>
      <c r="J14" s="87"/>
      <c r="K14" s="87"/>
      <c r="L14" s="87"/>
      <c r="M14" s="87"/>
      <c r="N14" s="87"/>
      <c r="O14" s="87"/>
      <c r="P14" s="87"/>
      <c r="Q14" s="87"/>
      <c r="R14" s="87"/>
      <c r="S14" s="87"/>
    </row>
    <row r="15" spans="1:19" ht="15.75">
      <c r="A15" s="87"/>
      <c r="B15" s="103" t="s">
        <v>481</v>
      </c>
      <c r="C15" s="103">
        <f>$C$19*E15/1000</f>
        <v>7.7759999999999998</v>
      </c>
      <c r="D15" s="130" t="s">
        <v>476</v>
      </c>
      <c r="E15" s="103">
        <v>2.4</v>
      </c>
      <c r="G15" s="93"/>
      <c r="H15" s="98"/>
      <c r="I15" s="98"/>
      <c r="J15" s="87"/>
      <c r="K15" s="87"/>
      <c r="L15" s="87"/>
      <c r="M15" s="87"/>
      <c r="N15" s="87"/>
      <c r="O15" s="87"/>
      <c r="P15" s="87"/>
      <c r="Q15" s="87"/>
      <c r="R15" s="87"/>
      <c r="S15" s="87"/>
    </row>
    <row r="16" spans="1:19" ht="15.75">
      <c r="A16" s="87"/>
      <c r="B16" s="103" t="s">
        <v>482</v>
      </c>
      <c r="C16" s="103">
        <f>$C$19*E16/1000</f>
        <v>3.8879999999999999</v>
      </c>
      <c r="D16" s="130" t="s">
        <v>476</v>
      </c>
      <c r="E16" s="103">
        <v>1.2</v>
      </c>
      <c r="G16" s="93"/>
      <c r="H16" s="98"/>
      <c r="I16" s="98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spans="1:19" ht="15.75">
      <c r="A17" s="87"/>
      <c r="B17" s="103" t="s">
        <v>483</v>
      </c>
      <c r="C17" s="130">
        <f>$C$19*E17/100</f>
        <v>48.6</v>
      </c>
      <c r="D17" s="103" t="s">
        <v>476</v>
      </c>
      <c r="E17" s="132">
        <v>1.5</v>
      </c>
      <c r="G17" s="93"/>
      <c r="H17" s="98"/>
      <c r="I17" s="98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 spans="1:19" ht="15.75">
      <c r="A18" s="87"/>
      <c r="B18" s="103" t="s">
        <v>412</v>
      </c>
      <c r="C18" s="130">
        <f>$C$19*E18/100</f>
        <v>32.4</v>
      </c>
      <c r="D18" s="103" t="s">
        <v>476</v>
      </c>
      <c r="E18" s="132">
        <v>1</v>
      </c>
      <c r="G18" s="93"/>
      <c r="H18" s="98"/>
      <c r="I18" s="98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 spans="1:19" ht="31.5">
      <c r="A19" s="87"/>
      <c r="B19" s="103" t="s">
        <v>484</v>
      </c>
      <c r="C19" s="130">
        <v>3240</v>
      </c>
      <c r="D19" s="103" t="s">
        <v>256</v>
      </c>
      <c r="E19" s="87"/>
      <c r="F19" s="87"/>
      <c r="G19" s="93"/>
      <c r="H19" s="98"/>
      <c r="I19" s="98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1:19" ht="15.75">
      <c r="A20" s="87"/>
      <c r="B20" s="103" t="s">
        <v>485</v>
      </c>
      <c r="C20" s="133">
        <f>ROUNDUP((C22*C23*C24*C25)/C21,0)</f>
        <v>316</v>
      </c>
      <c r="D20" s="103" t="s">
        <v>486</v>
      </c>
      <c r="E20" s="87"/>
      <c r="F20" s="87"/>
      <c r="G20" s="93"/>
      <c r="H20" s="98"/>
      <c r="I20" s="98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31.5">
      <c r="A21" s="87"/>
      <c r="B21" s="103" t="s">
        <v>487</v>
      </c>
      <c r="C21" s="130">
        <v>0.8</v>
      </c>
      <c r="D21" s="103" t="s">
        <v>476</v>
      </c>
      <c r="E21" s="87"/>
      <c r="F21" s="87"/>
      <c r="G21" s="93"/>
      <c r="H21" s="98"/>
      <c r="I21" s="98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15.75">
      <c r="A22" s="87"/>
      <c r="B22" s="103" t="s">
        <v>488</v>
      </c>
      <c r="C22" s="130">
        <v>0.13</v>
      </c>
      <c r="D22" s="103"/>
      <c r="E22" s="87"/>
      <c r="F22" s="87"/>
      <c r="G22" s="93"/>
      <c r="H22" s="98"/>
      <c r="I22" s="98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3" spans="1:19" ht="15.75">
      <c r="A23" s="87"/>
      <c r="B23" s="103" t="s">
        <v>489</v>
      </c>
      <c r="C23" s="130">
        <v>2</v>
      </c>
      <c r="D23" s="103" t="s">
        <v>490</v>
      </c>
      <c r="E23" s="87"/>
      <c r="F23" s="87"/>
      <c r="G23" s="93"/>
      <c r="H23" s="98"/>
      <c r="I23" s="98"/>
      <c r="J23" s="87"/>
      <c r="K23" s="87"/>
      <c r="L23" s="87"/>
      <c r="M23" s="87"/>
      <c r="N23" s="87"/>
      <c r="O23" s="87"/>
      <c r="P23" s="87"/>
      <c r="Q23" s="87"/>
      <c r="R23" s="87"/>
      <c r="S23" s="87"/>
    </row>
    <row r="24" spans="1:19" ht="15.75">
      <c r="A24" s="87"/>
      <c r="B24" s="103" t="s">
        <v>491</v>
      </c>
      <c r="C24" s="130">
        <v>1.5</v>
      </c>
      <c r="D24" s="103"/>
      <c r="E24" s="87"/>
      <c r="F24" s="87"/>
      <c r="G24" s="93"/>
      <c r="H24" s="98"/>
      <c r="I24" s="98"/>
      <c r="J24" s="87"/>
      <c r="K24" s="87"/>
      <c r="L24" s="87"/>
      <c r="M24" s="87"/>
      <c r="N24" s="87"/>
      <c r="O24" s="87"/>
      <c r="P24" s="87"/>
      <c r="Q24" s="87"/>
      <c r="R24" s="87"/>
      <c r="S24" s="87"/>
    </row>
    <row r="25" spans="1:19" ht="31.5">
      <c r="A25" s="87"/>
      <c r="B25" s="103" t="s">
        <v>492</v>
      </c>
      <c r="C25" s="130">
        <v>648</v>
      </c>
      <c r="D25" s="103" t="s">
        <v>256</v>
      </c>
      <c r="E25" s="87"/>
      <c r="F25" s="87"/>
      <c r="G25" s="93"/>
      <c r="H25" s="98"/>
      <c r="I25" s="98"/>
      <c r="J25" s="87"/>
      <c r="K25" s="87"/>
      <c r="L25" s="87"/>
      <c r="M25" s="87"/>
      <c r="N25" s="87"/>
      <c r="O25" s="87"/>
      <c r="P25" s="87"/>
      <c r="Q25" s="87"/>
      <c r="R25" s="87"/>
      <c r="S25" s="87"/>
    </row>
    <row r="26" spans="1:19" ht="15.75">
      <c r="A26" s="87"/>
      <c r="B26" s="93"/>
      <c r="C26" s="93"/>
      <c r="D26" s="93"/>
      <c r="E26" s="87"/>
      <c r="F26" s="87"/>
      <c r="G26" s="93"/>
      <c r="H26" s="98"/>
      <c r="I26" s="98"/>
      <c r="J26" s="87"/>
      <c r="K26" s="87"/>
      <c r="L26" s="87"/>
      <c r="M26" s="87"/>
      <c r="N26" s="87"/>
      <c r="O26" s="87"/>
      <c r="P26" s="87"/>
      <c r="Q26" s="87"/>
      <c r="R26" s="87"/>
      <c r="S26" s="87"/>
    </row>
    <row r="27" spans="1:19" ht="15.75">
      <c r="A27" s="87"/>
      <c r="B27" s="134" t="s">
        <v>499</v>
      </c>
      <c r="C27" s="135">
        <f>_xlfn.CEILING.MATH(C12+C3, 50)</f>
        <v>400</v>
      </c>
      <c r="D27" s="131"/>
      <c r="E27" s="131"/>
      <c r="F27" s="87"/>
      <c r="G27" s="131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 spans="1:19" ht="15.75">
      <c r="A28" s="87"/>
      <c r="B28" s="121" t="s">
        <v>500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</row>
    <row r="29" spans="1:19" ht="15.75">
      <c r="A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</row>
    <row r="30" spans="1:19" ht="15.75">
      <c r="A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</row>
    <row r="31" spans="1:19" ht="15.7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 spans="1:19" ht="15.7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</row>
    <row r="33" spans="1:20" ht="15.75">
      <c r="A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</row>
    <row r="34" spans="1:20" ht="15.7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</row>
    <row r="35" spans="1:20" ht="15.75">
      <c r="A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</row>
    <row r="36" spans="1:20" ht="15.7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</row>
    <row r="37" spans="1:20" ht="15.7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 spans="1:20" ht="15.7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</row>
    <row r="39" spans="1:20" ht="15.7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 spans="1:20" ht="15.75">
      <c r="A40" s="87"/>
      <c r="B40" s="205"/>
      <c r="C40" s="205"/>
      <c r="D40" s="205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</row>
    <row r="41" spans="1:20" ht="15.7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 spans="1:20" ht="15.7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</row>
    <row r="43" spans="1:20" ht="15.7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 spans="1:20" ht="15.7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</row>
    <row r="45" spans="1:20" ht="15.7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1:20" ht="15.7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</row>
    <row r="47" spans="1:20" ht="15.7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  <row r="48" spans="1:20" ht="15.7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</row>
    <row r="49" spans="1:19" ht="15.7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 spans="1:19" ht="15.7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</row>
    <row r="51" spans="1:19" ht="15.7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 spans="1:19" ht="15.7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</row>
    <row r="53" spans="1:19" ht="15.7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</row>
    <row r="54" spans="1:19" ht="15.75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</row>
    <row r="55" spans="1:19" ht="15.7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</row>
    <row r="56" spans="1:19" ht="15.7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19" ht="15.7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19" ht="15.7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19" ht="15.7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19" ht="15.7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19" ht="15.7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19" ht="15.7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19" ht="15.7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19" ht="15.7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t="15.7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t="15.7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15.7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</row>
    <row r="68" spans="1:19" ht="15.75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</row>
    <row r="69" spans="1:19" ht="15.75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</row>
    <row r="70" spans="1:19" ht="15.75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</row>
    <row r="71" spans="1:19" ht="15.75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</row>
    <row r="72" spans="1:19" ht="15.75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</row>
    <row r="73" spans="1:19" ht="15.75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</row>
    <row r="74" spans="1:19" ht="15.75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</row>
    <row r="75" spans="1:19" ht="15.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</row>
    <row r="76" spans="1:19" ht="15.75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</row>
    <row r="77" spans="1:19" ht="15.75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</row>
    <row r="78" spans="1:19" ht="15.75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15.75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15.75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15.75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 ht="15.75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 ht="15.7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15.75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15.7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15.75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 ht="15.75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 ht="15.7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15.7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 ht="15.75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15.7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15.75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 ht="15.75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15.75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 ht="15.7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15.75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 ht="15.75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5.75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15.75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15.7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 ht="15.75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 ht="15.7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 ht="15.75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15.7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 ht="15.7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 ht="15.75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15.75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15.75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15.75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15.7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 ht="15.7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15.75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 ht="15.75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15.75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15.7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15.75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 ht="15.75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15.7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15.75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15.7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15.75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 ht="15.7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15.7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 ht="15.7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 ht="15.7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 ht="15.75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15.75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 ht="15.75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 ht="15.7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 ht="15.75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 ht="15.75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 ht="15.7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 ht="15.75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 ht="15.75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 ht="15.7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 ht="15.75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 ht="15.7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 ht="15.7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 ht="15.75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 ht="15.7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 ht="15.7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 ht="15.7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 ht="15.7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 ht="15.7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 ht="15.7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 ht="15.75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 ht="15.75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 ht="15.75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 ht="15.7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 ht="15.75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 ht="15.7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 ht="15.75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 ht="15.75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 ht="15.75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 ht="15.7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 ht="15.75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 ht="15.7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 ht="15.75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 ht="15.75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 ht="15.75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 ht="15.75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 ht="15.75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 ht="15.7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 ht="15.7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</sheetData>
  <mergeCells count="1">
    <mergeCell ref="B40:D40"/>
  </mergeCells>
  <hyperlinks>
    <hyperlink ref="B28" r:id="rId1" xr:uid="{0634AB55-A71F-45C9-9EF9-9B8CF714A89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5:M21"/>
  <sheetViews>
    <sheetView zoomScaleNormal="100" workbookViewId="0">
      <selection activeCell="B15" sqref="B15"/>
    </sheetView>
  </sheetViews>
  <sheetFormatPr defaultColWidth="9.140625" defaultRowHeight="15"/>
  <cols>
    <col min="2" max="2" width="39.7109375" customWidth="1"/>
    <col min="3" max="3" width="14.7109375" customWidth="1"/>
    <col min="5" max="5" width="16.28515625" customWidth="1"/>
    <col min="6" max="6" width="12.85546875" customWidth="1"/>
    <col min="7" max="7" width="11.85546875" customWidth="1"/>
  </cols>
  <sheetData>
    <row r="5" spans="2:13" ht="29.65" customHeight="1">
      <c r="B5" s="163" t="s">
        <v>16</v>
      </c>
      <c r="C5" s="164" t="s">
        <v>113</v>
      </c>
      <c r="D5" s="164"/>
      <c r="E5" s="164"/>
      <c r="F5" s="18" t="s">
        <v>19</v>
      </c>
      <c r="G5" s="19" t="s">
        <v>114</v>
      </c>
      <c r="H5" s="165" t="s">
        <v>21</v>
      </c>
      <c r="I5" s="165" t="s">
        <v>22</v>
      </c>
      <c r="J5" s="166" t="s">
        <v>23</v>
      </c>
      <c r="K5" s="160" t="s">
        <v>115</v>
      </c>
      <c r="L5" s="160" t="s">
        <v>116</v>
      </c>
      <c r="M5" s="160" t="s">
        <v>117</v>
      </c>
    </row>
    <row r="6" spans="2:13" ht="31.5">
      <c r="B6" s="163"/>
      <c r="C6" s="161" t="s">
        <v>118</v>
      </c>
      <c r="D6" s="161"/>
      <c r="E6" s="161"/>
      <c r="F6" s="20" t="s">
        <v>119</v>
      </c>
      <c r="G6" s="20" t="s">
        <v>120</v>
      </c>
      <c r="H6" s="165"/>
      <c r="I6" s="165"/>
      <c r="J6" s="166"/>
      <c r="K6" s="160"/>
      <c r="L6" s="160"/>
      <c r="M6" s="160"/>
    </row>
    <row r="7" spans="2:13">
      <c r="B7" s="21" t="s">
        <v>121</v>
      </c>
      <c r="C7" s="162">
        <v>1</v>
      </c>
      <c r="D7" s="162"/>
      <c r="E7" s="162"/>
      <c r="F7" s="22">
        <f>Ведомость!H70</f>
        <v>10058.687618</v>
      </c>
      <c r="G7" s="22">
        <f>Ведомость!K70</f>
        <v>955.17612299999996</v>
      </c>
      <c r="H7" s="22" t="s">
        <v>122</v>
      </c>
      <c r="I7" s="22" t="s">
        <v>122</v>
      </c>
      <c r="J7" s="22" t="s">
        <v>122</v>
      </c>
      <c r="K7" s="22" t="s">
        <v>122</v>
      </c>
      <c r="L7" s="22" t="s">
        <v>122</v>
      </c>
      <c r="M7" s="22" t="s">
        <v>122</v>
      </c>
    </row>
    <row r="8" spans="2:13">
      <c r="B8" s="23" t="s">
        <v>123</v>
      </c>
      <c r="C8" s="159">
        <v>0.08</v>
      </c>
      <c r="D8" s="159"/>
      <c r="E8" s="159"/>
      <c r="F8" s="1">
        <f t="shared" ref="F8:F17" si="0">C8*$F$7</f>
        <v>804.69500944000004</v>
      </c>
      <c r="G8" s="1">
        <f t="shared" ref="G8:G17" si="1">$G$7*C8</f>
        <v>76.414089840000003</v>
      </c>
      <c r="H8" s="1">
        <v>6</v>
      </c>
      <c r="I8" s="1">
        <v>2</v>
      </c>
      <c r="J8" s="1">
        <v>2</v>
      </c>
      <c r="K8" s="1">
        <f t="shared" ref="K8:K17" si="2">ROUNDUP(G8/(I8*8*J8),0)</f>
        <v>3</v>
      </c>
      <c r="L8" s="1">
        <f t="shared" ref="L8:L17" si="3">ROUNDUP(F8/(H8*8*J8),0)</f>
        <v>9</v>
      </c>
      <c r="M8" s="1">
        <f t="shared" ref="M8:M17" si="4">MAX(K8,L8)</f>
        <v>9</v>
      </c>
    </row>
    <row r="9" spans="2:13">
      <c r="B9" s="23" t="s">
        <v>124</v>
      </c>
      <c r="C9" s="159">
        <v>0.05</v>
      </c>
      <c r="D9" s="159"/>
      <c r="E9" s="159"/>
      <c r="F9" s="1">
        <f t="shared" si="0"/>
        <v>502.93438090000001</v>
      </c>
      <c r="G9" s="1">
        <f t="shared" si="1"/>
        <v>47.758806149999998</v>
      </c>
      <c r="H9" s="1">
        <v>5</v>
      </c>
      <c r="I9" s="1">
        <v>2</v>
      </c>
      <c r="J9" s="1">
        <v>2</v>
      </c>
      <c r="K9" s="1">
        <f t="shared" si="2"/>
        <v>2</v>
      </c>
      <c r="L9" s="1">
        <f t="shared" si="3"/>
        <v>7</v>
      </c>
      <c r="M9" s="1">
        <f t="shared" si="4"/>
        <v>7</v>
      </c>
    </row>
    <row r="10" spans="2:13">
      <c r="B10" s="23" t="s">
        <v>125</v>
      </c>
      <c r="C10" s="159">
        <v>7.0000000000000007E-2</v>
      </c>
      <c r="D10" s="159"/>
      <c r="E10" s="159"/>
      <c r="F10" s="1">
        <f t="shared" si="0"/>
        <v>704.10813326000005</v>
      </c>
      <c r="G10" s="1">
        <f t="shared" si="1"/>
        <v>66.862328610000006</v>
      </c>
      <c r="H10" s="1">
        <v>6</v>
      </c>
      <c r="I10" s="1">
        <v>1</v>
      </c>
      <c r="J10" s="1">
        <v>2</v>
      </c>
      <c r="K10" s="1">
        <f t="shared" si="2"/>
        <v>5</v>
      </c>
      <c r="L10" s="1">
        <f t="shared" si="3"/>
        <v>8</v>
      </c>
      <c r="M10" s="1">
        <f t="shared" si="4"/>
        <v>8</v>
      </c>
    </row>
    <row r="11" spans="2:13">
      <c r="B11" s="23" t="s">
        <v>126</v>
      </c>
      <c r="C11" s="159">
        <v>0.04</v>
      </c>
      <c r="D11" s="159"/>
      <c r="E11" s="159"/>
      <c r="F11" s="1">
        <f t="shared" si="0"/>
        <v>402.34750472000002</v>
      </c>
      <c r="G11" s="1">
        <f t="shared" si="1"/>
        <v>38.207044920000001</v>
      </c>
      <c r="H11" s="1">
        <v>5</v>
      </c>
      <c r="I11" s="1">
        <v>1</v>
      </c>
      <c r="J11" s="1">
        <v>2</v>
      </c>
      <c r="K11" s="1">
        <f t="shared" si="2"/>
        <v>3</v>
      </c>
      <c r="L11" s="1">
        <f t="shared" si="3"/>
        <v>6</v>
      </c>
      <c r="M11" s="1">
        <f t="shared" si="4"/>
        <v>6</v>
      </c>
    </row>
    <row r="12" spans="2:13">
      <c r="B12" s="23" t="s">
        <v>127</v>
      </c>
      <c r="C12" s="159">
        <v>0.06</v>
      </c>
      <c r="D12" s="159"/>
      <c r="E12" s="159"/>
      <c r="F12" s="1">
        <f t="shared" si="0"/>
        <v>603.52125707999994</v>
      </c>
      <c r="G12" s="1">
        <f t="shared" si="1"/>
        <v>57.310567379999995</v>
      </c>
      <c r="H12" s="1">
        <v>9</v>
      </c>
      <c r="I12" s="1">
        <v>1</v>
      </c>
      <c r="J12" s="1">
        <v>2</v>
      </c>
      <c r="K12" s="1">
        <f t="shared" si="2"/>
        <v>4</v>
      </c>
      <c r="L12" s="1">
        <f t="shared" si="3"/>
        <v>5</v>
      </c>
      <c r="M12" s="1">
        <f t="shared" si="4"/>
        <v>5</v>
      </c>
    </row>
    <row r="13" spans="2:13">
      <c r="B13" s="23" t="s">
        <v>128</v>
      </c>
      <c r="C13" s="159">
        <v>0.06</v>
      </c>
      <c r="D13" s="159"/>
      <c r="E13" s="159"/>
      <c r="F13" s="1">
        <f t="shared" si="0"/>
        <v>603.52125707999994</v>
      </c>
      <c r="G13" s="1">
        <f t="shared" si="1"/>
        <v>57.310567379999995</v>
      </c>
      <c r="H13" s="1">
        <v>4</v>
      </c>
      <c r="I13" s="1">
        <v>1</v>
      </c>
      <c r="J13" s="1">
        <v>2</v>
      </c>
      <c r="K13" s="1">
        <f t="shared" si="2"/>
        <v>4</v>
      </c>
      <c r="L13" s="1">
        <f t="shared" si="3"/>
        <v>10</v>
      </c>
      <c r="M13" s="1">
        <f t="shared" si="4"/>
        <v>10</v>
      </c>
    </row>
    <row r="14" spans="2:13">
      <c r="B14" s="23" t="s">
        <v>129</v>
      </c>
      <c r="C14" s="159">
        <v>5.0000000000000001E-3</v>
      </c>
      <c r="D14" s="159"/>
      <c r="E14" s="159"/>
      <c r="F14" s="1">
        <f t="shared" si="0"/>
        <v>50.293438090000002</v>
      </c>
      <c r="G14" s="1">
        <f t="shared" si="1"/>
        <v>4.7758806150000002</v>
      </c>
      <c r="H14" s="1">
        <v>4</v>
      </c>
      <c r="I14" s="1">
        <v>1</v>
      </c>
      <c r="J14" s="1">
        <v>1</v>
      </c>
      <c r="K14" s="1">
        <f t="shared" si="2"/>
        <v>1</v>
      </c>
      <c r="L14" s="1">
        <f t="shared" si="3"/>
        <v>2</v>
      </c>
      <c r="M14" s="1">
        <f t="shared" si="4"/>
        <v>2</v>
      </c>
    </row>
    <row r="15" spans="2:13">
      <c r="B15" s="23" t="s">
        <v>130</v>
      </c>
      <c r="C15" s="159">
        <v>0.08</v>
      </c>
      <c r="D15" s="159"/>
      <c r="E15" s="159"/>
      <c r="F15" s="1">
        <f t="shared" si="0"/>
        <v>804.69500944000004</v>
      </c>
      <c r="G15" s="1">
        <f t="shared" si="1"/>
        <v>76.414089840000003</v>
      </c>
      <c r="H15" s="1">
        <v>4</v>
      </c>
      <c r="I15" s="1">
        <v>1</v>
      </c>
      <c r="J15" s="1">
        <v>2</v>
      </c>
      <c r="K15" s="1">
        <f t="shared" si="2"/>
        <v>5</v>
      </c>
      <c r="L15" s="1">
        <f t="shared" si="3"/>
        <v>13</v>
      </c>
      <c r="M15" s="1">
        <f t="shared" si="4"/>
        <v>13</v>
      </c>
    </row>
    <row r="16" spans="2:13">
      <c r="B16" s="23" t="s">
        <v>131</v>
      </c>
      <c r="C16" s="159">
        <v>7.0000000000000007E-2</v>
      </c>
      <c r="D16" s="159"/>
      <c r="E16" s="159"/>
      <c r="F16" s="1">
        <f t="shared" si="0"/>
        <v>704.10813326000005</v>
      </c>
      <c r="G16" s="1">
        <f t="shared" si="1"/>
        <v>66.862328610000006</v>
      </c>
      <c r="H16" s="1">
        <v>4</v>
      </c>
      <c r="I16" s="1">
        <v>1</v>
      </c>
      <c r="J16" s="1">
        <v>2</v>
      </c>
      <c r="K16" s="1">
        <f t="shared" si="2"/>
        <v>5</v>
      </c>
      <c r="L16" s="1">
        <f t="shared" si="3"/>
        <v>12</v>
      </c>
      <c r="M16" s="1">
        <f t="shared" si="4"/>
        <v>12</v>
      </c>
    </row>
    <row r="17" spans="2:13">
      <c r="B17" s="23" t="s">
        <v>132</v>
      </c>
      <c r="C17" s="159">
        <v>0.03</v>
      </c>
      <c r="D17" s="159"/>
      <c r="E17" s="159"/>
      <c r="F17" s="1">
        <f t="shared" si="0"/>
        <v>301.76062853999997</v>
      </c>
      <c r="G17" s="1">
        <f t="shared" si="1"/>
        <v>28.655283689999997</v>
      </c>
      <c r="H17" s="1">
        <v>4</v>
      </c>
      <c r="I17" s="1">
        <v>1</v>
      </c>
      <c r="J17" s="1">
        <v>2</v>
      </c>
      <c r="K17" s="1">
        <f t="shared" si="2"/>
        <v>2</v>
      </c>
      <c r="L17" s="1">
        <f t="shared" si="3"/>
        <v>5</v>
      </c>
      <c r="M17" s="1">
        <f t="shared" si="4"/>
        <v>5</v>
      </c>
    </row>
    <row r="19" spans="2:13">
      <c r="M19" s="11">
        <f>(SUM(M8:M17))/30</f>
        <v>2.5666666666666669</v>
      </c>
    </row>
    <row r="21" spans="2:13">
      <c r="M21" s="24">
        <f>M19+Ведомость!Q70</f>
        <v>9.2000000000000011</v>
      </c>
    </row>
  </sheetData>
  <mergeCells count="20">
    <mergeCell ref="B5:B6"/>
    <mergeCell ref="C5:E5"/>
    <mergeCell ref="H5:H6"/>
    <mergeCell ref="I5:I6"/>
    <mergeCell ref="J5:J6"/>
    <mergeCell ref="K5:K6"/>
    <mergeCell ref="L5:L6"/>
    <mergeCell ref="M5:M6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</mergeCells>
  <pageMargins left="0.78749999999999998" right="0.78749999999999998" top="1.05277777777778" bottom="1.05277777777778" header="0.78749999999999998" footer="0.78749999999999998"/>
  <pageSetup paperSize="11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D2FF-6794-4D49-A74F-0C7DB31C0219}">
  <sheetPr codeName="Лист3"/>
  <dimension ref="A1:AC227"/>
  <sheetViews>
    <sheetView zoomScaleNormal="100" workbookViewId="0">
      <selection activeCell="K77" sqref="A1:K77"/>
    </sheetView>
  </sheetViews>
  <sheetFormatPr defaultColWidth="9.140625" defaultRowHeight="12"/>
  <cols>
    <col min="1" max="1" width="3.5703125" style="42" bestFit="1" customWidth="1"/>
    <col min="2" max="2" width="30.28515625" style="42" customWidth="1"/>
    <col min="3" max="3" width="6.42578125" style="42" bestFit="1" customWidth="1"/>
    <col min="4" max="4" width="4.7109375" style="42" bestFit="1" customWidth="1"/>
    <col min="5" max="5" width="22" style="42" bestFit="1" customWidth="1"/>
    <col min="6" max="6" width="6.7109375" style="42" bestFit="1" customWidth="1"/>
    <col min="7" max="7" width="10" style="42" customWidth="1"/>
    <col min="8" max="8" width="13.140625" style="42" customWidth="1"/>
    <col min="9" max="9" width="19.28515625" style="42" customWidth="1"/>
    <col min="10" max="10" width="7.28515625" style="42" customWidth="1"/>
    <col min="11" max="11" width="6.7109375" style="42" bestFit="1" customWidth="1"/>
    <col min="12" max="12" width="4.28515625" style="42" customWidth="1"/>
    <col min="13" max="13" width="14" style="42" bestFit="1" customWidth="1"/>
    <col min="14" max="25" width="9.140625" style="42"/>
    <col min="26" max="26" width="9.140625" style="42" customWidth="1"/>
    <col min="27" max="16384" width="9.140625" style="42"/>
  </cols>
  <sheetData>
    <row r="1" spans="1:29" ht="15" customHeight="1">
      <c r="A1" s="169" t="s">
        <v>15</v>
      </c>
      <c r="B1" s="170" t="s">
        <v>133</v>
      </c>
      <c r="C1" s="170" t="s">
        <v>134</v>
      </c>
      <c r="D1" s="170" t="s">
        <v>135</v>
      </c>
      <c r="E1" s="171" t="s">
        <v>136</v>
      </c>
      <c r="F1" s="172" t="s">
        <v>137</v>
      </c>
      <c r="G1" s="172"/>
      <c r="H1" s="172"/>
      <c r="I1" s="172"/>
      <c r="J1" s="168" t="s">
        <v>138</v>
      </c>
      <c r="K1" s="168"/>
      <c r="S1" s="173"/>
      <c r="T1" s="174"/>
      <c r="U1" s="174"/>
      <c r="V1" s="174"/>
      <c r="W1" s="175"/>
      <c r="X1" s="176"/>
      <c r="Y1" s="176"/>
      <c r="Z1" s="176"/>
      <c r="AA1" s="176"/>
      <c r="AB1" s="167"/>
      <c r="AC1" s="167"/>
    </row>
    <row r="2" spans="1:29" ht="43.9" customHeight="1">
      <c r="A2" s="169"/>
      <c r="B2" s="170"/>
      <c r="C2" s="170"/>
      <c r="D2" s="170"/>
      <c r="E2" s="171"/>
      <c r="F2" s="143" t="s">
        <v>139</v>
      </c>
      <c r="G2" s="143" t="s">
        <v>140</v>
      </c>
      <c r="H2" s="144" t="s">
        <v>141</v>
      </c>
      <c r="I2" s="144" t="s">
        <v>142</v>
      </c>
      <c r="J2" s="144" t="s">
        <v>143</v>
      </c>
      <c r="K2" s="144" t="s">
        <v>144</v>
      </c>
      <c r="S2" s="173"/>
      <c r="T2" s="174"/>
      <c r="U2" s="174"/>
      <c r="V2" s="174"/>
      <c r="W2" s="175"/>
      <c r="X2" s="46"/>
      <c r="Y2" s="46"/>
      <c r="Z2" s="47"/>
      <c r="AA2" s="47"/>
      <c r="AB2" s="47"/>
      <c r="AC2" s="47"/>
    </row>
    <row r="3" spans="1:29" ht="24">
      <c r="A3" s="33">
        <v>1</v>
      </c>
      <c r="B3" s="31" t="s">
        <v>145</v>
      </c>
      <c r="C3" s="145">
        <v>1</v>
      </c>
      <c r="D3" s="33">
        <v>2</v>
      </c>
      <c r="E3" s="33">
        <v>5</v>
      </c>
      <c r="F3" s="146">
        <f>IF($C3=1,0,_xlfn.MAXIFS($G$3:$G$108,$D$3:$D$108,$C3))</f>
        <v>0</v>
      </c>
      <c r="G3" s="146">
        <f>F3+E3</f>
        <v>5</v>
      </c>
      <c r="H3" s="33">
        <f t="shared" ref="H3:H67" si="0">I3-E3</f>
        <v>0</v>
      </c>
      <c r="I3" s="146">
        <f>IF($D3=MAX($D$3:$D$77),MAX($G$3:$G$77),_xlfn.MINIFS($H$3:$H$77,$C$3:$C$77,$D3))</f>
        <v>5</v>
      </c>
      <c r="J3" s="146">
        <f>IF(E3=0,"-",I3-G3)</f>
        <v>0</v>
      </c>
      <c r="K3" s="146">
        <f>IF($E3=0,"-",_xlfn.MAXIFS($G$3:$G$108,$D$3:$D$108,$D3)-($F3+$E3))</f>
        <v>0</v>
      </c>
      <c r="S3" s="37"/>
      <c r="T3" s="48"/>
      <c r="U3" s="49"/>
      <c r="V3" s="37"/>
      <c r="W3" s="37"/>
      <c r="X3" s="38"/>
      <c r="Y3" s="38"/>
      <c r="Z3" s="39"/>
      <c r="AA3" s="38"/>
      <c r="AB3" s="38"/>
      <c r="AC3" s="38"/>
    </row>
    <row r="4" spans="1:29">
      <c r="A4" s="33">
        <f>A3+1</f>
        <v>2</v>
      </c>
      <c r="B4" s="31" t="s">
        <v>1</v>
      </c>
      <c r="C4" s="32">
        <v>2</v>
      </c>
      <c r="D4" s="33">
        <v>3</v>
      </c>
      <c r="E4" s="33">
        <v>1</v>
      </c>
      <c r="F4" s="146">
        <f t="shared" ref="F4:F67" si="1">IF($C4=1,0,_xlfn.MAXIFS($G$3:$G$108,$D$3:$D$108,$C4))</f>
        <v>5</v>
      </c>
      <c r="G4" s="146">
        <f t="shared" ref="G4:G67" si="2">F4+E4</f>
        <v>6</v>
      </c>
      <c r="H4" s="33">
        <f t="shared" si="0"/>
        <v>5</v>
      </c>
      <c r="I4" s="146">
        <f t="shared" ref="I4:I67" si="3">IF($D4=MAX($D$3:$D$77),MAX($G$3:$G$77),_xlfn.MINIFS($H$3:$H$77,$C$3:$C$77,$D4))</f>
        <v>6</v>
      </c>
      <c r="J4" s="146">
        <f t="shared" ref="J4:J67" si="4">IF(E4=0,"-",I4-G4)</f>
        <v>0</v>
      </c>
      <c r="K4" s="146">
        <f t="shared" ref="K4:K67" si="5">IF($E4=0,"-",_xlfn.MAXIFS($G$3:$G$108,$D$3:$D$108,$D4)-($F4+$E4))</f>
        <v>0</v>
      </c>
      <c r="S4" s="37"/>
      <c r="T4" s="48"/>
      <c r="U4" s="50"/>
      <c r="V4" s="37"/>
      <c r="W4" s="37"/>
      <c r="X4" s="38"/>
      <c r="Y4" s="38"/>
      <c r="Z4" s="39"/>
      <c r="AA4" s="38"/>
      <c r="AB4" s="38"/>
      <c r="AC4" s="38"/>
    </row>
    <row r="5" spans="1:29" ht="24">
      <c r="A5" s="33">
        <f t="shared" ref="A5:A68" si="6">A4+1</f>
        <v>3</v>
      </c>
      <c r="B5" s="31" t="s">
        <v>146</v>
      </c>
      <c r="C5" s="34">
        <v>2</v>
      </c>
      <c r="D5" s="33">
        <v>56</v>
      </c>
      <c r="E5" s="33">
        <v>13</v>
      </c>
      <c r="F5" s="146">
        <f t="shared" si="1"/>
        <v>5</v>
      </c>
      <c r="G5" s="146">
        <f t="shared" si="2"/>
        <v>18</v>
      </c>
      <c r="H5" s="33">
        <f t="shared" si="0"/>
        <v>127</v>
      </c>
      <c r="I5" s="146">
        <f t="shared" si="3"/>
        <v>140</v>
      </c>
      <c r="J5" s="146">
        <f t="shared" si="4"/>
        <v>122</v>
      </c>
      <c r="K5" s="146">
        <f t="shared" si="5"/>
        <v>122</v>
      </c>
      <c r="S5" s="37"/>
      <c r="T5" s="48"/>
      <c r="U5" s="51"/>
      <c r="V5" s="37"/>
      <c r="W5" s="37"/>
      <c r="X5" s="38"/>
      <c r="Y5" s="38"/>
      <c r="Z5" s="39"/>
      <c r="AA5" s="38"/>
      <c r="AB5" s="38"/>
      <c r="AC5" s="38"/>
    </row>
    <row r="6" spans="1:29" ht="24">
      <c r="A6" s="33">
        <f t="shared" si="6"/>
        <v>4</v>
      </c>
      <c r="B6" s="31" t="s">
        <v>147</v>
      </c>
      <c r="C6" s="34">
        <v>3</v>
      </c>
      <c r="D6" s="33">
        <v>4</v>
      </c>
      <c r="E6" s="33">
        <v>4</v>
      </c>
      <c r="F6" s="146">
        <f t="shared" si="1"/>
        <v>6</v>
      </c>
      <c r="G6" s="146">
        <f t="shared" si="2"/>
        <v>10</v>
      </c>
      <c r="H6" s="33">
        <f t="shared" si="0"/>
        <v>6</v>
      </c>
      <c r="I6" s="146">
        <f t="shared" si="3"/>
        <v>10</v>
      </c>
      <c r="J6" s="146">
        <f t="shared" si="4"/>
        <v>0</v>
      </c>
      <c r="K6" s="146">
        <f t="shared" si="5"/>
        <v>0</v>
      </c>
      <c r="S6" s="37"/>
      <c r="T6" s="48"/>
      <c r="U6" s="51"/>
      <c r="V6" s="37"/>
      <c r="W6" s="37"/>
      <c r="X6" s="38"/>
      <c r="Y6" s="38"/>
      <c r="Z6" s="39"/>
      <c r="AA6" s="38"/>
      <c r="AB6" s="38"/>
      <c r="AC6" s="38"/>
    </row>
    <row r="7" spans="1:29" ht="36" customHeight="1">
      <c r="A7" s="33">
        <f t="shared" si="6"/>
        <v>5</v>
      </c>
      <c r="B7" s="31" t="s">
        <v>9</v>
      </c>
      <c r="C7" s="32">
        <v>4</v>
      </c>
      <c r="D7" s="33">
        <v>5</v>
      </c>
      <c r="E7" s="33">
        <v>5</v>
      </c>
      <c r="F7" s="146">
        <f t="shared" si="1"/>
        <v>10</v>
      </c>
      <c r="G7" s="146">
        <f t="shared" si="2"/>
        <v>15</v>
      </c>
      <c r="H7" s="33">
        <f t="shared" si="0"/>
        <v>10</v>
      </c>
      <c r="I7" s="146">
        <f t="shared" si="3"/>
        <v>15</v>
      </c>
      <c r="J7" s="146">
        <f t="shared" si="4"/>
        <v>0</v>
      </c>
      <c r="K7" s="146">
        <f t="shared" si="5"/>
        <v>0</v>
      </c>
      <c r="S7" s="37"/>
      <c r="T7" s="48"/>
      <c r="U7" s="50"/>
      <c r="V7" s="37"/>
      <c r="W7" s="37"/>
      <c r="X7" s="38"/>
      <c r="Y7" s="38"/>
      <c r="Z7" s="39"/>
      <c r="AA7" s="38"/>
      <c r="AB7" s="38"/>
      <c r="AC7" s="38"/>
    </row>
    <row r="8" spans="1:29" ht="23.45" customHeight="1">
      <c r="A8" s="33">
        <f t="shared" si="6"/>
        <v>6</v>
      </c>
      <c r="B8" s="31" t="s">
        <v>37</v>
      </c>
      <c r="C8" s="32">
        <v>5</v>
      </c>
      <c r="D8" s="33">
        <v>6</v>
      </c>
      <c r="E8" s="33">
        <v>7</v>
      </c>
      <c r="F8" s="146">
        <f t="shared" si="1"/>
        <v>15</v>
      </c>
      <c r="G8" s="146">
        <f t="shared" si="2"/>
        <v>22</v>
      </c>
      <c r="H8" s="33">
        <f t="shared" si="0"/>
        <v>15</v>
      </c>
      <c r="I8" s="146">
        <f t="shared" si="3"/>
        <v>22</v>
      </c>
      <c r="J8" s="146">
        <f t="shared" si="4"/>
        <v>0</v>
      </c>
      <c r="K8" s="146">
        <f t="shared" si="5"/>
        <v>0</v>
      </c>
      <c r="S8" s="37"/>
      <c r="T8" s="48"/>
      <c r="U8" s="50"/>
      <c r="V8" s="37"/>
      <c r="W8" s="37"/>
      <c r="X8" s="38"/>
      <c r="Y8" s="38"/>
      <c r="Z8" s="39"/>
      <c r="AA8" s="38"/>
      <c r="AB8" s="38"/>
      <c r="AC8" s="38"/>
    </row>
    <row r="9" spans="1:29" ht="24">
      <c r="A9" s="33">
        <f t="shared" si="6"/>
        <v>7</v>
      </c>
      <c r="B9" s="31" t="s">
        <v>148</v>
      </c>
      <c r="C9" s="34">
        <v>5</v>
      </c>
      <c r="D9" s="33">
        <v>21</v>
      </c>
      <c r="E9" s="33">
        <v>9</v>
      </c>
      <c r="F9" s="146">
        <f t="shared" si="1"/>
        <v>15</v>
      </c>
      <c r="G9" s="146">
        <f t="shared" si="2"/>
        <v>24</v>
      </c>
      <c r="H9" s="33">
        <f t="shared" si="0"/>
        <v>51</v>
      </c>
      <c r="I9" s="146">
        <f t="shared" si="3"/>
        <v>60</v>
      </c>
      <c r="J9" s="146">
        <f t="shared" si="4"/>
        <v>36</v>
      </c>
      <c r="K9" s="146">
        <f t="shared" si="5"/>
        <v>0</v>
      </c>
      <c r="S9" s="37"/>
      <c r="T9" s="48"/>
      <c r="U9" s="51"/>
      <c r="V9" s="37"/>
      <c r="W9" s="37"/>
      <c r="X9" s="38"/>
      <c r="Y9" s="38"/>
      <c r="Z9" s="39"/>
      <c r="AA9" s="38"/>
      <c r="AB9" s="38"/>
      <c r="AC9" s="38"/>
    </row>
    <row r="10" spans="1:29" ht="24">
      <c r="A10" s="33">
        <f t="shared" si="6"/>
        <v>8</v>
      </c>
      <c r="B10" s="31" t="s">
        <v>149</v>
      </c>
      <c r="C10" s="34">
        <v>5</v>
      </c>
      <c r="D10" s="33">
        <v>22</v>
      </c>
      <c r="E10" s="33">
        <v>8</v>
      </c>
      <c r="F10" s="146">
        <f t="shared" si="1"/>
        <v>15</v>
      </c>
      <c r="G10" s="146">
        <f t="shared" si="2"/>
        <v>23</v>
      </c>
      <c r="H10" s="33">
        <f t="shared" si="0"/>
        <v>52</v>
      </c>
      <c r="I10" s="146">
        <f t="shared" si="3"/>
        <v>60</v>
      </c>
      <c r="J10" s="146">
        <f t="shared" si="4"/>
        <v>37</v>
      </c>
      <c r="K10" s="146">
        <f t="shared" si="5"/>
        <v>37</v>
      </c>
      <c r="S10" s="37"/>
      <c r="T10" s="48"/>
      <c r="U10" s="51"/>
      <c r="V10" s="37"/>
      <c r="W10" s="37"/>
      <c r="X10" s="38"/>
      <c r="Y10" s="38"/>
      <c r="Z10" s="39"/>
      <c r="AA10" s="38"/>
      <c r="AB10" s="38"/>
      <c r="AC10" s="38"/>
    </row>
    <row r="11" spans="1:29" ht="25.9" customHeight="1">
      <c r="A11" s="33">
        <f t="shared" si="6"/>
        <v>9</v>
      </c>
      <c r="B11" s="31" t="s">
        <v>182</v>
      </c>
      <c r="C11" s="32">
        <v>6</v>
      </c>
      <c r="D11" s="33">
        <v>7</v>
      </c>
      <c r="E11" s="33">
        <v>5</v>
      </c>
      <c r="F11" s="146">
        <f t="shared" si="1"/>
        <v>22</v>
      </c>
      <c r="G11" s="146">
        <f t="shared" si="2"/>
        <v>27</v>
      </c>
      <c r="H11" s="33">
        <f t="shared" si="0"/>
        <v>22</v>
      </c>
      <c r="I11" s="146">
        <f t="shared" si="3"/>
        <v>27</v>
      </c>
      <c r="J11" s="146">
        <f t="shared" si="4"/>
        <v>0</v>
      </c>
      <c r="K11" s="146">
        <f t="shared" si="5"/>
        <v>0</v>
      </c>
      <c r="S11" s="37"/>
      <c r="T11" s="48"/>
      <c r="U11" s="50"/>
      <c r="V11" s="37"/>
      <c r="W11" s="37"/>
      <c r="X11" s="38"/>
      <c r="Y11" s="38"/>
      <c r="Z11" s="39"/>
      <c r="AA11" s="38"/>
      <c r="AB11" s="38"/>
      <c r="AC11" s="38"/>
    </row>
    <row r="12" spans="1:29" ht="15" customHeight="1">
      <c r="A12" s="33">
        <f t="shared" si="6"/>
        <v>10</v>
      </c>
      <c r="B12" s="31" t="s">
        <v>37</v>
      </c>
      <c r="C12" s="32">
        <v>6</v>
      </c>
      <c r="D12" s="33">
        <v>11</v>
      </c>
      <c r="E12" s="33">
        <v>5</v>
      </c>
      <c r="F12" s="146">
        <f t="shared" si="1"/>
        <v>22</v>
      </c>
      <c r="G12" s="146">
        <f t="shared" si="2"/>
        <v>27</v>
      </c>
      <c r="H12" s="33">
        <f t="shared" si="0"/>
        <v>26</v>
      </c>
      <c r="I12" s="146">
        <f t="shared" si="3"/>
        <v>31</v>
      </c>
      <c r="J12" s="146">
        <f t="shared" si="4"/>
        <v>4</v>
      </c>
      <c r="K12" s="146">
        <f t="shared" si="5"/>
        <v>0</v>
      </c>
      <c r="S12" s="37"/>
      <c r="T12" s="48"/>
      <c r="U12" s="50"/>
      <c r="V12" s="37"/>
      <c r="W12" s="37"/>
      <c r="X12" s="38"/>
      <c r="Y12" s="38"/>
      <c r="Z12" s="39"/>
      <c r="AA12" s="38"/>
      <c r="AB12" s="38"/>
      <c r="AC12" s="38"/>
    </row>
    <row r="13" spans="1:29" ht="33.6" customHeight="1">
      <c r="A13" s="33">
        <f t="shared" si="6"/>
        <v>11</v>
      </c>
      <c r="B13" s="33" t="s">
        <v>46</v>
      </c>
      <c r="C13" s="35">
        <v>7</v>
      </c>
      <c r="D13" s="33">
        <v>8</v>
      </c>
      <c r="E13" s="33">
        <v>9</v>
      </c>
      <c r="F13" s="146">
        <f t="shared" si="1"/>
        <v>27</v>
      </c>
      <c r="G13" s="146">
        <f t="shared" si="2"/>
        <v>36</v>
      </c>
      <c r="H13" s="33">
        <f t="shared" si="0"/>
        <v>27</v>
      </c>
      <c r="I13" s="146">
        <f t="shared" si="3"/>
        <v>36</v>
      </c>
      <c r="J13" s="146">
        <f t="shared" si="4"/>
        <v>0</v>
      </c>
      <c r="K13" s="146">
        <f t="shared" si="5"/>
        <v>0</v>
      </c>
      <c r="S13" s="37"/>
      <c r="T13" s="37"/>
      <c r="U13" s="52"/>
      <c r="V13" s="37"/>
      <c r="W13" s="37"/>
      <c r="X13" s="38"/>
      <c r="Y13" s="38"/>
      <c r="Z13" s="39"/>
      <c r="AA13" s="38"/>
      <c r="AB13" s="38"/>
      <c r="AC13" s="38"/>
    </row>
    <row r="14" spans="1:29">
      <c r="A14" s="33">
        <f t="shared" si="6"/>
        <v>12</v>
      </c>
      <c r="B14" s="31" t="s">
        <v>122</v>
      </c>
      <c r="C14" s="32" t="s">
        <v>155</v>
      </c>
      <c r="D14" s="33">
        <v>12</v>
      </c>
      <c r="E14" s="33">
        <v>0</v>
      </c>
      <c r="F14" s="146">
        <f t="shared" si="1"/>
        <v>27</v>
      </c>
      <c r="G14" s="146">
        <f t="shared" si="2"/>
        <v>27</v>
      </c>
      <c r="H14" s="33">
        <f t="shared" si="0"/>
        <v>31</v>
      </c>
      <c r="I14" s="146">
        <f t="shared" si="3"/>
        <v>31</v>
      </c>
      <c r="J14" s="146" t="str">
        <f t="shared" si="4"/>
        <v>-</v>
      </c>
      <c r="K14" s="146" t="str">
        <f t="shared" si="5"/>
        <v>-</v>
      </c>
      <c r="S14" s="37"/>
      <c r="T14" s="48"/>
      <c r="U14" s="50"/>
      <c r="V14" s="37"/>
      <c r="W14" s="37"/>
      <c r="X14" s="38"/>
      <c r="Y14" s="38"/>
      <c r="Z14" s="39"/>
      <c r="AA14" s="38"/>
      <c r="AB14" s="38"/>
      <c r="AC14" s="38"/>
    </row>
    <row r="15" spans="1:29">
      <c r="A15" s="33">
        <f t="shared" si="6"/>
        <v>13</v>
      </c>
      <c r="B15" s="31" t="s">
        <v>51</v>
      </c>
      <c r="C15" s="32">
        <v>8</v>
      </c>
      <c r="D15" s="33">
        <v>9</v>
      </c>
      <c r="E15" s="33">
        <v>8</v>
      </c>
      <c r="F15" s="146">
        <f t="shared" si="1"/>
        <v>36</v>
      </c>
      <c r="G15" s="146">
        <f t="shared" si="2"/>
        <v>44</v>
      </c>
      <c r="H15" s="33">
        <f t="shared" si="0"/>
        <v>37</v>
      </c>
      <c r="I15" s="146">
        <f t="shared" si="3"/>
        <v>45</v>
      </c>
      <c r="J15" s="146">
        <f t="shared" si="4"/>
        <v>1</v>
      </c>
      <c r="K15" s="146">
        <f t="shared" si="5"/>
        <v>0</v>
      </c>
      <c r="S15" s="37"/>
      <c r="T15" s="48"/>
      <c r="U15" s="50"/>
      <c r="V15" s="37"/>
      <c r="W15" s="37"/>
      <c r="X15" s="38"/>
      <c r="Y15" s="38"/>
      <c r="Z15" s="39"/>
      <c r="AA15" s="38"/>
      <c r="AB15" s="38"/>
      <c r="AC15" s="38"/>
    </row>
    <row r="16" spans="1:29">
      <c r="A16" s="33">
        <f t="shared" si="6"/>
        <v>14</v>
      </c>
      <c r="B16" s="31" t="s">
        <v>122</v>
      </c>
      <c r="C16" s="32">
        <v>8</v>
      </c>
      <c r="D16" s="33">
        <v>14</v>
      </c>
      <c r="E16" s="33">
        <v>0</v>
      </c>
      <c r="F16" s="146">
        <f t="shared" si="1"/>
        <v>36</v>
      </c>
      <c r="G16" s="146">
        <f t="shared" si="2"/>
        <v>36</v>
      </c>
      <c r="H16" s="33">
        <f t="shared" si="0"/>
        <v>36</v>
      </c>
      <c r="I16" s="146">
        <f t="shared" si="3"/>
        <v>36</v>
      </c>
      <c r="J16" s="146" t="str">
        <f t="shared" si="4"/>
        <v>-</v>
      </c>
      <c r="K16" s="146" t="str">
        <f t="shared" si="5"/>
        <v>-</v>
      </c>
      <c r="S16" s="37"/>
      <c r="T16" s="48"/>
      <c r="U16" s="50"/>
      <c r="V16" s="37"/>
      <c r="W16" s="37"/>
      <c r="X16" s="38"/>
      <c r="Y16" s="38"/>
      <c r="Z16" s="39"/>
      <c r="AA16" s="38"/>
      <c r="AB16" s="38"/>
      <c r="AC16" s="38"/>
    </row>
    <row r="17" spans="1:29">
      <c r="A17" s="33">
        <f t="shared" si="6"/>
        <v>15</v>
      </c>
      <c r="B17" s="31" t="s">
        <v>55</v>
      </c>
      <c r="C17" s="32" t="s">
        <v>157</v>
      </c>
      <c r="D17" s="33">
        <v>10</v>
      </c>
      <c r="E17" s="33">
        <v>2</v>
      </c>
      <c r="F17" s="146">
        <f t="shared" si="1"/>
        <v>44</v>
      </c>
      <c r="G17" s="146">
        <f t="shared" si="2"/>
        <v>46</v>
      </c>
      <c r="H17" s="33">
        <f t="shared" si="0"/>
        <v>50</v>
      </c>
      <c r="I17" s="146">
        <f t="shared" si="3"/>
        <v>52</v>
      </c>
      <c r="J17" s="146">
        <f t="shared" si="4"/>
        <v>6</v>
      </c>
      <c r="K17" s="146">
        <f t="shared" si="5"/>
        <v>0</v>
      </c>
      <c r="S17" s="37"/>
      <c r="T17" s="48"/>
      <c r="U17" s="50"/>
      <c r="V17" s="37"/>
      <c r="W17" s="37"/>
      <c r="X17" s="38"/>
      <c r="Y17" s="38"/>
      <c r="Z17" s="39"/>
      <c r="AA17" s="38"/>
      <c r="AB17" s="38"/>
      <c r="AC17" s="38"/>
    </row>
    <row r="18" spans="1:29">
      <c r="A18" s="33">
        <f t="shared" si="6"/>
        <v>16</v>
      </c>
      <c r="B18" s="31" t="s">
        <v>122</v>
      </c>
      <c r="C18" s="32" t="s">
        <v>157</v>
      </c>
      <c r="D18" s="33">
        <v>16</v>
      </c>
      <c r="E18" s="33">
        <v>0</v>
      </c>
      <c r="F18" s="146">
        <f t="shared" si="1"/>
        <v>44</v>
      </c>
      <c r="G18" s="146">
        <f t="shared" si="2"/>
        <v>44</v>
      </c>
      <c r="H18" s="33">
        <f t="shared" si="0"/>
        <v>45</v>
      </c>
      <c r="I18" s="146">
        <f t="shared" si="3"/>
        <v>45</v>
      </c>
      <c r="J18" s="146" t="str">
        <f t="shared" si="4"/>
        <v>-</v>
      </c>
      <c r="K18" s="146" t="str">
        <f t="shared" si="5"/>
        <v>-</v>
      </c>
      <c r="S18" s="37"/>
      <c r="T18" s="48"/>
      <c r="U18" s="50"/>
      <c r="V18" s="37"/>
      <c r="W18" s="37"/>
      <c r="X18" s="38"/>
      <c r="Y18" s="38"/>
      <c r="Z18" s="39"/>
      <c r="AA18" s="38"/>
      <c r="AB18" s="38"/>
      <c r="AC18" s="38"/>
    </row>
    <row r="19" spans="1:29">
      <c r="A19" s="33">
        <f t="shared" si="6"/>
        <v>17</v>
      </c>
      <c r="B19" s="31" t="s">
        <v>122</v>
      </c>
      <c r="C19" s="32" t="s">
        <v>156</v>
      </c>
      <c r="D19" s="33">
        <v>18</v>
      </c>
      <c r="E19" s="33">
        <v>0</v>
      </c>
      <c r="F19" s="146">
        <f t="shared" si="1"/>
        <v>46</v>
      </c>
      <c r="G19" s="146">
        <f t="shared" si="2"/>
        <v>46</v>
      </c>
      <c r="H19" s="33">
        <f t="shared" si="0"/>
        <v>52</v>
      </c>
      <c r="I19" s="146">
        <f t="shared" si="3"/>
        <v>52</v>
      </c>
      <c r="J19" s="146" t="str">
        <f t="shared" si="4"/>
        <v>-</v>
      </c>
      <c r="K19" s="146" t="str">
        <f t="shared" si="5"/>
        <v>-</v>
      </c>
      <c r="S19" s="37"/>
      <c r="T19" s="48"/>
      <c r="U19" s="50"/>
      <c r="V19" s="37"/>
      <c r="W19" s="37"/>
      <c r="X19" s="38"/>
      <c r="Y19" s="38"/>
      <c r="Z19" s="39"/>
      <c r="AA19" s="38"/>
      <c r="AB19" s="38"/>
      <c r="AC19" s="38"/>
    </row>
    <row r="20" spans="1:29">
      <c r="A20" s="33">
        <f t="shared" si="6"/>
        <v>18</v>
      </c>
      <c r="B20" s="31" t="s">
        <v>122</v>
      </c>
      <c r="C20" s="32" t="s">
        <v>158</v>
      </c>
      <c r="D20" s="33">
        <v>12</v>
      </c>
      <c r="E20" s="33">
        <v>0</v>
      </c>
      <c r="F20" s="146">
        <f t="shared" si="1"/>
        <v>27</v>
      </c>
      <c r="G20" s="146">
        <f t="shared" si="2"/>
        <v>27</v>
      </c>
      <c r="H20" s="33">
        <f t="shared" si="0"/>
        <v>31</v>
      </c>
      <c r="I20" s="146">
        <f t="shared" si="3"/>
        <v>31</v>
      </c>
      <c r="J20" s="146" t="str">
        <f t="shared" si="4"/>
        <v>-</v>
      </c>
      <c r="K20" s="146" t="str">
        <f t="shared" si="5"/>
        <v>-</v>
      </c>
      <c r="S20" s="37"/>
      <c r="T20" s="48"/>
      <c r="U20" s="50"/>
      <c r="V20" s="37"/>
      <c r="W20" s="37"/>
      <c r="X20" s="38"/>
      <c r="Y20" s="38"/>
      <c r="Z20" s="39"/>
      <c r="AA20" s="38"/>
      <c r="AB20" s="38"/>
      <c r="AC20" s="38"/>
    </row>
    <row r="21" spans="1:29">
      <c r="A21" s="33">
        <f t="shared" si="6"/>
        <v>19</v>
      </c>
      <c r="B21" s="31" t="s">
        <v>182</v>
      </c>
      <c r="C21" s="34" t="s">
        <v>159</v>
      </c>
      <c r="D21" s="33">
        <v>13</v>
      </c>
      <c r="E21" s="33">
        <v>5</v>
      </c>
      <c r="F21" s="146">
        <f t="shared" si="1"/>
        <v>27</v>
      </c>
      <c r="G21" s="146">
        <f t="shared" si="2"/>
        <v>32</v>
      </c>
      <c r="H21" s="33">
        <f t="shared" si="0"/>
        <v>31</v>
      </c>
      <c r="I21" s="146">
        <f t="shared" si="3"/>
        <v>36</v>
      </c>
      <c r="J21" s="146">
        <f t="shared" si="4"/>
        <v>4</v>
      </c>
      <c r="K21" s="146">
        <f t="shared" si="5"/>
        <v>0</v>
      </c>
      <c r="S21" s="37"/>
      <c r="T21" s="48"/>
      <c r="U21" s="51"/>
      <c r="V21" s="37"/>
      <c r="W21" s="37"/>
      <c r="X21" s="38"/>
      <c r="Y21" s="38"/>
      <c r="Z21" s="39"/>
      <c r="AA21" s="38"/>
      <c r="AB21" s="38"/>
      <c r="AC21" s="38"/>
    </row>
    <row r="22" spans="1:29" ht="15" customHeight="1">
      <c r="A22" s="33">
        <f t="shared" si="6"/>
        <v>20</v>
      </c>
      <c r="B22" s="31" t="s">
        <v>122</v>
      </c>
      <c r="C22" s="34" t="s">
        <v>160</v>
      </c>
      <c r="D22" s="33">
        <v>14</v>
      </c>
      <c r="E22" s="33">
        <v>0</v>
      </c>
      <c r="F22" s="146">
        <f t="shared" si="1"/>
        <v>32</v>
      </c>
      <c r="G22" s="146">
        <f t="shared" si="2"/>
        <v>32</v>
      </c>
      <c r="H22" s="33">
        <f t="shared" si="0"/>
        <v>36</v>
      </c>
      <c r="I22" s="146">
        <f t="shared" si="3"/>
        <v>36</v>
      </c>
      <c r="J22" s="146" t="str">
        <f t="shared" si="4"/>
        <v>-</v>
      </c>
      <c r="K22" s="146" t="str">
        <f t="shared" si="5"/>
        <v>-</v>
      </c>
      <c r="S22" s="37"/>
      <c r="T22" s="48"/>
      <c r="U22" s="51"/>
      <c r="V22" s="37"/>
      <c r="W22" s="37"/>
      <c r="X22" s="38"/>
      <c r="Y22" s="38"/>
      <c r="Z22" s="39"/>
      <c r="AA22" s="38"/>
      <c r="AB22" s="38"/>
      <c r="AC22" s="38"/>
    </row>
    <row r="23" spans="1:29">
      <c r="A23" s="33">
        <f t="shared" si="6"/>
        <v>21</v>
      </c>
      <c r="B23" s="31" t="s">
        <v>46</v>
      </c>
      <c r="C23" s="34" t="s">
        <v>161</v>
      </c>
      <c r="D23" s="33">
        <v>15</v>
      </c>
      <c r="E23" s="33">
        <v>9</v>
      </c>
      <c r="F23" s="146">
        <f t="shared" si="1"/>
        <v>36</v>
      </c>
      <c r="G23" s="146">
        <f t="shared" si="2"/>
        <v>45</v>
      </c>
      <c r="H23" s="33">
        <f t="shared" si="0"/>
        <v>36</v>
      </c>
      <c r="I23" s="146">
        <f t="shared" si="3"/>
        <v>45</v>
      </c>
      <c r="J23" s="146">
        <f t="shared" si="4"/>
        <v>0</v>
      </c>
      <c r="K23" s="146">
        <f t="shared" si="5"/>
        <v>0</v>
      </c>
      <c r="S23" s="37"/>
      <c r="T23" s="48"/>
      <c r="U23" s="51"/>
      <c r="V23" s="37"/>
      <c r="W23" s="37"/>
      <c r="X23" s="38"/>
      <c r="Y23" s="38"/>
      <c r="Z23" s="39"/>
      <c r="AA23" s="38"/>
      <c r="AB23" s="38"/>
      <c r="AC23" s="38"/>
    </row>
    <row r="24" spans="1:29" ht="15" customHeight="1">
      <c r="A24" s="33">
        <f t="shared" si="6"/>
        <v>22</v>
      </c>
      <c r="B24" s="31" t="s">
        <v>122</v>
      </c>
      <c r="C24" s="32" t="s">
        <v>162</v>
      </c>
      <c r="D24" s="33">
        <v>16</v>
      </c>
      <c r="E24" s="33">
        <v>0</v>
      </c>
      <c r="F24" s="146">
        <f t="shared" si="1"/>
        <v>45</v>
      </c>
      <c r="G24" s="146">
        <f t="shared" si="2"/>
        <v>45</v>
      </c>
      <c r="H24" s="33">
        <f t="shared" si="0"/>
        <v>45</v>
      </c>
      <c r="I24" s="146">
        <f t="shared" si="3"/>
        <v>45</v>
      </c>
      <c r="J24" s="146" t="str">
        <f t="shared" si="4"/>
        <v>-</v>
      </c>
      <c r="K24" s="146" t="str">
        <f t="shared" si="5"/>
        <v>-</v>
      </c>
      <c r="S24" s="37"/>
      <c r="T24" s="48"/>
      <c r="U24" s="50"/>
      <c r="V24" s="37"/>
      <c r="W24" s="37"/>
      <c r="X24" s="38"/>
      <c r="Y24" s="38"/>
      <c r="Z24" s="39"/>
      <c r="AA24" s="38"/>
      <c r="AB24" s="38"/>
      <c r="AC24" s="38"/>
    </row>
    <row r="25" spans="1:29">
      <c r="A25" s="33">
        <f t="shared" si="6"/>
        <v>23</v>
      </c>
      <c r="B25" s="31" t="s">
        <v>51</v>
      </c>
      <c r="C25" s="32" t="s">
        <v>163</v>
      </c>
      <c r="D25" s="33">
        <v>17</v>
      </c>
      <c r="E25" s="33">
        <v>7</v>
      </c>
      <c r="F25" s="146">
        <f t="shared" si="1"/>
        <v>45</v>
      </c>
      <c r="G25" s="146">
        <f t="shared" si="2"/>
        <v>52</v>
      </c>
      <c r="H25" s="33">
        <f t="shared" si="0"/>
        <v>45</v>
      </c>
      <c r="I25" s="146">
        <f t="shared" si="3"/>
        <v>52</v>
      </c>
      <c r="J25" s="146">
        <f t="shared" si="4"/>
        <v>0</v>
      </c>
      <c r="K25" s="146">
        <f t="shared" si="5"/>
        <v>0</v>
      </c>
      <c r="S25" s="37"/>
      <c r="T25" s="48"/>
      <c r="U25" s="50"/>
      <c r="V25" s="37"/>
      <c r="W25" s="37"/>
      <c r="X25" s="38"/>
      <c r="Y25" s="38"/>
      <c r="Z25" s="39"/>
      <c r="AA25" s="38"/>
      <c r="AB25" s="38"/>
      <c r="AC25" s="38"/>
    </row>
    <row r="26" spans="1:29" ht="15" customHeight="1">
      <c r="A26" s="33">
        <f t="shared" si="6"/>
        <v>24</v>
      </c>
      <c r="B26" s="33" t="s">
        <v>122</v>
      </c>
      <c r="C26" s="32" t="s">
        <v>164</v>
      </c>
      <c r="D26" s="33">
        <v>18</v>
      </c>
      <c r="E26" s="33">
        <v>0</v>
      </c>
      <c r="F26" s="146">
        <f t="shared" si="1"/>
        <v>52</v>
      </c>
      <c r="G26" s="146">
        <f t="shared" si="2"/>
        <v>52</v>
      </c>
      <c r="H26" s="33">
        <f t="shared" si="0"/>
        <v>52</v>
      </c>
      <c r="I26" s="146">
        <f t="shared" si="3"/>
        <v>52</v>
      </c>
      <c r="J26" s="146" t="str">
        <f t="shared" si="4"/>
        <v>-</v>
      </c>
      <c r="K26" s="146" t="str">
        <f t="shared" si="5"/>
        <v>-</v>
      </c>
      <c r="S26" s="37"/>
      <c r="T26" s="37"/>
      <c r="U26" s="50"/>
      <c r="V26" s="37"/>
      <c r="W26" s="37"/>
      <c r="X26" s="38"/>
      <c r="Y26" s="38"/>
      <c r="Z26" s="39"/>
      <c r="AA26" s="38"/>
      <c r="AB26" s="38"/>
      <c r="AC26" s="38"/>
    </row>
    <row r="27" spans="1:29">
      <c r="A27" s="33">
        <f t="shared" si="6"/>
        <v>25</v>
      </c>
      <c r="B27" s="43" t="s">
        <v>55</v>
      </c>
      <c r="C27" s="34" t="s">
        <v>165</v>
      </c>
      <c r="D27" s="33">
        <v>19</v>
      </c>
      <c r="E27" s="33">
        <v>2</v>
      </c>
      <c r="F27" s="146">
        <f t="shared" si="1"/>
        <v>52</v>
      </c>
      <c r="G27" s="146">
        <f t="shared" si="2"/>
        <v>54</v>
      </c>
      <c r="H27" s="33">
        <f t="shared" si="0"/>
        <v>52</v>
      </c>
      <c r="I27" s="146">
        <f t="shared" si="3"/>
        <v>54</v>
      </c>
      <c r="J27" s="146">
        <f t="shared" si="4"/>
        <v>0</v>
      </c>
      <c r="K27" s="146">
        <f t="shared" si="5"/>
        <v>0</v>
      </c>
      <c r="S27" s="37"/>
      <c r="T27" s="53"/>
      <c r="U27" s="51"/>
      <c r="V27" s="37"/>
      <c r="W27" s="37"/>
      <c r="X27" s="38"/>
      <c r="Y27" s="38"/>
      <c r="Z27" s="39"/>
      <c r="AA27" s="38"/>
      <c r="AB27" s="38"/>
      <c r="AC27" s="38"/>
    </row>
    <row r="28" spans="1:29" ht="15" customHeight="1">
      <c r="A28" s="33">
        <f t="shared" si="6"/>
        <v>26</v>
      </c>
      <c r="B28" s="31" t="s">
        <v>122</v>
      </c>
      <c r="C28" s="32">
        <v>19</v>
      </c>
      <c r="D28" s="33">
        <v>20</v>
      </c>
      <c r="E28" s="33">
        <v>0</v>
      </c>
      <c r="F28" s="146">
        <f t="shared" si="1"/>
        <v>54</v>
      </c>
      <c r="G28" s="146">
        <f t="shared" si="2"/>
        <v>54</v>
      </c>
      <c r="H28" s="33">
        <f t="shared" si="0"/>
        <v>54</v>
      </c>
      <c r="I28" s="146">
        <f t="shared" si="3"/>
        <v>54</v>
      </c>
      <c r="J28" s="146" t="str">
        <f t="shared" si="4"/>
        <v>-</v>
      </c>
      <c r="K28" s="146" t="str">
        <f t="shared" si="5"/>
        <v>-</v>
      </c>
      <c r="S28" s="37"/>
      <c r="T28" s="48"/>
      <c r="U28" s="50"/>
      <c r="V28" s="37"/>
      <c r="W28" s="37"/>
      <c r="X28" s="38"/>
      <c r="Y28" s="38"/>
      <c r="Z28" s="39"/>
      <c r="AA28" s="38"/>
      <c r="AB28" s="38"/>
      <c r="AC28" s="38"/>
    </row>
    <row r="29" spans="1:29" ht="15" customHeight="1">
      <c r="A29" s="33">
        <f t="shared" si="6"/>
        <v>27</v>
      </c>
      <c r="B29" s="43" t="s">
        <v>106</v>
      </c>
      <c r="C29" s="32" t="s">
        <v>166</v>
      </c>
      <c r="D29" s="33">
        <v>22</v>
      </c>
      <c r="E29" s="33">
        <v>6</v>
      </c>
      <c r="F29" s="146">
        <f t="shared" si="1"/>
        <v>54</v>
      </c>
      <c r="G29" s="146">
        <f t="shared" si="2"/>
        <v>60</v>
      </c>
      <c r="H29" s="33">
        <f t="shared" si="0"/>
        <v>54</v>
      </c>
      <c r="I29" s="146">
        <f t="shared" si="3"/>
        <v>60</v>
      </c>
      <c r="J29" s="146">
        <f t="shared" si="4"/>
        <v>0</v>
      </c>
      <c r="K29" s="146">
        <f t="shared" si="5"/>
        <v>0</v>
      </c>
      <c r="S29" s="37"/>
      <c r="T29" s="53"/>
      <c r="U29" s="50"/>
      <c r="V29" s="37"/>
      <c r="W29" s="37"/>
      <c r="X29" s="38"/>
      <c r="Y29" s="38"/>
      <c r="Z29" s="39"/>
      <c r="AA29" s="38"/>
      <c r="AB29" s="38"/>
      <c r="AC29" s="38"/>
    </row>
    <row r="30" spans="1:29">
      <c r="A30" s="33">
        <f t="shared" si="6"/>
        <v>28</v>
      </c>
      <c r="B30" s="31" t="s">
        <v>122</v>
      </c>
      <c r="C30" s="34" t="s">
        <v>168</v>
      </c>
      <c r="D30" s="33">
        <v>22</v>
      </c>
      <c r="E30" s="33">
        <v>0</v>
      </c>
      <c r="F30" s="146">
        <f t="shared" si="1"/>
        <v>24</v>
      </c>
      <c r="G30" s="146">
        <f t="shared" si="2"/>
        <v>24</v>
      </c>
      <c r="H30" s="33">
        <f t="shared" si="0"/>
        <v>60</v>
      </c>
      <c r="I30" s="146">
        <f t="shared" si="3"/>
        <v>60</v>
      </c>
      <c r="J30" s="146" t="str">
        <f t="shared" si="4"/>
        <v>-</v>
      </c>
      <c r="K30" s="146" t="str">
        <f t="shared" si="5"/>
        <v>-</v>
      </c>
      <c r="S30" s="37"/>
      <c r="T30" s="48"/>
      <c r="U30" s="51"/>
      <c r="V30" s="37"/>
      <c r="W30" s="37"/>
      <c r="X30" s="38"/>
      <c r="Y30" s="38"/>
      <c r="Z30" s="39"/>
      <c r="AA30" s="38"/>
      <c r="AB30" s="38"/>
      <c r="AC30" s="38"/>
    </row>
    <row r="31" spans="1:29" ht="24">
      <c r="A31" s="33">
        <f t="shared" si="6"/>
        <v>29</v>
      </c>
      <c r="B31" s="31" t="s">
        <v>150</v>
      </c>
      <c r="C31" s="34" t="s">
        <v>167</v>
      </c>
      <c r="D31" s="33">
        <v>53</v>
      </c>
      <c r="E31" s="33">
        <v>7</v>
      </c>
      <c r="F31" s="146">
        <f t="shared" si="1"/>
        <v>60</v>
      </c>
      <c r="G31" s="146">
        <f t="shared" si="2"/>
        <v>67</v>
      </c>
      <c r="H31" s="33">
        <f t="shared" si="0"/>
        <v>121</v>
      </c>
      <c r="I31" s="146">
        <f t="shared" si="3"/>
        <v>128</v>
      </c>
      <c r="J31" s="146">
        <f t="shared" si="4"/>
        <v>61</v>
      </c>
      <c r="K31" s="146">
        <f t="shared" si="5"/>
        <v>0</v>
      </c>
      <c r="S31" s="37"/>
      <c r="T31" s="48"/>
      <c r="U31" s="51"/>
      <c r="V31" s="37"/>
      <c r="W31" s="37"/>
      <c r="X31" s="38"/>
      <c r="Y31" s="38"/>
      <c r="Z31" s="39"/>
      <c r="AA31" s="38"/>
      <c r="AB31" s="38"/>
      <c r="AC31" s="38"/>
    </row>
    <row r="32" spans="1:29" ht="24">
      <c r="A32" s="33">
        <f t="shared" si="6"/>
        <v>30</v>
      </c>
      <c r="B32" s="31" t="s">
        <v>151</v>
      </c>
      <c r="C32" s="34" t="s">
        <v>167</v>
      </c>
      <c r="D32" s="33">
        <v>54</v>
      </c>
      <c r="E32" s="33">
        <v>6</v>
      </c>
      <c r="F32" s="146">
        <f t="shared" si="1"/>
        <v>60</v>
      </c>
      <c r="G32" s="146">
        <f t="shared" si="2"/>
        <v>66</v>
      </c>
      <c r="H32" s="33">
        <f t="shared" si="0"/>
        <v>122</v>
      </c>
      <c r="I32" s="146">
        <f t="shared" si="3"/>
        <v>128</v>
      </c>
      <c r="J32" s="146">
        <f t="shared" si="4"/>
        <v>62</v>
      </c>
      <c r="K32" s="146">
        <f t="shared" si="5"/>
        <v>62</v>
      </c>
      <c r="S32" s="37"/>
      <c r="T32" s="48"/>
      <c r="U32" s="51"/>
      <c r="V32" s="37"/>
      <c r="W32" s="37"/>
      <c r="X32" s="38"/>
      <c r="Y32" s="38"/>
      <c r="Z32" s="39"/>
      <c r="AA32" s="38"/>
      <c r="AB32" s="38"/>
      <c r="AC32" s="38"/>
    </row>
    <row r="33" spans="1:29" ht="24">
      <c r="A33" s="33">
        <f t="shared" si="6"/>
        <v>31</v>
      </c>
      <c r="B33" s="31" t="s">
        <v>73</v>
      </c>
      <c r="C33" s="32" t="s">
        <v>167</v>
      </c>
      <c r="D33" s="33">
        <v>23</v>
      </c>
      <c r="E33" s="33">
        <v>2</v>
      </c>
      <c r="F33" s="146">
        <f t="shared" si="1"/>
        <v>60</v>
      </c>
      <c r="G33" s="146">
        <f t="shared" si="2"/>
        <v>62</v>
      </c>
      <c r="H33" s="33">
        <f t="shared" si="0"/>
        <v>60</v>
      </c>
      <c r="I33" s="146">
        <f t="shared" si="3"/>
        <v>62</v>
      </c>
      <c r="J33" s="146">
        <f t="shared" si="4"/>
        <v>0</v>
      </c>
      <c r="K33" s="146">
        <f t="shared" si="5"/>
        <v>0</v>
      </c>
      <c r="S33" s="37"/>
      <c r="T33" s="48"/>
      <c r="U33" s="50"/>
      <c r="V33" s="37"/>
      <c r="W33" s="37"/>
      <c r="X33" s="38"/>
      <c r="Y33" s="38"/>
      <c r="Z33" s="39"/>
      <c r="AA33" s="38"/>
      <c r="AB33" s="38"/>
      <c r="AC33" s="38"/>
    </row>
    <row r="34" spans="1:29">
      <c r="A34" s="33">
        <f t="shared" si="6"/>
        <v>32</v>
      </c>
      <c r="B34" s="31" t="s">
        <v>59</v>
      </c>
      <c r="C34" s="32" t="s">
        <v>169</v>
      </c>
      <c r="D34" s="33">
        <v>24</v>
      </c>
      <c r="E34" s="33">
        <v>1</v>
      </c>
      <c r="F34" s="146">
        <f t="shared" si="1"/>
        <v>62</v>
      </c>
      <c r="G34" s="146">
        <f t="shared" si="2"/>
        <v>63</v>
      </c>
      <c r="H34" s="33">
        <f t="shared" si="0"/>
        <v>62</v>
      </c>
      <c r="I34" s="146">
        <f t="shared" si="3"/>
        <v>63</v>
      </c>
      <c r="J34" s="146">
        <f t="shared" si="4"/>
        <v>0</v>
      </c>
      <c r="K34" s="146">
        <f t="shared" si="5"/>
        <v>0</v>
      </c>
      <c r="S34" s="37"/>
      <c r="T34" s="48"/>
      <c r="U34" s="50"/>
      <c r="V34" s="37"/>
      <c r="W34" s="37"/>
      <c r="X34" s="38"/>
      <c r="Y34" s="38"/>
      <c r="Z34" s="39"/>
      <c r="AA34" s="38"/>
      <c r="AB34" s="38"/>
      <c r="AC34" s="38"/>
    </row>
    <row r="35" spans="1:29">
      <c r="A35" s="33">
        <f t="shared" si="6"/>
        <v>33</v>
      </c>
      <c r="B35" s="33" t="s">
        <v>122</v>
      </c>
      <c r="C35" s="32" t="s">
        <v>169</v>
      </c>
      <c r="D35" s="33">
        <v>33</v>
      </c>
      <c r="E35" s="33">
        <v>0</v>
      </c>
      <c r="F35" s="146">
        <f t="shared" si="1"/>
        <v>62</v>
      </c>
      <c r="G35" s="146">
        <f t="shared" si="2"/>
        <v>62</v>
      </c>
      <c r="H35" s="33">
        <f t="shared" si="0"/>
        <v>73</v>
      </c>
      <c r="I35" s="146">
        <f t="shared" si="3"/>
        <v>73</v>
      </c>
      <c r="J35" s="146" t="str">
        <f t="shared" si="4"/>
        <v>-</v>
      </c>
      <c r="K35" s="146" t="str">
        <f t="shared" si="5"/>
        <v>-</v>
      </c>
      <c r="S35" s="37"/>
      <c r="T35" s="37"/>
      <c r="U35" s="50"/>
      <c r="V35" s="37"/>
      <c r="W35" s="37"/>
      <c r="X35" s="38"/>
      <c r="Y35" s="38"/>
      <c r="Z35" s="39"/>
      <c r="AA35" s="38"/>
      <c r="AB35" s="38"/>
      <c r="AC35" s="38"/>
    </row>
    <row r="36" spans="1:29" ht="36">
      <c r="A36" s="33">
        <f t="shared" si="6"/>
        <v>34</v>
      </c>
      <c r="B36" s="31" t="s">
        <v>170</v>
      </c>
      <c r="C36" s="32" t="s">
        <v>171</v>
      </c>
      <c r="D36" s="33">
        <v>25</v>
      </c>
      <c r="E36" s="33">
        <v>4</v>
      </c>
      <c r="F36" s="146">
        <f t="shared" si="1"/>
        <v>63</v>
      </c>
      <c r="G36" s="146">
        <f t="shared" si="2"/>
        <v>67</v>
      </c>
      <c r="H36" s="33">
        <f t="shared" si="0"/>
        <v>63</v>
      </c>
      <c r="I36" s="146">
        <f t="shared" si="3"/>
        <v>67</v>
      </c>
      <c r="J36" s="146">
        <f t="shared" si="4"/>
        <v>0</v>
      </c>
      <c r="K36" s="146">
        <f t="shared" si="5"/>
        <v>0</v>
      </c>
      <c r="S36" s="37"/>
      <c r="T36" s="48"/>
      <c r="U36" s="50"/>
      <c r="V36" s="37"/>
      <c r="W36" s="37"/>
      <c r="X36" s="38"/>
      <c r="Y36" s="38"/>
      <c r="Z36" s="39"/>
      <c r="AA36" s="38"/>
      <c r="AB36" s="38"/>
      <c r="AC36" s="38"/>
    </row>
    <row r="37" spans="1:29" ht="15" customHeight="1">
      <c r="A37" s="33">
        <f t="shared" si="6"/>
        <v>35</v>
      </c>
      <c r="B37" s="31" t="s">
        <v>122</v>
      </c>
      <c r="C37" s="32" t="s">
        <v>171</v>
      </c>
      <c r="D37" s="33">
        <v>35</v>
      </c>
      <c r="E37" s="33">
        <v>0</v>
      </c>
      <c r="F37" s="146">
        <f t="shared" si="1"/>
        <v>63</v>
      </c>
      <c r="G37" s="146">
        <f t="shared" si="2"/>
        <v>63</v>
      </c>
      <c r="H37" s="33">
        <f t="shared" si="0"/>
        <v>75</v>
      </c>
      <c r="I37" s="146">
        <f t="shared" si="3"/>
        <v>75</v>
      </c>
      <c r="J37" s="146" t="str">
        <f t="shared" si="4"/>
        <v>-</v>
      </c>
      <c r="K37" s="146" t="str">
        <f t="shared" si="5"/>
        <v>-</v>
      </c>
      <c r="S37" s="37"/>
      <c r="T37" s="48"/>
      <c r="U37" s="50"/>
      <c r="V37" s="37"/>
      <c r="W37" s="37"/>
      <c r="X37" s="38"/>
      <c r="Y37" s="38"/>
      <c r="Z37" s="39"/>
      <c r="AA37" s="38"/>
      <c r="AB37" s="38"/>
      <c r="AC37" s="38"/>
    </row>
    <row r="38" spans="1:29" ht="36">
      <c r="A38" s="33">
        <f t="shared" si="6"/>
        <v>36</v>
      </c>
      <c r="B38" s="31" t="s">
        <v>86</v>
      </c>
      <c r="C38" s="32" t="s">
        <v>172</v>
      </c>
      <c r="D38" s="33">
        <v>26</v>
      </c>
      <c r="E38" s="33">
        <v>5</v>
      </c>
      <c r="F38" s="146">
        <f t="shared" si="1"/>
        <v>67</v>
      </c>
      <c r="G38" s="146">
        <f t="shared" si="2"/>
        <v>72</v>
      </c>
      <c r="H38" s="33">
        <f t="shared" si="0"/>
        <v>67</v>
      </c>
      <c r="I38" s="146">
        <f t="shared" si="3"/>
        <v>72</v>
      </c>
      <c r="J38" s="146">
        <f t="shared" si="4"/>
        <v>0</v>
      </c>
      <c r="K38" s="146">
        <f t="shared" si="5"/>
        <v>0</v>
      </c>
      <c r="S38" s="37"/>
      <c r="T38" s="48"/>
      <c r="U38" s="50"/>
      <c r="V38" s="37"/>
      <c r="W38" s="37"/>
      <c r="X38" s="38"/>
      <c r="Y38" s="38"/>
      <c r="Z38" s="39"/>
      <c r="AA38" s="38"/>
      <c r="AB38" s="38"/>
      <c r="AC38" s="38"/>
    </row>
    <row r="39" spans="1:29">
      <c r="A39" s="33">
        <f t="shared" si="6"/>
        <v>37</v>
      </c>
      <c r="B39" s="31" t="s">
        <v>122</v>
      </c>
      <c r="C39" s="32" t="s">
        <v>172</v>
      </c>
      <c r="D39" s="33">
        <v>37</v>
      </c>
      <c r="E39" s="33">
        <v>0</v>
      </c>
      <c r="F39" s="146">
        <f t="shared" si="1"/>
        <v>67</v>
      </c>
      <c r="G39" s="146">
        <f t="shared" si="2"/>
        <v>67</v>
      </c>
      <c r="H39" s="33">
        <f t="shared" si="0"/>
        <v>76</v>
      </c>
      <c r="I39" s="146">
        <f t="shared" si="3"/>
        <v>76</v>
      </c>
      <c r="J39" s="146" t="str">
        <f t="shared" si="4"/>
        <v>-</v>
      </c>
      <c r="K39" s="146" t="str">
        <f t="shared" si="5"/>
        <v>-</v>
      </c>
      <c r="S39" s="37"/>
      <c r="T39" s="48"/>
      <c r="U39" s="50"/>
      <c r="V39" s="37"/>
      <c r="W39" s="37"/>
      <c r="X39" s="38"/>
      <c r="Y39" s="38"/>
      <c r="Z39" s="39"/>
      <c r="AA39" s="38"/>
      <c r="AB39" s="38"/>
      <c r="AC39" s="38"/>
    </row>
    <row r="40" spans="1:29" ht="48">
      <c r="A40" s="33">
        <f t="shared" si="6"/>
        <v>38</v>
      </c>
      <c r="B40" s="31" t="s">
        <v>84</v>
      </c>
      <c r="C40" s="34" t="s">
        <v>173</v>
      </c>
      <c r="D40" s="33">
        <v>27</v>
      </c>
      <c r="E40" s="33">
        <v>3</v>
      </c>
      <c r="F40" s="146">
        <f t="shared" si="1"/>
        <v>72</v>
      </c>
      <c r="G40" s="146">
        <f t="shared" si="2"/>
        <v>75</v>
      </c>
      <c r="H40" s="33">
        <f t="shared" si="0"/>
        <v>72</v>
      </c>
      <c r="I40" s="146">
        <f t="shared" si="3"/>
        <v>75</v>
      </c>
      <c r="J40" s="146">
        <f t="shared" si="4"/>
        <v>0</v>
      </c>
      <c r="K40" s="146">
        <f t="shared" si="5"/>
        <v>0</v>
      </c>
      <c r="S40" s="37"/>
      <c r="T40" s="48"/>
      <c r="U40" s="51"/>
      <c r="V40" s="37"/>
      <c r="W40" s="37"/>
      <c r="X40" s="38"/>
      <c r="Y40" s="38"/>
      <c r="Z40" s="39"/>
      <c r="AA40" s="38"/>
      <c r="AB40" s="38"/>
      <c r="AC40" s="38"/>
    </row>
    <row r="41" spans="1:29">
      <c r="A41" s="33">
        <f t="shared" si="6"/>
        <v>39</v>
      </c>
      <c r="B41" s="31" t="s">
        <v>122</v>
      </c>
      <c r="C41" s="34" t="s">
        <v>173</v>
      </c>
      <c r="D41" s="33">
        <v>39</v>
      </c>
      <c r="E41" s="33">
        <v>0</v>
      </c>
      <c r="F41" s="146">
        <f t="shared" si="1"/>
        <v>72</v>
      </c>
      <c r="G41" s="146">
        <f t="shared" si="2"/>
        <v>72</v>
      </c>
      <c r="H41" s="33">
        <f t="shared" si="0"/>
        <v>80</v>
      </c>
      <c r="I41" s="146">
        <f t="shared" si="3"/>
        <v>80</v>
      </c>
      <c r="J41" s="146" t="str">
        <f t="shared" si="4"/>
        <v>-</v>
      </c>
      <c r="K41" s="146" t="str">
        <f t="shared" si="5"/>
        <v>-</v>
      </c>
      <c r="S41" s="37"/>
      <c r="T41" s="48"/>
      <c r="U41" s="51"/>
      <c r="V41" s="37"/>
      <c r="W41" s="37"/>
      <c r="X41" s="38"/>
      <c r="Y41" s="38"/>
      <c r="Z41" s="39"/>
      <c r="AA41" s="38"/>
      <c r="AB41" s="38"/>
      <c r="AC41" s="38"/>
    </row>
    <row r="42" spans="1:29" ht="60">
      <c r="A42" s="33">
        <f t="shared" si="6"/>
        <v>40</v>
      </c>
      <c r="B42" s="31" t="s">
        <v>88</v>
      </c>
      <c r="C42" s="34" t="s">
        <v>174</v>
      </c>
      <c r="D42" s="33">
        <v>28</v>
      </c>
      <c r="E42" s="33">
        <v>2</v>
      </c>
      <c r="F42" s="146">
        <f t="shared" si="1"/>
        <v>75</v>
      </c>
      <c r="G42" s="146">
        <f t="shared" si="2"/>
        <v>77</v>
      </c>
      <c r="H42" s="33">
        <f t="shared" si="0"/>
        <v>75</v>
      </c>
      <c r="I42" s="146">
        <f t="shared" si="3"/>
        <v>77</v>
      </c>
      <c r="J42" s="146">
        <f t="shared" si="4"/>
        <v>0</v>
      </c>
      <c r="K42" s="146">
        <f t="shared" si="5"/>
        <v>0</v>
      </c>
      <c r="S42" s="37"/>
      <c r="T42" s="48"/>
      <c r="U42" s="51"/>
      <c r="V42" s="37"/>
      <c r="W42" s="37"/>
      <c r="X42" s="38"/>
      <c r="Y42" s="38"/>
      <c r="Z42" s="39"/>
      <c r="AA42" s="38"/>
      <c r="AB42" s="38"/>
      <c r="AC42" s="38"/>
    </row>
    <row r="43" spans="1:29">
      <c r="A43" s="33">
        <f t="shared" si="6"/>
        <v>41</v>
      </c>
      <c r="B43" s="31" t="s">
        <v>122</v>
      </c>
      <c r="C43" s="34" t="s">
        <v>174</v>
      </c>
      <c r="D43" s="33">
        <v>41</v>
      </c>
      <c r="E43" s="33">
        <v>0</v>
      </c>
      <c r="F43" s="146">
        <f t="shared" si="1"/>
        <v>75</v>
      </c>
      <c r="G43" s="146">
        <f t="shared" si="2"/>
        <v>75</v>
      </c>
      <c r="H43" s="33">
        <f t="shared" si="0"/>
        <v>85</v>
      </c>
      <c r="I43" s="146">
        <f t="shared" si="3"/>
        <v>85</v>
      </c>
      <c r="J43" s="146" t="str">
        <f t="shared" si="4"/>
        <v>-</v>
      </c>
      <c r="K43" s="146" t="str">
        <f t="shared" si="5"/>
        <v>-</v>
      </c>
      <c r="S43" s="37"/>
      <c r="T43" s="48"/>
      <c r="U43" s="51"/>
      <c r="V43" s="37"/>
      <c r="W43" s="37"/>
      <c r="X43" s="38"/>
      <c r="Y43" s="38"/>
      <c r="Z43" s="39"/>
      <c r="AA43" s="38"/>
      <c r="AB43" s="38"/>
      <c r="AC43" s="38"/>
    </row>
    <row r="44" spans="1:29" ht="24">
      <c r="A44" s="33">
        <f t="shared" si="6"/>
        <v>42</v>
      </c>
      <c r="B44" s="147" t="s">
        <v>69</v>
      </c>
      <c r="C44" s="34" t="s">
        <v>175</v>
      </c>
      <c r="D44" s="33">
        <v>29</v>
      </c>
      <c r="E44" s="33">
        <v>6</v>
      </c>
      <c r="F44" s="146">
        <f t="shared" si="1"/>
        <v>77</v>
      </c>
      <c r="G44" s="146">
        <f t="shared" si="2"/>
        <v>83</v>
      </c>
      <c r="H44" s="33">
        <f t="shared" si="0"/>
        <v>77</v>
      </c>
      <c r="I44" s="146">
        <f t="shared" si="3"/>
        <v>83</v>
      </c>
      <c r="J44" s="146">
        <f t="shared" si="4"/>
        <v>0</v>
      </c>
      <c r="K44" s="146">
        <f t="shared" si="5"/>
        <v>0</v>
      </c>
      <c r="S44" s="37"/>
      <c r="T44" s="45"/>
      <c r="U44" s="51"/>
      <c r="V44" s="37"/>
      <c r="W44" s="37"/>
      <c r="X44" s="38"/>
      <c r="Y44" s="38"/>
      <c r="Z44" s="39"/>
      <c r="AA44" s="38"/>
      <c r="AB44" s="38"/>
      <c r="AC44" s="38"/>
    </row>
    <row r="45" spans="1:29">
      <c r="A45" s="33">
        <f t="shared" si="6"/>
        <v>43</v>
      </c>
      <c r="B45" s="31" t="s">
        <v>122</v>
      </c>
      <c r="C45" s="34" t="s">
        <v>175</v>
      </c>
      <c r="D45" s="33">
        <v>43</v>
      </c>
      <c r="E45" s="33">
        <v>0</v>
      </c>
      <c r="F45" s="146">
        <f t="shared" si="1"/>
        <v>77</v>
      </c>
      <c r="G45" s="146">
        <f t="shared" si="2"/>
        <v>77</v>
      </c>
      <c r="H45" s="33">
        <f t="shared" si="0"/>
        <v>88</v>
      </c>
      <c r="I45" s="146">
        <f t="shared" si="3"/>
        <v>88</v>
      </c>
      <c r="J45" s="146" t="str">
        <f t="shared" si="4"/>
        <v>-</v>
      </c>
      <c r="K45" s="146" t="str">
        <f t="shared" si="5"/>
        <v>-</v>
      </c>
      <c r="S45" s="37"/>
      <c r="T45" s="48"/>
      <c r="U45" s="51"/>
      <c r="V45" s="37"/>
      <c r="W45" s="37"/>
      <c r="X45" s="38"/>
      <c r="Y45" s="38"/>
      <c r="Z45" s="39"/>
      <c r="AA45" s="38"/>
      <c r="AB45" s="38"/>
      <c r="AC45" s="38"/>
    </row>
    <row r="46" spans="1:29" ht="24">
      <c r="A46" s="33">
        <f t="shared" si="6"/>
        <v>44</v>
      </c>
      <c r="B46" s="31" t="s">
        <v>65</v>
      </c>
      <c r="C46" s="34" t="s">
        <v>176</v>
      </c>
      <c r="D46" s="33">
        <v>30</v>
      </c>
      <c r="E46" s="33">
        <v>13</v>
      </c>
      <c r="F46" s="146">
        <f t="shared" si="1"/>
        <v>83</v>
      </c>
      <c r="G46" s="146">
        <f t="shared" si="2"/>
        <v>96</v>
      </c>
      <c r="H46" s="33">
        <f t="shared" si="0"/>
        <v>83</v>
      </c>
      <c r="I46" s="146">
        <f t="shared" si="3"/>
        <v>96</v>
      </c>
      <c r="J46" s="146">
        <f t="shared" si="4"/>
        <v>0</v>
      </c>
      <c r="K46" s="146">
        <f t="shared" si="5"/>
        <v>0</v>
      </c>
      <c r="S46" s="37"/>
      <c r="T46" s="48"/>
      <c r="U46" s="51"/>
      <c r="V46" s="37"/>
      <c r="W46" s="37"/>
      <c r="X46" s="38"/>
      <c r="Y46" s="38"/>
      <c r="Z46" s="39"/>
      <c r="AA46" s="38"/>
      <c r="AB46" s="38"/>
      <c r="AC46" s="38"/>
    </row>
    <row r="47" spans="1:29">
      <c r="A47" s="33">
        <f t="shared" si="6"/>
        <v>45</v>
      </c>
      <c r="B47" s="31" t="s">
        <v>122</v>
      </c>
      <c r="C47" s="34" t="s">
        <v>176</v>
      </c>
      <c r="D47" s="33">
        <v>45</v>
      </c>
      <c r="E47" s="33">
        <v>0</v>
      </c>
      <c r="F47" s="146">
        <f t="shared" si="1"/>
        <v>83</v>
      </c>
      <c r="G47" s="146">
        <f t="shared" si="2"/>
        <v>83</v>
      </c>
      <c r="H47" s="33">
        <f t="shared" si="0"/>
        <v>90</v>
      </c>
      <c r="I47" s="146">
        <f t="shared" si="3"/>
        <v>90</v>
      </c>
      <c r="J47" s="146" t="str">
        <f t="shared" si="4"/>
        <v>-</v>
      </c>
      <c r="K47" s="146" t="str">
        <f t="shared" si="5"/>
        <v>-</v>
      </c>
      <c r="S47" s="37"/>
      <c r="T47" s="48"/>
      <c r="U47" s="51"/>
      <c r="V47" s="37"/>
      <c r="W47" s="37"/>
      <c r="X47" s="38"/>
      <c r="Y47" s="38"/>
      <c r="Z47" s="39"/>
      <c r="AA47" s="38"/>
      <c r="AB47" s="38"/>
      <c r="AC47" s="38"/>
    </row>
    <row r="48" spans="1:29" ht="36">
      <c r="A48" s="33">
        <f t="shared" si="6"/>
        <v>46</v>
      </c>
      <c r="B48" s="147" t="s">
        <v>101</v>
      </c>
      <c r="C48" s="32" t="s">
        <v>177</v>
      </c>
      <c r="D48" s="33">
        <v>31</v>
      </c>
      <c r="E48" s="33">
        <v>2</v>
      </c>
      <c r="F48" s="146">
        <f t="shared" si="1"/>
        <v>96</v>
      </c>
      <c r="G48" s="146">
        <f t="shared" si="2"/>
        <v>98</v>
      </c>
      <c r="H48" s="33">
        <f t="shared" si="0"/>
        <v>104</v>
      </c>
      <c r="I48" s="146">
        <f t="shared" si="3"/>
        <v>106</v>
      </c>
      <c r="J48" s="146">
        <f t="shared" si="4"/>
        <v>8</v>
      </c>
      <c r="K48" s="146">
        <f t="shared" si="5"/>
        <v>0</v>
      </c>
      <c r="S48" s="37"/>
      <c r="T48" s="45"/>
      <c r="U48" s="50"/>
      <c r="V48" s="37"/>
      <c r="W48" s="37"/>
      <c r="X48" s="38"/>
      <c r="Y48" s="38"/>
      <c r="Z48" s="39"/>
      <c r="AA48" s="38"/>
      <c r="AB48" s="38"/>
      <c r="AC48" s="38"/>
    </row>
    <row r="49" spans="1:29">
      <c r="A49" s="33">
        <f t="shared" si="6"/>
        <v>47</v>
      </c>
      <c r="B49" s="33" t="s">
        <v>122</v>
      </c>
      <c r="C49" s="32" t="s">
        <v>177</v>
      </c>
      <c r="D49" s="33">
        <v>47</v>
      </c>
      <c r="E49" s="33">
        <v>0</v>
      </c>
      <c r="F49" s="146">
        <f t="shared" si="1"/>
        <v>96</v>
      </c>
      <c r="G49" s="146">
        <f t="shared" si="2"/>
        <v>96</v>
      </c>
      <c r="H49" s="33">
        <f t="shared" si="0"/>
        <v>96</v>
      </c>
      <c r="I49" s="146">
        <f t="shared" si="3"/>
        <v>96</v>
      </c>
      <c r="J49" s="146" t="str">
        <f t="shared" si="4"/>
        <v>-</v>
      </c>
      <c r="K49" s="146" t="str">
        <f t="shared" si="5"/>
        <v>-</v>
      </c>
      <c r="S49" s="37"/>
      <c r="T49" s="37"/>
      <c r="U49" s="50"/>
      <c r="V49" s="37"/>
      <c r="W49" s="37"/>
      <c r="X49" s="38"/>
      <c r="Y49" s="38"/>
      <c r="Z49" s="39"/>
      <c r="AA49" s="38"/>
      <c r="AB49" s="38"/>
      <c r="AC49" s="38"/>
    </row>
    <row r="50" spans="1:29" ht="15" customHeight="1">
      <c r="A50" s="33">
        <f t="shared" si="6"/>
        <v>48</v>
      </c>
      <c r="B50" s="31" t="s">
        <v>76</v>
      </c>
      <c r="C50" s="32" t="s">
        <v>178</v>
      </c>
      <c r="D50" s="33">
        <v>32</v>
      </c>
      <c r="E50" s="33">
        <v>5</v>
      </c>
      <c r="F50" s="146">
        <f t="shared" si="1"/>
        <v>98</v>
      </c>
      <c r="G50" s="146">
        <f t="shared" si="2"/>
        <v>103</v>
      </c>
      <c r="H50" s="33">
        <f t="shared" si="0"/>
        <v>106</v>
      </c>
      <c r="I50" s="146">
        <f t="shared" si="3"/>
        <v>111</v>
      </c>
      <c r="J50" s="146">
        <f t="shared" si="4"/>
        <v>8</v>
      </c>
      <c r="K50" s="146">
        <f t="shared" si="5"/>
        <v>0</v>
      </c>
      <c r="S50" s="37"/>
      <c r="T50" s="48"/>
      <c r="U50" s="50"/>
      <c r="V50" s="37"/>
      <c r="W50" s="37"/>
      <c r="X50" s="38"/>
      <c r="Y50" s="38"/>
      <c r="Z50" s="39"/>
      <c r="AA50" s="38"/>
      <c r="AB50" s="38"/>
      <c r="AC50" s="38"/>
    </row>
    <row r="51" spans="1:29">
      <c r="A51" s="33">
        <f t="shared" si="6"/>
        <v>49</v>
      </c>
      <c r="B51" s="31" t="s">
        <v>122</v>
      </c>
      <c r="C51" s="34" t="s">
        <v>178</v>
      </c>
      <c r="D51" s="33">
        <v>49</v>
      </c>
      <c r="E51" s="33">
        <v>0</v>
      </c>
      <c r="F51" s="146">
        <f t="shared" si="1"/>
        <v>98</v>
      </c>
      <c r="G51" s="146">
        <f t="shared" si="2"/>
        <v>98</v>
      </c>
      <c r="H51" s="33">
        <f t="shared" si="0"/>
        <v>109</v>
      </c>
      <c r="I51" s="146">
        <f t="shared" si="3"/>
        <v>109</v>
      </c>
      <c r="J51" s="146" t="str">
        <f t="shared" si="4"/>
        <v>-</v>
      </c>
      <c r="K51" s="146" t="str">
        <f t="shared" si="5"/>
        <v>-</v>
      </c>
      <c r="S51" s="37"/>
      <c r="T51" s="48"/>
      <c r="U51" s="51"/>
      <c r="V51" s="37"/>
      <c r="W51" s="37"/>
      <c r="X51" s="38"/>
      <c r="Y51" s="38"/>
      <c r="Z51" s="39"/>
      <c r="AA51" s="38"/>
      <c r="AB51" s="38"/>
      <c r="AC51" s="38"/>
    </row>
    <row r="52" spans="1:29" ht="15" customHeight="1">
      <c r="A52" s="33">
        <f t="shared" si="6"/>
        <v>50</v>
      </c>
      <c r="B52" s="31" t="s">
        <v>122</v>
      </c>
      <c r="C52" s="34" t="s">
        <v>179</v>
      </c>
      <c r="D52" s="33">
        <v>51</v>
      </c>
      <c r="E52" s="33">
        <v>0</v>
      </c>
      <c r="F52" s="146">
        <f t="shared" si="1"/>
        <v>103</v>
      </c>
      <c r="G52" s="146">
        <f t="shared" si="2"/>
        <v>103</v>
      </c>
      <c r="H52" s="33">
        <f t="shared" si="0"/>
        <v>111</v>
      </c>
      <c r="I52" s="146">
        <f t="shared" si="3"/>
        <v>111</v>
      </c>
      <c r="J52" s="146" t="str">
        <f t="shared" si="4"/>
        <v>-</v>
      </c>
      <c r="K52" s="146" t="str">
        <f t="shared" si="5"/>
        <v>-</v>
      </c>
      <c r="S52" s="37"/>
      <c r="T52" s="48"/>
      <c r="U52" s="51"/>
      <c r="V52" s="37"/>
      <c r="W52" s="37"/>
      <c r="X52" s="38"/>
      <c r="Y52" s="38"/>
      <c r="Z52" s="39"/>
      <c r="AA52" s="38"/>
      <c r="AB52" s="38"/>
      <c r="AC52" s="38"/>
    </row>
    <row r="53" spans="1:29" ht="24">
      <c r="A53" s="33">
        <f t="shared" si="6"/>
        <v>51</v>
      </c>
      <c r="B53" s="36" t="s">
        <v>73</v>
      </c>
      <c r="C53" s="33">
        <v>33</v>
      </c>
      <c r="D53" s="33">
        <v>34</v>
      </c>
      <c r="E53" s="33">
        <v>2</v>
      </c>
      <c r="F53" s="146">
        <f t="shared" si="1"/>
        <v>62</v>
      </c>
      <c r="G53" s="146">
        <f t="shared" si="2"/>
        <v>64</v>
      </c>
      <c r="H53" s="33">
        <f t="shared" si="0"/>
        <v>73</v>
      </c>
      <c r="I53" s="146">
        <f t="shared" si="3"/>
        <v>75</v>
      </c>
      <c r="J53" s="146">
        <f t="shared" si="4"/>
        <v>11</v>
      </c>
      <c r="K53" s="146">
        <f t="shared" si="5"/>
        <v>0</v>
      </c>
      <c r="S53" s="37"/>
      <c r="T53" s="40"/>
      <c r="U53" s="37"/>
      <c r="V53" s="37"/>
      <c r="W53" s="37"/>
      <c r="X53" s="38"/>
      <c r="Y53" s="38"/>
      <c r="Z53" s="39"/>
      <c r="AA53" s="38"/>
      <c r="AB53" s="38"/>
      <c r="AC53" s="38"/>
    </row>
    <row r="54" spans="1:29" ht="15" customHeight="1">
      <c r="A54" s="33">
        <f t="shared" si="6"/>
        <v>52</v>
      </c>
      <c r="B54" s="33" t="s">
        <v>122</v>
      </c>
      <c r="C54" s="33">
        <v>34</v>
      </c>
      <c r="D54" s="33">
        <v>35</v>
      </c>
      <c r="E54" s="33">
        <v>0</v>
      </c>
      <c r="F54" s="146">
        <f t="shared" si="1"/>
        <v>64</v>
      </c>
      <c r="G54" s="146">
        <f t="shared" si="2"/>
        <v>64</v>
      </c>
      <c r="H54" s="33">
        <f t="shared" si="0"/>
        <v>75</v>
      </c>
      <c r="I54" s="146">
        <f t="shared" si="3"/>
        <v>75</v>
      </c>
      <c r="J54" s="146" t="str">
        <f t="shared" si="4"/>
        <v>-</v>
      </c>
      <c r="K54" s="146" t="str">
        <f t="shared" si="5"/>
        <v>-</v>
      </c>
      <c r="S54" s="37"/>
      <c r="T54" s="37"/>
      <c r="U54" s="37"/>
      <c r="V54" s="37"/>
      <c r="W54" s="37"/>
      <c r="X54" s="38"/>
      <c r="Y54" s="38"/>
      <c r="Z54" s="39"/>
      <c r="AA54" s="38"/>
      <c r="AB54" s="38"/>
      <c r="AC54" s="38"/>
    </row>
    <row r="55" spans="1:29" ht="15" customHeight="1">
      <c r="A55" s="33">
        <f t="shared" si="6"/>
        <v>53</v>
      </c>
      <c r="B55" s="33" t="s">
        <v>59</v>
      </c>
      <c r="C55" s="33">
        <v>35</v>
      </c>
      <c r="D55" s="33">
        <v>36</v>
      </c>
      <c r="E55" s="33">
        <v>1</v>
      </c>
      <c r="F55" s="146">
        <f t="shared" si="1"/>
        <v>64</v>
      </c>
      <c r="G55" s="146">
        <f t="shared" si="2"/>
        <v>65</v>
      </c>
      <c r="H55" s="33">
        <f t="shared" si="0"/>
        <v>75</v>
      </c>
      <c r="I55" s="146">
        <f t="shared" si="3"/>
        <v>76</v>
      </c>
      <c r="J55" s="146">
        <f t="shared" si="4"/>
        <v>11</v>
      </c>
      <c r="K55" s="146">
        <f t="shared" si="5"/>
        <v>0</v>
      </c>
      <c r="S55" s="37"/>
      <c r="T55" s="37"/>
      <c r="U55" s="37"/>
      <c r="V55" s="37"/>
      <c r="W55" s="37"/>
      <c r="X55" s="38"/>
      <c r="Y55" s="38"/>
      <c r="Z55" s="39"/>
      <c r="AA55" s="38"/>
      <c r="AB55" s="38"/>
      <c r="AC55" s="38"/>
    </row>
    <row r="56" spans="1:29">
      <c r="A56" s="33">
        <f t="shared" si="6"/>
        <v>54</v>
      </c>
      <c r="B56" s="33" t="s">
        <v>122</v>
      </c>
      <c r="C56" s="33">
        <v>36</v>
      </c>
      <c r="D56" s="33">
        <v>37</v>
      </c>
      <c r="E56" s="33">
        <v>0</v>
      </c>
      <c r="F56" s="146">
        <f t="shared" si="1"/>
        <v>65</v>
      </c>
      <c r="G56" s="146">
        <f t="shared" si="2"/>
        <v>65</v>
      </c>
      <c r="H56" s="33">
        <f t="shared" si="0"/>
        <v>76</v>
      </c>
      <c r="I56" s="146">
        <f t="shared" si="3"/>
        <v>76</v>
      </c>
      <c r="J56" s="146" t="str">
        <f t="shared" si="4"/>
        <v>-</v>
      </c>
      <c r="K56" s="146" t="str">
        <f t="shared" si="5"/>
        <v>-</v>
      </c>
      <c r="S56" s="37"/>
      <c r="T56" s="37"/>
      <c r="U56" s="37"/>
      <c r="V56" s="37"/>
      <c r="W56" s="37"/>
      <c r="X56" s="38"/>
      <c r="Y56" s="38"/>
      <c r="Z56" s="39"/>
      <c r="AA56" s="38"/>
      <c r="AB56" s="38"/>
      <c r="AC56" s="38"/>
    </row>
    <row r="57" spans="1:29" ht="36">
      <c r="A57" s="33">
        <f t="shared" si="6"/>
        <v>55</v>
      </c>
      <c r="B57" s="36" t="s">
        <v>80</v>
      </c>
      <c r="C57" s="33">
        <v>37</v>
      </c>
      <c r="D57" s="33">
        <v>38</v>
      </c>
      <c r="E57" s="33">
        <v>4</v>
      </c>
      <c r="F57" s="146">
        <f t="shared" si="1"/>
        <v>67</v>
      </c>
      <c r="G57" s="146">
        <f t="shared" si="2"/>
        <v>71</v>
      </c>
      <c r="H57" s="33">
        <f t="shared" si="0"/>
        <v>76</v>
      </c>
      <c r="I57" s="146">
        <f t="shared" si="3"/>
        <v>80</v>
      </c>
      <c r="J57" s="146">
        <f t="shared" si="4"/>
        <v>9</v>
      </c>
      <c r="K57" s="146">
        <f t="shared" si="5"/>
        <v>0</v>
      </c>
      <c r="S57" s="37"/>
      <c r="T57" s="40"/>
      <c r="U57" s="37"/>
      <c r="V57" s="37"/>
      <c r="W57" s="37"/>
      <c r="X57" s="38"/>
      <c r="Y57" s="38"/>
      <c r="Z57" s="39"/>
      <c r="AA57" s="38"/>
      <c r="AB57" s="38"/>
      <c r="AC57" s="38"/>
    </row>
    <row r="58" spans="1:29" ht="15" customHeight="1">
      <c r="A58" s="33">
        <f t="shared" si="6"/>
        <v>56</v>
      </c>
      <c r="B58" s="33" t="s">
        <v>122</v>
      </c>
      <c r="C58" s="33">
        <v>38</v>
      </c>
      <c r="D58" s="33">
        <v>39</v>
      </c>
      <c r="E58" s="33">
        <v>0</v>
      </c>
      <c r="F58" s="146">
        <f t="shared" si="1"/>
        <v>71</v>
      </c>
      <c r="G58" s="146">
        <f t="shared" si="2"/>
        <v>71</v>
      </c>
      <c r="H58" s="33">
        <f t="shared" si="0"/>
        <v>80</v>
      </c>
      <c r="I58" s="146">
        <f t="shared" si="3"/>
        <v>80</v>
      </c>
      <c r="J58" s="146" t="str">
        <f t="shared" si="4"/>
        <v>-</v>
      </c>
      <c r="K58" s="146" t="str">
        <f t="shared" si="5"/>
        <v>-</v>
      </c>
      <c r="S58" s="37"/>
      <c r="T58" s="37"/>
      <c r="U58" s="37"/>
      <c r="V58" s="37"/>
      <c r="W58" s="37"/>
      <c r="X58" s="38"/>
      <c r="Y58" s="38"/>
      <c r="Z58" s="39"/>
      <c r="AA58" s="38"/>
      <c r="AB58" s="38"/>
      <c r="AC58" s="38"/>
    </row>
    <row r="59" spans="1:29" ht="36">
      <c r="A59" s="33">
        <f t="shared" si="6"/>
        <v>57</v>
      </c>
      <c r="B59" s="36" t="s">
        <v>180</v>
      </c>
      <c r="C59" s="33">
        <v>39</v>
      </c>
      <c r="D59" s="33">
        <v>40</v>
      </c>
      <c r="E59" s="33">
        <v>5</v>
      </c>
      <c r="F59" s="146">
        <f t="shared" si="1"/>
        <v>72</v>
      </c>
      <c r="G59" s="146">
        <f t="shared" si="2"/>
        <v>77</v>
      </c>
      <c r="H59" s="33">
        <f t="shared" si="0"/>
        <v>80</v>
      </c>
      <c r="I59" s="146">
        <f t="shared" si="3"/>
        <v>85</v>
      </c>
      <c r="J59" s="146">
        <f t="shared" si="4"/>
        <v>8</v>
      </c>
      <c r="K59" s="146">
        <f t="shared" si="5"/>
        <v>0</v>
      </c>
      <c r="S59" s="37"/>
      <c r="T59" s="40"/>
      <c r="U59" s="37"/>
      <c r="V59" s="37"/>
      <c r="W59" s="37"/>
      <c r="X59" s="38"/>
      <c r="Y59" s="38"/>
      <c r="Z59" s="39"/>
      <c r="AA59" s="38"/>
      <c r="AB59" s="38"/>
      <c r="AC59" s="38"/>
    </row>
    <row r="60" spans="1:29">
      <c r="A60" s="33">
        <f t="shared" si="6"/>
        <v>58</v>
      </c>
      <c r="B60" s="33" t="s">
        <v>122</v>
      </c>
      <c r="C60" s="33">
        <v>40</v>
      </c>
      <c r="D60" s="33">
        <v>41</v>
      </c>
      <c r="E60" s="33">
        <v>0</v>
      </c>
      <c r="F60" s="146">
        <f t="shared" si="1"/>
        <v>77</v>
      </c>
      <c r="G60" s="146">
        <f t="shared" si="2"/>
        <v>77</v>
      </c>
      <c r="H60" s="33">
        <f t="shared" si="0"/>
        <v>85</v>
      </c>
      <c r="I60" s="146">
        <f t="shared" si="3"/>
        <v>85</v>
      </c>
      <c r="J60" s="146" t="str">
        <f t="shared" si="4"/>
        <v>-</v>
      </c>
      <c r="K60" s="146" t="str">
        <f t="shared" si="5"/>
        <v>-</v>
      </c>
      <c r="S60" s="37"/>
      <c r="T60" s="37"/>
      <c r="U60" s="37"/>
      <c r="V60" s="37"/>
      <c r="W60" s="37"/>
      <c r="X60" s="38"/>
      <c r="Y60" s="38"/>
      <c r="Z60" s="39"/>
      <c r="AA60" s="38"/>
      <c r="AB60" s="38"/>
      <c r="AC60" s="38"/>
    </row>
    <row r="61" spans="1:29" ht="48">
      <c r="A61" s="33">
        <f t="shared" si="6"/>
        <v>59</v>
      </c>
      <c r="B61" s="36" t="s">
        <v>181</v>
      </c>
      <c r="C61" s="33">
        <v>41</v>
      </c>
      <c r="D61" s="33">
        <v>42</v>
      </c>
      <c r="E61" s="33">
        <v>3</v>
      </c>
      <c r="F61" s="146">
        <f t="shared" si="1"/>
        <v>77</v>
      </c>
      <c r="G61" s="146">
        <f t="shared" si="2"/>
        <v>80</v>
      </c>
      <c r="H61" s="33">
        <f t="shared" si="0"/>
        <v>85</v>
      </c>
      <c r="I61" s="146">
        <f t="shared" si="3"/>
        <v>88</v>
      </c>
      <c r="J61" s="146">
        <f t="shared" si="4"/>
        <v>8</v>
      </c>
      <c r="K61" s="146">
        <f t="shared" si="5"/>
        <v>0</v>
      </c>
      <c r="S61" s="37"/>
      <c r="T61" s="40"/>
      <c r="U61" s="37"/>
      <c r="V61" s="37"/>
      <c r="W61" s="37"/>
      <c r="X61" s="38"/>
      <c r="Y61" s="38"/>
      <c r="Z61" s="39"/>
      <c r="AA61" s="38"/>
      <c r="AB61" s="38"/>
      <c r="AC61" s="38"/>
    </row>
    <row r="62" spans="1:29">
      <c r="A62" s="33">
        <f t="shared" si="6"/>
        <v>60</v>
      </c>
      <c r="B62" s="36" t="s">
        <v>122</v>
      </c>
      <c r="C62" s="33">
        <v>42</v>
      </c>
      <c r="D62" s="33">
        <v>43</v>
      </c>
      <c r="E62" s="33">
        <v>0</v>
      </c>
      <c r="F62" s="146">
        <f t="shared" si="1"/>
        <v>80</v>
      </c>
      <c r="G62" s="146">
        <f t="shared" si="2"/>
        <v>80</v>
      </c>
      <c r="H62" s="33">
        <f t="shared" si="0"/>
        <v>88</v>
      </c>
      <c r="I62" s="146">
        <f t="shared" si="3"/>
        <v>88</v>
      </c>
      <c r="J62" s="146" t="str">
        <f t="shared" si="4"/>
        <v>-</v>
      </c>
      <c r="K62" s="146" t="str">
        <f t="shared" si="5"/>
        <v>-</v>
      </c>
      <c r="S62" s="37"/>
      <c r="T62" s="40"/>
      <c r="U62" s="37"/>
      <c r="V62" s="37"/>
      <c r="W62" s="37"/>
      <c r="X62" s="38"/>
      <c r="Y62" s="38"/>
      <c r="Z62" s="39"/>
      <c r="AA62" s="38"/>
      <c r="AB62" s="38"/>
      <c r="AC62" s="38"/>
    </row>
    <row r="63" spans="1:29" ht="60">
      <c r="A63" s="33">
        <f t="shared" si="6"/>
        <v>61</v>
      </c>
      <c r="B63" s="148" t="s">
        <v>88</v>
      </c>
      <c r="C63" s="33">
        <v>43</v>
      </c>
      <c r="D63" s="33">
        <v>44</v>
      </c>
      <c r="E63" s="33">
        <v>2</v>
      </c>
      <c r="F63" s="146">
        <f t="shared" si="1"/>
        <v>80</v>
      </c>
      <c r="G63" s="146">
        <f t="shared" si="2"/>
        <v>82</v>
      </c>
      <c r="H63" s="33">
        <f t="shared" si="0"/>
        <v>88</v>
      </c>
      <c r="I63" s="146">
        <f t="shared" si="3"/>
        <v>90</v>
      </c>
      <c r="J63" s="146">
        <f t="shared" si="4"/>
        <v>8</v>
      </c>
      <c r="K63" s="146">
        <f t="shared" si="5"/>
        <v>0</v>
      </c>
      <c r="S63" s="37"/>
      <c r="T63" s="44"/>
      <c r="U63" s="37"/>
      <c r="V63" s="37"/>
      <c r="W63" s="37"/>
      <c r="X63" s="38"/>
      <c r="Y63" s="38"/>
      <c r="Z63" s="39"/>
      <c r="AA63" s="38"/>
      <c r="AB63" s="38"/>
      <c r="AC63" s="38"/>
    </row>
    <row r="64" spans="1:29">
      <c r="A64" s="33">
        <f t="shared" si="6"/>
        <v>62</v>
      </c>
      <c r="B64" s="33" t="s">
        <v>122</v>
      </c>
      <c r="C64" s="33">
        <v>44</v>
      </c>
      <c r="D64" s="33">
        <v>45</v>
      </c>
      <c r="E64" s="33">
        <v>0</v>
      </c>
      <c r="F64" s="146">
        <f t="shared" si="1"/>
        <v>82</v>
      </c>
      <c r="G64" s="146">
        <f t="shared" si="2"/>
        <v>82</v>
      </c>
      <c r="H64" s="33">
        <f t="shared" si="0"/>
        <v>90</v>
      </c>
      <c r="I64" s="146">
        <f t="shared" si="3"/>
        <v>90</v>
      </c>
      <c r="J64" s="146" t="str">
        <f t="shared" si="4"/>
        <v>-</v>
      </c>
      <c r="K64" s="146" t="str">
        <f t="shared" si="5"/>
        <v>-</v>
      </c>
      <c r="S64" s="37"/>
      <c r="T64" s="37"/>
      <c r="U64" s="37"/>
      <c r="V64" s="37"/>
      <c r="W64" s="37"/>
      <c r="X64" s="38"/>
      <c r="Y64" s="38"/>
      <c r="Z64" s="39"/>
      <c r="AA64" s="38"/>
      <c r="AB64" s="38"/>
      <c r="AC64" s="38"/>
    </row>
    <row r="65" spans="1:29" ht="24">
      <c r="A65" s="33">
        <f t="shared" si="6"/>
        <v>63</v>
      </c>
      <c r="B65" s="36" t="s">
        <v>69</v>
      </c>
      <c r="C65" s="33">
        <v>45</v>
      </c>
      <c r="D65" s="33">
        <v>46</v>
      </c>
      <c r="E65" s="33">
        <v>6</v>
      </c>
      <c r="F65" s="146">
        <f t="shared" si="1"/>
        <v>83</v>
      </c>
      <c r="G65" s="146">
        <f t="shared" si="2"/>
        <v>89</v>
      </c>
      <c r="H65" s="33">
        <f t="shared" si="0"/>
        <v>90</v>
      </c>
      <c r="I65" s="146">
        <f t="shared" si="3"/>
        <v>96</v>
      </c>
      <c r="J65" s="146">
        <f t="shared" si="4"/>
        <v>7</v>
      </c>
      <c r="K65" s="146">
        <f t="shared" si="5"/>
        <v>0</v>
      </c>
      <c r="S65" s="37"/>
      <c r="T65" s="40"/>
      <c r="U65" s="37"/>
      <c r="V65" s="37"/>
      <c r="W65" s="37"/>
      <c r="X65" s="38"/>
      <c r="Y65" s="38"/>
      <c r="Z65" s="39"/>
      <c r="AA65" s="38"/>
      <c r="AB65" s="38"/>
      <c r="AC65" s="38"/>
    </row>
    <row r="66" spans="1:29">
      <c r="A66" s="33">
        <f t="shared" si="6"/>
        <v>64</v>
      </c>
      <c r="B66" s="33" t="s">
        <v>122</v>
      </c>
      <c r="C66" s="33">
        <v>46</v>
      </c>
      <c r="D66" s="33">
        <v>47</v>
      </c>
      <c r="E66" s="33">
        <v>0</v>
      </c>
      <c r="F66" s="146">
        <f t="shared" si="1"/>
        <v>89</v>
      </c>
      <c r="G66" s="146">
        <f t="shared" si="2"/>
        <v>89</v>
      </c>
      <c r="H66" s="33">
        <f t="shared" si="0"/>
        <v>96</v>
      </c>
      <c r="I66" s="146">
        <f t="shared" si="3"/>
        <v>96</v>
      </c>
      <c r="J66" s="146" t="str">
        <f t="shared" si="4"/>
        <v>-</v>
      </c>
      <c r="K66" s="146" t="str">
        <f t="shared" si="5"/>
        <v>-</v>
      </c>
      <c r="S66" s="37"/>
      <c r="T66" s="37"/>
      <c r="U66" s="37"/>
      <c r="V66" s="37"/>
      <c r="W66" s="37"/>
      <c r="X66" s="38"/>
      <c r="Y66" s="38"/>
      <c r="Z66" s="39"/>
      <c r="AA66" s="38"/>
      <c r="AB66" s="38"/>
      <c r="AC66" s="38"/>
    </row>
    <row r="67" spans="1:29" ht="24">
      <c r="A67" s="33">
        <f t="shared" si="6"/>
        <v>65</v>
      </c>
      <c r="B67" s="147" t="s">
        <v>65</v>
      </c>
      <c r="C67" s="33">
        <v>47</v>
      </c>
      <c r="D67" s="33">
        <v>48</v>
      </c>
      <c r="E67" s="33">
        <v>13</v>
      </c>
      <c r="F67" s="146">
        <f t="shared" si="1"/>
        <v>96</v>
      </c>
      <c r="G67" s="146">
        <f t="shared" si="2"/>
        <v>109</v>
      </c>
      <c r="H67" s="33">
        <f t="shared" si="0"/>
        <v>96</v>
      </c>
      <c r="I67" s="146">
        <f t="shared" si="3"/>
        <v>109</v>
      </c>
      <c r="J67" s="146">
        <f t="shared" si="4"/>
        <v>0</v>
      </c>
      <c r="K67" s="146">
        <f t="shared" si="5"/>
        <v>0</v>
      </c>
      <c r="S67" s="37"/>
      <c r="T67" s="45"/>
      <c r="U67" s="37"/>
      <c r="V67" s="37"/>
      <c r="W67" s="37"/>
      <c r="X67" s="38"/>
      <c r="Y67" s="38"/>
      <c r="Z67" s="39"/>
      <c r="AA67" s="38"/>
      <c r="AB67" s="38"/>
      <c r="AC67" s="38"/>
    </row>
    <row r="68" spans="1:29">
      <c r="A68" s="33">
        <f t="shared" si="6"/>
        <v>66</v>
      </c>
      <c r="B68" s="36" t="s">
        <v>122</v>
      </c>
      <c r="C68" s="33">
        <v>48</v>
      </c>
      <c r="D68" s="33">
        <v>49</v>
      </c>
      <c r="E68" s="33">
        <v>0</v>
      </c>
      <c r="F68" s="146">
        <f t="shared" ref="F68:F77" si="7">IF($C68=1,0,_xlfn.MAXIFS($G$3:$G$108,$D$3:$D$108,$C68))</f>
        <v>109</v>
      </c>
      <c r="G68" s="146">
        <f t="shared" ref="G68:G77" si="8">F68+E68</f>
        <v>109</v>
      </c>
      <c r="H68" s="33">
        <f t="shared" ref="H68:H76" si="9">I68-E68</f>
        <v>109</v>
      </c>
      <c r="I68" s="146">
        <f t="shared" ref="I68:I77" si="10">IF($D68=MAX($D$3:$D$77),MAX($G$3:$G$77),_xlfn.MINIFS($H$3:$H$77,$C$3:$C$77,$D68))</f>
        <v>109</v>
      </c>
      <c r="J68" s="146" t="str">
        <f t="shared" ref="J68:J77" si="11">IF(E68=0,"-",I68-G68)</f>
        <v>-</v>
      </c>
      <c r="K68" s="146" t="str">
        <f t="shared" ref="K68:K77" si="12">IF($E68=0,"-",_xlfn.MAXIFS($G$3:$G$108,$D$3:$D$108,$D68)-($F68+$E68))</f>
        <v>-</v>
      </c>
      <c r="S68" s="37"/>
      <c r="T68" s="40"/>
      <c r="U68" s="37"/>
      <c r="V68" s="37"/>
      <c r="W68" s="37"/>
      <c r="X68" s="38"/>
      <c r="Y68" s="38"/>
      <c r="Z68" s="39"/>
      <c r="AA68" s="38"/>
      <c r="AB68" s="38"/>
      <c r="AC68" s="38"/>
    </row>
    <row r="69" spans="1:29" ht="36">
      <c r="A69" s="33">
        <f t="shared" ref="A69:A80" si="13">A68+1</f>
        <v>67</v>
      </c>
      <c r="B69" s="36" t="s">
        <v>101</v>
      </c>
      <c r="C69" s="33">
        <v>49</v>
      </c>
      <c r="D69" s="33">
        <v>50</v>
      </c>
      <c r="E69" s="33">
        <v>2</v>
      </c>
      <c r="F69" s="146">
        <f t="shared" si="7"/>
        <v>109</v>
      </c>
      <c r="G69" s="146">
        <f t="shared" si="8"/>
        <v>111</v>
      </c>
      <c r="H69" s="33">
        <f t="shared" si="9"/>
        <v>109</v>
      </c>
      <c r="I69" s="146">
        <f t="shared" si="10"/>
        <v>111</v>
      </c>
      <c r="J69" s="146">
        <f t="shared" si="11"/>
        <v>0</v>
      </c>
      <c r="K69" s="146">
        <f t="shared" si="12"/>
        <v>0</v>
      </c>
      <c r="S69" s="37"/>
      <c r="T69" s="40"/>
      <c r="U69" s="37"/>
      <c r="V69" s="37"/>
      <c r="W69" s="37"/>
      <c r="X69" s="38"/>
      <c r="Y69" s="38"/>
      <c r="Z69" s="39"/>
      <c r="AA69" s="38"/>
      <c r="AB69" s="38"/>
      <c r="AC69" s="38"/>
    </row>
    <row r="70" spans="1:29">
      <c r="A70" s="33">
        <f t="shared" si="13"/>
        <v>68</v>
      </c>
      <c r="B70" s="33" t="s">
        <v>122</v>
      </c>
      <c r="C70" s="33">
        <v>50</v>
      </c>
      <c r="D70" s="33">
        <v>51</v>
      </c>
      <c r="E70" s="33">
        <v>0</v>
      </c>
      <c r="F70" s="146">
        <f t="shared" si="7"/>
        <v>111</v>
      </c>
      <c r="G70" s="146">
        <f t="shared" si="8"/>
        <v>111</v>
      </c>
      <c r="H70" s="33">
        <f t="shared" si="9"/>
        <v>111</v>
      </c>
      <c r="I70" s="146">
        <f t="shared" si="10"/>
        <v>111</v>
      </c>
      <c r="J70" s="146" t="str">
        <f t="shared" si="11"/>
        <v>-</v>
      </c>
      <c r="K70" s="146" t="str">
        <f t="shared" si="12"/>
        <v>-</v>
      </c>
      <c r="S70" s="37"/>
      <c r="T70" s="37"/>
      <c r="U70" s="37"/>
      <c r="V70" s="37"/>
      <c r="W70" s="37"/>
      <c r="X70" s="38"/>
      <c r="Y70" s="38"/>
      <c r="Z70" s="39"/>
      <c r="AA70" s="38"/>
      <c r="AB70" s="38"/>
      <c r="AC70" s="38"/>
    </row>
    <row r="71" spans="1:29" ht="15" customHeight="1">
      <c r="A71" s="33">
        <f t="shared" si="13"/>
        <v>69</v>
      </c>
      <c r="B71" s="147" t="s">
        <v>76</v>
      </c>
      <c r="C71" s="33">
        <v>51</v>
      </c>
      <c r="D71" s="33">
        <v>52</v>
      </c>
      <c r="E71" s="33">
        <v>5</v>
      </c>
      <c r="F71" s="146">
        <f t="shared" si="7"/>
        <v>111</v>
      </c>
      <c r="G71" s="146">
        <f t="shared" si="8"/>
        <v>116</v>
      </c>
      <c r="H71" s="33">
        <f t="shared" si="9"/>
        <v>111</v>
      </c>
      <c r="I71" s="146">
        <f t="shared" si="10"/>
        <v>116</v>
      </c>
      <c r="J71" s="146">
        <f t="shared" si="11"/>
        <v>0</v>
      </c>
      <c r="K71" s="146">
        <f t="shared" si="12"/>
        <v>0</v>
      </c>
      <c r="S71" s="37"/>
      <c r="T71" s="45"/>
      <c r="U71" s="37"/>
      <c r="V71" s="37"/>
      <c r="W71" s="37"/>
      <c r="X71" s="38"/>
      <c r="Y71" s="38"/>
      <c r="Z71" s="39"/>
      <c r="AA71" s="38"/>
      <c r="AB71" s="38"/>
      <c r="AC71" s="38"/>
    </row>
    <row r="72" spans="1:29">
      <c r="A72" s="33">
        <f t="shared" si="13"/>
        <v>70</v>
      </c>
      <c r="B72" s="33" t="s">
        <v>131</v>
      </c>
      <c r="C72" s="33">
        <v>52</v>
      </c>
      <c r="D72" s="33">
        <v>54</v>
      </c>
      <c r="E72" s="33">
        <v>12</v>
      </c>
      <c r="F72" s="146">
        <f t="shared" si="7"/>
        <v>116</v>
      </c>
      <c r="G72" s="146">
        <f t="shared" si="8"/>
        <v>128</v>
      </c>
      <c r="H72" s="33">
        <f t="shared" si="9"/>
        <v>116</v>
      </c>
      <c r="I72" s="146">
        <f t="shared" si="10"/>
        <v>128</v>
      </c>
      <c r="J72" s="146">
        <f t="shared" si="11"/>
        <v>0</v>
      </c>
      <c r="K72" s="146">
        <f t="shared" si="12"/>
        <v>0</v>
      </c>
      <c r="S72" s="37"/>
      <c r="T72" s="37"/>
      <c r="U72" s="37"/>
      <c r="V72" s="37"/>
      <c r="W72" s="37"/>
      <c r="X72" s="38"/>
      <c r="Y72" s="38"/>
      <c r="Z72" s="39"/>
      <c r="AA72" s="38"/>
      <c r="AB72" s="38"/>
      <c r="AC72" s="38"/>
    </row>
    <row r="73" spans="1:29" ht="15" customHeight="1">
      <c r="A73" s="33">
        <f t="shared" si="13"/>
        <v>71</v>
      </c>
      <c r="B73" s="33" t="s">
        <v>122</v>
      </c>
      <c r="C73" s="33">
        <v>53</v>
      </c>
      <c r="D73" s="33">
        <v>54</v>
      </c>
      <c r="E73" s="33">
        <v>0</v>
      </c>
      <c r="F73" s="146">
        <f t="shared" si="7"/>
        <v>67</v>
      </c>
      <c r="G73" s="146">
        <f t="shared" si="8"/>
        <v>67</v>
      </c>
      <c r="H73" s="33">
        <f t="shared" si="9"/>
        <v>128</v>
      </c>
      <c r="I73" s="146">
        <f t="shared" si="10"/>
        <v>128</v>
      </c>
      <c r="J73" s="146" t="str">
        <f t="shared" si="11"/>
        <v>-</v>
      </c>
      <c r="K73" s="146" t="str">
        <f t="shared" si="12"/>
        <v>-</v>
      </c>
      <c r="S73" s="37"/>
      <c r="T73" s="37"/>
      <c r="U73" s="37"/>
      <c r="V73" s="37"/>
      <c r="W73" s="37"/>
      <c r="X73" s="38"/>
      <c r="Y73" s="38"/>
      <c r="Z73" s="39"/>
      <c r="AA73" s="38"/>
      <c r="AB73" s="38"/>
      <c r="AC73" s="38"/>
    </row>
    <row r="74" spans="1:29" ht="24">
      <c r="A74" s="33">
        <f t="shared" si="13"/>
        <v>72</v>
      </c>
      <c r="B74" s="36" t="s">
        <v>152</v>
      </c>
      <c r="C74" s="33">
        <v>54</v>
      </c>
      <c r="D74" s="33">
        <v>55</v>
      </c>
      <c r="E74" s="33">
        <v>10</v>
      </c>
      <c r="F74" s="146">
        <f t="shared" si="7"/>
        <v>128</v>
      </c>
      <c r="G74" s="146">
        <f t="shared" si="8"/>
        <v>138</v>
      </c>
      <c r="H74" s="33">
        <f t="shared" si="9"/>
        <v>128</v>
      </c>
      <c r="I74" s="146">
        <f t="shared" si="10"/>
        <v>138</v>
      </c>
      <c r="J74" s="146">
        <f t="shared" si="11"/>
        <v>0</v>
      </c>
      <c r="K74" s="146">
        <f t="shared" si="12"/>
        <v>0</v>
      </c>
      <c r="S74" s="37"/>
      <c r="T74" s="40"/>
      <c r="U74" s="37"/>
      <c r="V74" s="37"/>
      <c r="W74" s="37"/>
      <c r="X74" s="38"/>
      <c r="Y74" s="38"/>
      <c r="Z74" s="39"/>
      <c r="AA74" s="38"/>
      <c r="AB74" s="38"/>
      <c r="AC74" s="38"/>
    </row>
    <row r="75" spans="1:29" ht="15" customHeight="1">
      <c r="A75" s="33">
        <f t="shared" si="13"/>
        <v>73</v>
      </c>
      <c r="B75" s="33" t="s">
        <v>129</v>
      </c>
      <c r="C75" s="33">
        <v>55</v>
      </c>
      <c r="D75" s="33">
        <v>56</v>
      </c>
      <c r="E75" s="33">
        <v>2</v>
      </c>
      <c r="F75" s="146">
        <f t="shared" si="7"/>
        <v>138</v>
      </c>
      <c r="G75" s="146">
        <f t="shared" si="8"/>
        <v>140</v>
      </c>
      <c r="H75" s="33">
        <f t="shared" si="9"/>
        <v>138</v>
      </c>
      <c r="I75" s="146">
        <f t="shared" si="10"/>
        <v>140</v>
      </c>
      <c r="J75" s="146">
        <f t="shared" si="11"/>
        <v>0</v>
      </c>
      <c r="K75" s="146">
        <f t="shared" si="12"/>
        <v>0</v>
      </c>
      <c r="S75" s="37"/>
      <c r="T75" s="37"/>
      <c r="U75" s="37"/>
      <c r="V75" s="37"/>
      <c r="W75" s="37"/>
      <c r="X75" s="38"/>
      <c r="Y75" s="38"/>
      <c r="Z75" s="39"/>
      <c r="AA75" s="38"/>
      <c r="AB75" s="38"/>
      <c r="AC75" s="38"/>
    </row>
    <row r="76" spans="1:29" ht="24">
      <c r="A76" s="33">
        <f t="shared" si="13"/>
        <v>74</v>
      </c>
      <c r="B76" s="36" t="s">
        <v>153</v>
      </c>
      <c r="C76" s="33">
        <v>56</v>
      </c>
      <c r="D76" s="33">
        <v>57</v>
      </c>
      <c r="E76" s="33">
        <v>5</v>
      </c>
      <c r="F76" s="146">
        <f t="shared" si="7"/>
        <v>140</v>
      </c>
      <c r="G76" s="146">
        <f t="shared" si="8"/>
        <v>145</v>
      </c>
      <c r="H76" s="33">
        <f t="shared" si="9"/>
        <v>140</v>
      </c>
      <c r="I76" s="146">
        <f t="shared" si="10"/>
        <v>145</v>
      </c>
      <c r="J76" s="146">
        <f t="shared" si="11"/>
        <v>0</v>
      </c>
      <c r="K76" s="146">
        <f t="shared" si="12"/>
        <v>0</v>
      </c>
      <c r="S76" s="37"/>
      <c r="T76" s="40"/>
      <c r="U76" s="37"/>
      <c r="V76" s="37"/>
      <c r="W76" s="37"/>
      <c r="X76" s="38"/>
      <c r="Y76" s="38"/>
      <c r="Z76" s="39"/>
      <c r="AA76" s="38"/>
      <c r="AB76" s="38"/>
      <c r="AC76" s="38"/>
    </row>
    <row r="77" spans="1:29">
      <c r="A77" s="33">
        <f t="shared" si="13"/>
        <v>75</v>
      </c>
      <c r="B77" s="33" t="s">
        <v>154</v>
      </c>
      <c r="C77" s="33">
        <v>57</v>
      </c>
      <c r="D77" s="33">
        <v>58</v>
      </c>
      <c r="E77" s="33">
        <v>1</v>
      </c>
      <c r="F77" s="146">
        <f t="shared" si="7"/>
        <v>145</v>
      </c>
      <c r="G77" s="146">
        <f t="shared" si="8"/>
        <v>146</v>
      </c>
      <c r="H77" s="33">
        <f>I77-E77</f>
        <v>145</v>
      </c>
      <c r="I77" s="146">
        <f t="shared" si="10"/>
        <v>146</v>
      </c>
      <c r="J77" s="146">
        <f t="shared" si="11"/>
        <v>0</v>
      </c>
      <c r="K77" s="146">
        <f t="shared" si="12"/>
        <v>0</v>
      </c>
      <c r="S77" s="37"/>
      <c r="T77" s="37"/>
      <c r="U77" s="37"/>
      <c r="V77" s="37"/>
      <c r="W77" s="37"/>
      <c r="X77" s="38"/>
      <c r="Y77" s="38"/>
      <c r="Z77" s="39"/>
      <c r="AA77" s="38"/>
      <c r="AB77" s="38"/>
      <c r="AC77" s="38"/>
    </row>
    <row r="78" spans="1:29" ht="15" customHeight="1">
      <c r="A78" s="29">
        <f t="shared" si="13"/>
        <v>76</v>
      </c>
      <c r="S78" s="37"/>
    </row>
    <row r="79" spans="1:29">
      <c r="A79" s="30">
        <f t="shared" si="13"/>
        <v>77</v>
      </c>
      <c r="S79" s="37"/>
    </row>
    <row r="80" spans="1:29">
      <c r="A80" s="30">
        <f t="shared" si="13"/>
        <v>78</v>
      </c>
      <c r="S80" s="37"/>
    </row>
    <row r="81" spans="1:29" ht="15" customHeight="1">
      <c r="A81" s="37"/>
      <c r="B81" s="37"/>
      <c r="C81" s="37"/>
      <c r="D81" s="37"/>
      <c r="E81" s="37"/>
      <c r="F81" s="38"/>
      <c r="G81" s="38"/>
      <c r="H81" s="37"/>
      <c r="I81" s="38"/>
      <c r="J81" s="38"/>
      <c r="K81" s="38"/>
      <c r="S81" s="37"/>
      <c r="T81" s="37"/>
      <c r="U81" s="37"/>
      <c r="V81" s="37"/>
      <c r="W81" s="37"/>
      <c r="X81" s="38"/>
      <c r="Y81" s="38"/>
      <c r="Z81" s="37"/>
      <c r="AA81" s="38"/>
      <c r="AB81" s="38"/>
      <c r="AC81" s="38"/>
    </row>
    <row r="82" spans="1:29" ht="15" customHeight="1">
      <c r="A82" s="37"/>
      <c r="B82" s="37"/>
      <c r="C82" s="37"/>
      <c r="D82" s="37"/>
      <c r="E82" s="37"/>
      <c r="F82" s="38"/>
      <c r="G82" s="38"/>
      <c r="H82" s="37"/>
      <c r="I82" s="38"/>
      <c r="J82" s="38"/>
      <c r="K82" s="38"/>
      <c r="S82" s="37"/>
      <c r="T82" s="37"/>
      <c r="U82" s="37"/>
      <c r="V82" s="37"/>
      <c r="W82" s="37"/>
      <c r="X82" s="38"/>
      <c r="Y82" s="38"/>
      <c r="Z82" s="37"/>
      <c r="AA82" s="38"/>
      <c r="AB82" s="38"/>
      <c r="AC82" s="38"/>
    </row>
    <row r="83" spans="1:29" ht="15" customHeight="1">
      <c r="A83" s="37"/>
      <c r="B83" s="37"/>
      <c r="C83" s="37"/>
      <c r="D83" s="37"/>
      <c r="E83" s="37"/>
      <c r="F83" s="38"/>
      <c r="G83" s="38"/>
      <c r="H83" s="37"/>
      <c r="I83" s="38"/>
      <c r="J83" s="38"/>
      <c r="K83" s="38"/>
    </row>
    <row r="84" spans="1:29" ht="15" customHeight="1">
      <c r="A84" s="37"/>
      <c r="B84" s="40"/>
      <c r="C84" s="37"/>
      <c r="D84" s="37"/>
      <c r="E84" s="37"/>
      <c r="F84" s="38"/>
      <c r="G84" s="38"/>
      <c r="H84" s="37"/>
      <c r="I84" s="38"/>
      <c r="J84" s="38"/>
      <c r="K84" s="38"/>
    </row>
    <row r="85" spans="1:29" ht="15" customHeight="1">
      <c r="A85" s="37"/>
      <c r="B85" s="37"/>
      <c r="C85" s="37"/>
      <c r="D85" s="37"/>
      <c r="E85" s="37"/>
      <c r="F85" s="38"/>
      <c r="G85" s="38"/>
      <c r="H85" s="37"/>
      <c r="I85" s="38"/>
      <c r="J85" s="38"/>
      <c r="K85" s="38"/>
    </row>
    <row r="86" spans="1:29" ht="15" customHeight="1">
      <c r="A86" s="37"/>
      <c r="B86" s="40"/>
      <c r="C86" s="37"/>
      <c r="D86" s="37"/>
      <c r="E86" s="37"/>
      <c r="F86" s="38"/>
      <c r="G86" s="38"/>
      <c r="H86" s="37"/>
      <c r="I86" s="38"/>
      <c r="J86" s="38"/>
      <c r="K86" s="38"/>
    </row>
    <row r="87" spans="1:29" ht="15" customHeight="1">
      <c r="A87" s="37"/>
      <c r="B87" s="37"/>
      <c r="C87" s="37"/>
      <c r="D87" s="37"/>
      <c r="E87" s="37"/>
      <c r="F87" s="38"/>
      <c r="G87" s="38"/>
      <c r="H87" s="37"/>
      <c r="I87" s="38"/>
      <c r="J87" s="38"/>
      <c r="K87" s="38"/>
    </row>
    <row r="88" spans="1:29" ht="15" customHeight="1">
      <c r="A88" s="37"/>
      <c r="B88" s="40"/>
      <c r="C88" s="37"/>
      <c r="D88" s="37"/>
      <c r="E88" s="37"/>
      <c r="F88" s="38"/>
      <c r="G88" s="38"/>
      <c r="H88" s="37"/>
      <c r="I88" s="38"/>
      <c r="J88" s="38"/>
      <c r="K88" s="38"/>
    </row>
    <row r="89" spans="1:29" ht="15" customHeight="1">
      <c r="A89" s="37"/>
      <c r="B89" s="37"/>
      <c r="C89" s="37"/>
      <c r="D89" s="37"/>
      <c r="E89" s="37"/>
      <c r="F89" s="38"/>
      <c r="G89" s="38"/>
      <c r="H89" s="37"/>
      <c r="I89" s="38"/>
      <c r="J89" s="38"/>
      <c r="K89" s="38"/>
    </row>
    <row r="90" spans="1:29" ht="15" customHeight="1">
      <c r="A90" s="37"/>
      <c r="B90" s="40"/>
      <c r="C90" s="37"/>
      <c r="D90" s="37"/>
      <c r="E90" s="37"/>
      <c r="F90" s="38"/>
      <c r="G90" s="38"/>
      <c r="H90" s="37"/>
      <c r="I90" s="38"/>
      <c r="J90" s="38"/>
      <c r="K90" s="38"/>
    </row>
    <row r="91" spans="1:29" ht="15" customHeight="1">
      <c r="A91" s="37"/>
      <c r="B91" s="37"/>
      <c r="C91" s="37"/>
      <c r="D91" s="37"/>
      <c r="E91" s="37"/>
      <c r="F91" s="38"/>
      <c r="G91" s="38"/>
      <c r="H91" s="37"/>
      <c r="I91" s="38"/>
      <c r="J91" s="38"/>
      <c r="K91" s="38"/>
    </row>
    <row r="92" spans="1:29" ht="15" customHeight="1">
      <c r="A92" s="37"/>
      <c r="B92" s="40"/>
      <c r="C92" s="37"/>
      <c r="D92" s="37"/>
      <c r="E92" s="37"/>
      <c r="F92" s="38"/>
      <c r="G92" s="38"/>
      <c r="H92" s="37"/>
      <c r="I92" s="38"/>
      <c r="J92" s="38"/>
      <c r="K92" s="38"/>
    </row>
    <row r="93" spans="1:29" ht="15" customHeight="1">
      <c r="A93" s="37"/>
      <c r="B93" s="37"/>
      <c r="C93" s="37"/>
      <c r="D93" s="37"/>
      <c r="E93" s="37"/>
      <c r="F93" s="38"/>
      <c r="G93" s="38"/>
      <c r="H93" s="37"/>
      <c r="I93" s="38"/>
      <c r="J93" s="38"/>
      <c r="K93" s="38"/>
    </row>
    <row r="94" spans="1:29" ht="15" customHeight="1">
      <c r="A94" s="37"/>
      <c r="B94" s="40"/>
      <c r="C94" s="37"/>
      <c r="D94" s="37"/>
      <c r="E94" s="39"/>
      <c r="F94" s="38"/>
      <c r="G94" s="38"/>
      <c r="H94" s="37"/>
      <c r="I94" s="38"/>
      <c r="J94" s="38"/>
      <c r="K94" s="38"/>
    </row>
    <row r="95" spans="1:29" ht="15" customHeight="1">
      <c r="A95" s="37"/>
      <c r="B95" s="37"/>
      <c r="C95" s="37"/>
      <c r="D95" s="37"/>
      <c r="E95" s="37"/>
      <c r="F95" s="38"/>
      <c r="G95" s="38"/>
      <c r="H95" s="37"/>
      <c r="I95" s="38"/>
      <c r="J95" s="38"/>
      <c r="K95" s="38"/>
    </row>
    <row r="96" spans="1:29" ht="15" customHeight="1">
      <c r="A96" s="37"/>
      <c r="B96" s="40"/>
      <c r="C96" s="37"/>
      <c r="D96" s="37"/>
      <c r="E96" s="37"/>
      <c r="F96" s="38"/>
      <c r="G96" s="38"/>
      <c r="H96" s="37"/>
      <c r="I96" s="38"/>
      <c r="J96" s="38"/>
      <c r="K96" s="38"/>
    </row>
    <row r="97" spans="1:11" ht="15" customHeight="1">
      <c r="A97" s="37"/>
      <c r="B97" s="37"/>
      <c r="C97" s="37"/>
      <c r="D97" s="37"/>
      <c r="E97" s="37"/>
      <c r="F97" s="38"/>
      <c r="G97" s="38"/>
      <c r="H97" s="37"/>
      <c r="I97" s="38"/>
      <c r="J97" s="38"/>
      <c r="K97" s="38"/>
    </row>
    <row r="98" spans="1:11" ht="15" customHeight="1">
      <c r="A98" s="37"/>
      <c r="B98" s="37"/>
      <c r="C98" s="37"/>
      <c r="D98" s="37"/>
      <c r="E98" s="37"/>
      <c r="F98" s="38"/>
      <c r="G98" s="38"/>
      <c r="H98" s="37"/>
      <c r="I98" s="38"/>
      <c r="J98" s="38"/>
      <c r="K98" s="38"/>
    </row>
    <row r="99" spans="1:11" ht="15" customHeight="1">
      <c r="A99" s="37"/>
      <c r="B99" s="37"/>
      <c r="C99" s="37"/>
      <c r="D99" s="37"/>
      <c r="E99" s="37"/>
      <c r="F99" s="38"/>
      <c r="G99" s="38"/>
      <c r="H99" s="37"/>
      <c r="I99" s="38"/>
      <c r="J99" s="38"/>
      <c r="K99" s="38"/>
    </row>
    <row r="100" spans="1:11" ht="15" customHeight="1">
      <c r="A100" s="37"/>
      <c r="B100" s="37"/>
      <c r="C100" s="37"/>
      <c r="D100" s="37"/>
      <c r="E100" s="37"/>
      <c r="F100" s="38"/>
      <c r="G100" s="38"/>
      <c r="H100" s="37"/>
      <c r="I100" s="38"/>
      <c r="J100" s="38"/>
      <c r="K100" s="38"/>
    </row>
    <row r="101" spans="1:11" ht="15" customHeight="1">
      <c r="A101" s="37"/>
      <c r="B101" s="37"/>
      <c r="C101" s="37"/>
      <c r="D101" s="37"/>
      <c r="E101" s="37"/>
      <c r="F101" s="38"/>
      <c r="G101" s="38"/>
      <c r="H101" s="37"/>
      <c r="I101" s="38"/>
      <c r="J101" s="38"/>
      <c r="K101" s="38"/>
    </row>
    <row r="102" spans="1:11" ht="15" customHeight="1">
      <c r="A102" s="37"/>
      <c r="B102" s="37"/>
      <c r="C102" s="37"/>
      <c r="D102" s="37"/>
      <c r="E102" s="37"/>
      <c r="F102" s="38"/>
      <c r="G102" s="37"/>
      <c r="H102" s="37"/>
      <c r="I102" s="38"/>
      <c r="J102" s="38"/>
      <c r="K102" s="38"/>
    </row>
    <row r="103" spans="1:11" ht="15" customHeight="1">
      <c r="A103" s="37"/>
      <c r="B103" s="37"/>
      <c r="C103" s="37"/>
      <c r="D103" s="37"/>
      <c r="E103" s="37"/>
      <c r="F103" s="38"/>
      <c r="G103" s="37"/>
      <c r="H103" s="37"/>
      <c r="I103" s="38"/>
      <c r="J103" s="38"/>
      <c r="K103" s="38"/>
    </row>
    <row r="104" spans="1:11" ht="15" customHeight="1">
      <c r="A104" s="37"/>
      <c r="B104" s="37"/>
      <c r="C104" s="37"/>
      <c r="D104" s="37"/>
      <c r="E104" s="37"/>
      <c r="F104" s="38"/>
      <c r="G104" s="37"/>
      <c r="H104" s="37"/>
      <c r="I104" s="38"/>
      <c r="J104" s="38"/>
      <c r="K104" s="38"/>
    </row>
    <row r="105" spans="1:11" ht="15" customHeight="1">
      <c r="A105" s="37"/>
      <c r="B105" s="40"/>
      <c r="C105" s="37"/>
      <c r="D105" s="37"/>
      <c r="E105" s="37"/>
      <c r="F105" s="38"/>
      <c r="G105" s="37"/>
      <c r="H105" s="37"/>
      <c r="I105" s="38"/>
      <c r="J105" s="38"/>
      <c r="K105" s="38"/>
    </row>
    <row r="106" spans="1:11" ht="15" customHeight="1">
      <c r="A106" s="37"/>
      <c r="B106" s="37"/>
      <c r="C106" s="37"/>
      <c r="D106" s="37"/>
      <c r="E106" s="37"/>
      <c r="F106" s="38"/>
      <c r="G106" s="37"/>
      <c r="H106" s="37"/>
      <c r="I106" s="38"/>
      <c r="J106" s="38"/>
      <c r="K106" s="38"/>
    </row>
    <row r="107" spans="1:11" ht="15" customHeight="1">
      <c r="A107" s="37"/>
      <c r="B107" s="40"/>
      <c r="C107" s="37"/>
      <c r="D107" s="37"/>
      <c r="E107" s="37"/>
      <c r="F107" s="38"/>
      <c r="G107" s="37"/>
      <c r="H107" s="37"/>
      <c r="I107" s="38"/>
      <c r="J107" s="38"/>
      <c r="K107" s="38"/>
    </row>
    <row r="108" spans="1:11" ht="15" customHeight="1">
      <c r="A108" s="37"/>
      <c r="B108" s="37"/>
      <c r="C108" s="37"/>
      <c r="D108" s="37"/>
      <c r="E108" s="37"/>
      <c r="F108" s="38"/>
      <c r="G108" s="41"/>
      <c r="H108" s="37"/>
      <c r="I108" s="38"/>
      <c r="J108" s="38"/>
      <c r="K108" s="38"/>
    </row>
    <row r="109" spans="1:11" ht="15" customHeight="1"/>
    <row r="110" spans="1:11" ht="15" customHeight="1"/>
    <row r="111" spans="1:11" ht="15" customHeight="1"/>
    <row r="112" spans="1:11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</sheetData>
  <mergeCells count="14">
    <mergeCell ref="AB1:AC1"/>
    <mergeCell ref="J1:K1"/>
    <mergeCell ref="A1:A2"/>
    <mergeCell ref="B1:B2"/>
    <mergeCell ref="C1:C2"/>
    <mergeCell ref="D1:D2"/>
    <mergeCell ref="E1:E2"/>
    <mergeCell ref="F1:I1"/>
    <mergeCell ref="S1:S2"/>
    <mergeCell ref="T1:T2"/>
    <mergeCell ref="U1:U2"/>
    <mergeCell ref="V1:V2"/>
    <mergeCell ref="W1:W2"/>
    <mergeCell ref="X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604C-661B-49FD-84E6-FB50E8A6DDDB}">
  <sheetPr codeName="Лист4"/>
  <dimension ref="A2:AMJ232"/>
  <sheetViews>
    <sheetView topLeftCell="L76" zoomScale="55" zoomScaleNormal="55" workbookViewId="0">
      <selection activeCell="M19" sqref="M19:O81"/>
    </sheetView>
  </sheetViews>
  <sheetFormatPr defaultColWidth="9.140625" defaultRowHeight="15.75"/>
  <cols>
    <col min="1" max="1" width="9.140625" style="5"/>
    <col min="2" max="2" width="3.85546875" style="72" customWidth="1"/>
    <col min="3" max="3" width="50.28515625" style="72" customWidth="1"/>
    <col min="4" max="5" width="10.5703125" style="72" customWidth="1"/>
    <col min="6" max="6" width="24.28515625" style="72" customWidth="1"/>
    <col min="7" max="7" width="29.28515625" style="72" customWidth="1"/>
    <col min="8" max="8" width="17.42578125" style="72" customWidth="1"/>
    <col min="9" max="9" width="26.42578125" style="72" customWidth="1"/>
    <col min="10" max="10" width="22" style="77" customWidth="1"/>
    <col min="11" max="11" width="23.5703125" style="5" customWidth="1"/>
    <col min="12" max="12" width="11.7109375" style="5" customWidth="1"/>
    <col min="13" max="13" width="19.28515625" style="72" customWidth="1"/>
    <col min="14" max="14" width="13.85546875" style="72" customWidth="1"/>
    <col min="15" max="15" width="18.85546875" style="72" customWidth="1"/>
    <col min="16" max="16" width="22.85546875" style="5" customWidth="1"/>
    <col min="17" max="17" width="14.42578125" style="5" customWidth="1"/>
    <col min="18" max="18" width="27.140625" style="5" customWidth="1"/>
    <col min="19" max="19" width="21.5703125" style="5" customWidth="1"/>
    <col min="20" max="1024" width="9.140625" style="5"/>
  </cols>
  <sheetData>
    <row r="2" spans="2:21" ht="15.75" customHeight="1">
      <c r="B2" s="11"/>
      <c r="C2" s="11"/>
      <c r="D2" s="11"/>
      <c r="E2" s="11"/>
      <c r="F2" s="11"/>
      <c r="G2" s="11"/>
      <c r="H2" s="11"/>
      <c r="I2" s="11"/>
      <c r="J2" s="76"/>
      <c r="K2"/>
      <c r="L2"/>
      <c r="M2" s="11"/>
      <c r="N2" s="11"/>
      <c r="O2" s="11"/>
      <c r="P2"/>
      <c r="Q2"/>
      <c r="R2"/>
      <c r="S2"/>
    </row>
    <row r="3" spans="2:21">
      <c r="B3" s="11"/>
      <c r="C3" s="11"/>
      <c r="D3" s="11"/>
      <c r="E3" s="11"/>
      <c r="F3" s="11"/>
      <c r="G3" s="11"/>
      <c r="H3" s="11"/>
      <c r="I3" s="11"/>
      <c r="J3" s="76"/>
      <c r="K3"/>
      <c r="L3"/>
      <c r="M3" s="11"/>
      <c r="N3" s="11"/>
      <c r="O3" s="11"/>
      <c r="P3"/>
      <c r="Q3"/>
      <c r="R3"/>
      <c r="S3"/>
    </row>
    <row r="4" spans="2:21">
      <c r="B4" s="177"/>
      <c r="C4" s="177"/>
      <c r="D4" s="177"/>
      <c r="E4" s="179"/>
      <c r="F4" s="177"/>
      <c r="G4" s="177"/>
      <c r="H4" s="177"/>
      <c r="I4" s="177"/>
      <c r="J4" s="179"/>
      <c r="K4"/>
      <c r="L4"/>
      <c r="M4" s="11"/>
      <c r="N4" s="11"/>
      <c r="O4" s="11"/>
      <c r="P4"/>
      <c r="Q4"/>
      <c r="R4"/>
      <c r="S4"/>
    </row>
    <row r="5" spans="2:21" ht="15" customHeight="1">
      <c r="B5" s="178"/>
      <c r="C5" s="178"/>
      <c r="D5" s="69"/>
      <c r="E5" s="69"/>
      <c r="F5" s="178"/>
      <c r="G5" s="178"/>
      <c r="H5" s="178"/>
      <c r="I5" s="69"/>
      <c r="J5" s="63"/>
      <c r="K5"/>
      <c r="L5"/>
      <c r="M5" s="11"/>
      <c r="N5" s="11"/>
      <c r="O5" s="11"/>
      <c r="P5"/>
      <c r="Q5"/>
      <c r="R5"/>
      <c r="S5"/>
    </row>
    <row r="7" spans="2:21">
      <c r="B7" s="11"/>
      <c r="C7" s="11"/>
      <c r="D7" s="11"/>
      <c r="E7" s="11"/>
      <c r="F7" s="11"/>
      <c r="G7" s="11"/>
      <c r="H7" s="11"/>
      <c r="I7" s="11"/>
      <c r="J7" s="76"/>
      <c r="K7"/>
      <c r="L7"/>
      <c r="M7" s="11"/>
      <c r="N7" s="11"/>
      <c r="O7" s="11"/>
      <c r="P7"/>
      <c r="Q7"/>
      <c r="R7"/>
      <c r="S7"/>
      <c r="U7" s="26">
        <f>SUM(Q23:Q42)</f>
        <v>0</v>
      </c>
    </row>
    <row r="8" spans="2:21" ht="15.6" customHeight="1">
      <c r="K8" s="62"/>
      <c r="L8" s="62"/>
      <c r="M8" s="58"/>
      <c r="N8" s="58"/>
      <c r="O8" s="58"/>
      <c r="P8" s="62"/>
      <c r="Q8" s="62"/>
      <c r="R8" s="62"/>
      <c r="S8" s="62"/>
    </row>
    <row r="9" spans="2:21">
      <c r="K9" s="58"/>
      <c r="L9" s="62"/>
      <c r="M9" s="58"/>
      <c r="N9" s="58"/>
      <c r="O9" s="58"/>
      <c r="P9" s="62"/>
      <c r="Q9" s="62"/>
      <c r="R9" s="62"/>
      <c r="S9" s="62"/>
    </row>
    <row r="10" spans="2:21" ht="15" customHeight="1">
      <c r="K10" s="54"/>
      <c r="L10" s="54"/>
      <c r="M10" s="54"/>
      <c r="N10" s="54"/>
      <c r="O10" s="54"/>
      <c r="P10" s="54"/>
      <c r="Q10" s="54"/>
      <c r="R10" s="54"/>
      <c r="S10" s="54"/>
    </row>
    <row r="11" spans="2:21" ht="15.6" customHeight="1">
      <c r="K11" s="61"/>
      <c r="L11" s="61"/>
      <c r="M11" s="54"/>
      <c r="N11" s="54"/>
      <c r="O11" s="54"/>
      <c r="P11" s="61"/>
      <c r="Q11" s="61"/>
      <c r="R11" s="61"/>
      <c r="S11" s="61"/>
    </row>
    <row r="12" spans="2:21">
      <c r="K12" s="11"/>
      <c r="L12" s="54"/>
      <c r="M12" s="11"/>
      <c r="N12" s="54"/>
      <c r="O12" s="11"/>
      <c r="P12" s="54"/>
      <c r="Q12" s="11"/>
      <c r="R12" s="55"/>
      <c r="S12" s="56"/>
    </row>
    <row r="13" spans="2:21">
      <c r="B13" s="182" t="s">
        <v>15</v>
      </c>
      <c r="C13" s="182" t="s">
        <v>16</v>
      </c>
      <c r="D13" s="182" t="s">
        <v>183</v>
      </c>
      <c r="E13" s="185"/>
      <c r="F13" s="182" t="s">
        <v>184</v>
      </c>
      <c r="G13" s="182" t="s">
        <v>185</v>
      </c>
      <c r="H13" s="182" t="s">
        <v>186</v>
      </c>
      <c r="I13" s="182" t="s">
        <v>187</v>
      </c>
      <c r="J13" s="185"/>
      <c r="K13" s="56"/>
      <c r="L13" s="54"/>
      <c r="M13" s="54"/>
      <c r="N13" s="54"/>
      <c r="O13" s="54"/>
      <c r="P13" s="54"/>
      <c r="Q13" s="54"/>
      <c r="R13" s="56"/>
      <c r="S13" s="56"/>
    </row>
    <row r="14" spans="2:21">
      <c r="B14" s="183"/>
      <c r="C14" s="183"/>
      <c r="D14" s="103" t="s">
        <v>188</v>
      </c>
      <c r="E14" s="103" t="s">
        <v>189</v>
      </c>
      <c r="F14" s="183"/>
      <c r="G14" s="183"/>
      <c r="H14" s="183"/>
      <c r="I14" s="103" t="s">
        <v>190</v>
      </c>
      <c r="J14" s="104" t="s">
        <v>189</v>
      </c>
      <c r="K14" s="56"/>
      <c r="L14" s="54"/>
      <c r="M14" s="54"/>
      <c r="N14" s="54"/>
      <c r="O14" s="54"/>
      <c r="P14" s="54"/>
      <c r="Q14" s="54"/>
      <c r="R14" s="56"/>
      <c r="S14" s="56"/>
    </row>
    <row r="15" spans="2:21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15">
        <v>9</v>
      </c>
      <c r="K15" s="105"/>
      <c r="L15" s="105"/>
      <c r="M15" s="106"/>
      <c r="N15" s="106"/>
      <c r="O15" s="106"/>
      <c r="P15" s="105"/>
      <c r="Q15"/>
      <c r="R15"/>
      <c r="S15"/>
    </row>
    <row r="16" spans="2:21">
      <c r="B16" s="152" t="s">
        <v>0</v>
      </c>
      <c r="C16" s="152"/>
      <c r="D16" s="152"/>
      <c r="E16" s="152"/>
      <c r="F16" s="152"/>
      <c r="G16" s="152"/>
      <c r="H16" s="152"/>
      <c r="I16" s="152"/>
      <c r="J16" s="152"/>
      <c r="K16" s="105"/>
      <c r="L16" s="105"/>
      <c r="M16" s="106"/>
      <c r="N16" s="106"/>
      <c r="O16" s="106"/>
      <c r="P16" s="105"/>
      <c r="Q16"/>
      <c r="R16"/>
      <c r="S16"/>
    </row>
    <row r="17" spans="1:34">
      <c r="B17" s="4">
        <v>1</v>
      </c>
      <c r="C17" s="75" t="s">
        <v>1</v>
      </c>
      <c r="D17" s="6" t="s">
        <v>2</v>
      </c>
      <c r="E17" s="6">
        <v>2.08</v>
      </c>
      <c r="F17" s="75" t="s">
        <v>3</v>
      </c>
      <c r="G17" s="6" t="s">
        <v>122</v>
      </c>
      <c r="H17" s="107" t="s">
        <v>122</v>
      </c>
      <c r="I17" s="6" t="s">
        <v>122</v>
      </c>
      <c r="J17" s="64" t="s">
        <v>122</v>
      </c>
      <c r="K17" s="105"/>
      <c r="L17" s="105"/>
      <c r="M17" s="106"/>
      <c r="N17" s="106"/>
      <c r="O17" s="106"/>
      <c r="P17" s="105"/>
      <c r="Q17"/>
      <c r="R17"/>
      <c r="S17"/>
    </row>
    <row r="18" spans="1:34">
      <c r="B18" s="4">
        <v>2</v>
      </c>
      <c r="C18" s="6" t="s">
        <v>6</v>
      </c>
      <c r="D18" s="6" t="s">
        <v>7</v>
      </c>
      <c r="E18" s="6">
        <v>1.944</v>
      </c>
      <c r="F18" s="13" t="s">
        <v>8</v>
      </c>
      <c r="G18" s="6" t="s">
        <v>122</v>
      </c>
      <c r="H18" s="6" t="s">
        <v>122</v>
      </c>
      <c r="I18" s="6" t="s">
        <v>122</v>
      </c>
      <c r="J18" s="64" t="s">
        <v>122</v>
      </c>
      <c r="K18" s="105"/>
      <c r="L18" s="105"/>
      <c r="M18" s="106"/>
      <c r="N18" s="106"/>
      <c r="O18" s="106"/>
      <c r="P18" s="105"/>
      <c r="Q18"/>
      <c r="R18"/>
      <c r="S18"/>
    </row>
    <row r="19" spans="1:34" ht="31.5">
      <c r="B19" s="191">
        <v>3</v>
      </c>
      <c r="C19" s="186" t="s">
        <v>9</v>
      </c>
      <c r="D19" s="186" t="s">
        <v>10</v>
      </c>
      <c r="E19" s="186">
        <f>0.1557*2</f>
        <v>0.31140000000000001</v>
      </c>
      <c r="F19" s="193" t="s">
        <v>11</v>
      </c>
      <c r="G19" s="15" t="s">
        <v>288</v>
      </c>
      <c r="H19" s="10" t="s">
        <v>196</v>
      </c>
      <c r="I19" s="10">
        <v>100</v>
      </c>
      <c r="J19" s="64">
        <f>I19*E$19</f>
        <v>31.14</v>
      </c>
      <c r="K19" s="57"/>
      <c r="L19" s="184"/>
      <c r="M19" s="180" t="s">
        <v>286</v>
      </c>
      <c r="N19" s="182" t="s">
        <v>186</v>
      </c>
      <c r="O19" s="182" t="s">
        <v>189</v>
      </c>
      <c r="P19" s="184"/>
      <c r="Q19" s="184"/>
      <c r="R19" s="184"/>
      <c r="S19" s="184"/>
    </row>
    <row r="20" spans="1:34" ht="31.5">
      <c r="B20" s="192"/>
      <c r="C20" s="187"/>
      <c r="D20" s="187"/>
      <c r="E20" s="187"/>
      <c r="F20" s="194"/>
      <c r="G20" s="15" t="s">
        <v>294</v>
      </c>
      <c r="H20" s="10" t="s">
        <v>194</v>
      </c>
      <c r="I20" s="10">
        <v>33.4</v>
      </c>
      <c r="J20" s="64">
        <f>I20*E$19</f>
        <v>10.40076</v>
      </c>
      <c r="K20" s="57">
        <f>SUM(K21:K10000)</f>
        <v>0</v>
      </c>
      <c r="L20" s="184"/>
      <c r="M20" s="181"/>
      <c r="N20" s="183"/>
      <c r="O20" s="182"/>
      <c r="P20" s="184"/>
      <c r="Q20" s="184"/>
      <c r="R20" s="190"/>
      <c r="S20" s="184"/>
    </row>
    <row r="21" spans="1:34" ht="51" customHeight="1">
      <c r="B21" s="149" t="s">
        <v>36</v>
      </c>
      <c r="C21" s="149"/>
      <c r="D21" s="149"/>
      <c r="E21" s="149"/>
      <c r="F21" s="149"/>
      <c r="G21" s="149"/>
      <c r="H21" s="149"/>
      <c r="I21" s="149"/>
      <c r="J21" s="149"/>
      <c r="K21" s="54">
        <f>IF(L21&gt;1,1,0)</f>
        <v>0</v>
      </c>
      <c r="L21" s="54">
        <f t="shared" ref="L21:L74" si="0">COUNTIF(M$21:M$200,M21)</f>
        <v>1</v>
      </c>
      <c r="M21" s="15" t="s">
        <v>288</v>
      </c>
      <c r="N21" s="10" t="s">
        <v>196</v>
      </c>
      <c r="O21" s="108">
        <f>SUMIF(G$19:G$232,M21,$J$19:$J$232)</f>
        <v>31.14</v>
      </c>
      <c r="P21" s="54">
        <f>1</f>
        <v>1</v>
      </c>
      <c r="Q21" s="79"/>
      <c r="R21" s="82" t="s">
        <v>288</v>
      </c>
      <c r="S21" s="54"/>
      <c r="AE21" s="5">
        <v>1</v>
      </c>
      <c r="AF21" s="180" t="s">
        <v>286</v>
      </c>
      <c r="AG21" s="182" t="s">
        <v>186</v>
      </c>
      <c r="AH21" s="182" t="s">
        <v>189</v>
      </c>
    </row>
    <row r="22" spans="1:34" ht="110.25">
      <c r="B22" s="192">
        <v>1</v>
      </c>
      <c r="C22" s="187" t="s">
        <v>37</v>
      </c>
      <c r="D22" s="187" t="s">
        <v>10</v>
      </c>
      <c r="E22" s="187">
        <v>1.1499999999999999</v>
      </c>
      <c r="F22" s="194" t="s">
        <v>38</v>
      </c>
      <c r="G22" s="73" t="s">
        <v>191</v>
      </c>
      <c r="H22" s="70" t="s">
        <v>192</v>
      </c>
      <c r="I22" s="70">
        <v>0.3</v>
      </c>
      <c r="J22" s="71">
        <f>I22*E22</f>
        <v>0.34499999999999997</v>
      </c>
      <c r="K22" s="54">
        <f t="shared" ref="K22:K80" si="1">IF(L22&gt;1,1,0)</f>
        <v>0</v>
      </c>
      <c r="L22" s="54">
        <f t="shared" si="0"/>
        <v>1</v>
      </c>
      <c r="M22" s="73" t="s">
        <v>191</v>
      </c>
      <c r="N22" s="15" t="s">
        <v>194</v>
      </c>
      <c r="O22" s="108">
        <f>SUMIF(G$19:G$232,M22,$J$19:$J$232)</f>
        <v>0.69</v>
      </c>
      <c r="P22" s="78">
        <f>P21+1</f>
        <v>2</v>
      </c>
      <c r="Q22" s="59"/>
      <c r="R22" s="82" t="s">
        <v>191</v>
      </c>
      <c r="S22" s="59"/>
      <c r="AE22" s="5">
        <f>AE21+1</f>
        <v>2</v>
      </c>
      <c r="AF22" s="181"/>
      <c r="AG22" s="183"/>
      <c r="AH22" s="182"/>
    </row>
    <row r="23" spans="1:34" ht="110.25">
      <c r="B23" s="152"/>
      <c r="C23" s="188"/>
      <c r="D23" s="188"/>
      <c r="E23" s="188"/>
      <c r="F23" s="189"/>
      <c r="G23" s="15" t="s">
        <v>193</v>
      </c>
      <c r="H23" s="15" t="s">
        <v>194</v>
      </c>
      <c r="I23" s="15">
        <v>8.6</v>
      </c>
      <c r="J23" s="64">
        <f>I23*E22</f>
        <v>9.8899999999999988</v>
      </c>
      <c r="K23" s="54">
        <f t="shared" si="1"/>
        <v>0</v>
      </c>
      <c r="L23" s="54">
        <f t="shared" si="0"/>
        <v>1</v>
      </c>
      <c r="M23" s="15" t="s">
        <v>197</v>
      </c>
      <c r="N23" s="15" t="s">
        <v>198</v>
      </c>
      <c r="O23" s="108">
        <f t="shared" ref="O23:O81" si="2">SUMIF(G$19:G$232,M23,$J$19:$J$232)</f>
        <v>3.9359999999999999E-2</v>
      </c>
      <c r="P23" s="78">
        <f t="shared" ref="P23:P81" si="3">P22+1</f>
        <v>3</v>
      </c>
      <c r="Q23" s="54"/>
      <c r="R23" s="82" t="s">
        <v>295</v>
      </c>
      <c r="S23" s="56"/>
      <c r="AE23" s="5">
        <f t="shared" ref="AE23:AE83" si="4">AE22+1</f>
        <v>3</v>
      </c>
      <c r="AF23" s="15" t="s">
        <v>288</v>
      </c>
      <c r="AG23" s="10" t="s">
        <v>196</v>
      </c>
      <c r="AH23" s="108">
        <f>SUMIF(Z$19:Z$232,AF23,$J$19:$J$232)</f>
        <v>0</v>
      </c>
    </row>
    <row r="24" spans="1:34" ht="252">
      <c r="B24" s="152"/>
      <c r="C24" s="188"/>
      <c r="D24" s="188"/>
      <c r="E24" s="188"/>
      <c r="F24" s="189"/>
      <c r="G24" s="15" t="s">
        <v>195</v>
      </c>
      <c r="H24" s="15" t="s">
        <v>196</v>
      </c>
      <c r="I24" s="75">
        <v>100</v>
      </c>
      <c r="J24" s="64">
        <f>I24*E22</f>
        <v>114.99999999999999</v>
      </c>
      <c r="K24" s="54">
        <f t="shared" si="1"/>
        <v>0</v>
      </c>
      <c r="L24" s="54">
        <f t="shared" si="0"/>
        <v>1</v>
      </c>
      <c r="M24" s="15" t="s">
        <v>199</v>
      </c>
      <c r="N24" s="15" t="s">
        <v>200</v>
      </c>
      <c r="O24" s="108">
        <f t="shared" si="2"/>
        <v>94.08</v>
      </c>
      <c r="P24" s="78">
        <f t="shared" si="3"/>
        <v>4</v>
      </c>
      <c r="Q24" s="54"/>
      <c r="R24" s="82" t="s">
        <v>296</v>
      </c>
      <c r="S24" s="56"/>
      <c r="AE24" s="5">
        <f t="shared" si="4"/>
        <v>4</v>
      </c>
      <c r="AF24" s="73" t="s">
        <v>191</v>
      </c>
      <c r="AG24" s="15" t="s">
        <v>194</v>
      </c>
      <c r="AH24" s="108">
        <f>SUMIF(Z$19:Z$232,AF24,$J$19:$J$232)</f>
        <v>0</v>
      </c>
    </row>
    <row r="25" spans="1:34" ht="141.75">
      <c r="B25" s="152">
        <v>2</v>
      </c>
      <c r="C25" s="188" t="s">
        <v>41</v>
      </c>
      <c r="D25" s="188" t="s">
        <v>10</v>
      </c>
      <c r="E25" s="188">
        <v>0.48</v>
      </c>
      <c r="F25" s="189" t="s">
        <v>42</v>
      </c>
      <c r="G25" s="15" t="s">
        <v>197</v>
      </c>
      <c r="H25" s="15" t="s">
        <v>198</v>
      </c>
      <c r="I25" s="15">
        <v>4.1000000000000002E-2</v>
      </c>
      <c r="J25" s="64">
        <f>I25*E$25</f>
        <v>1.968E-2</v>
      </c>
      <c r="K25" s="54">
        <f t="shared" si="1"/>
        <v>0</v>
      </c>
      <c r="L25" s="54">
        <f t="shared" si="0"/>
        <v>1</v>
      </c>
      <c r="M25" s="15" t="s">
        <v>201</v>
      </c>
      <c r="N25" s="15" t="s">
        <v>198</v>
      </c>
      <c r="O25" s="108">
        <f t="shared" si="2"/>
        <v>8.6399999999999984E-3</v>
      </c>
      <c r="P25" s="78">
        <f t="shared" si="3"/>
        <v>5</v>
      </c>
      <c r="Q25" s="54"/>
      <c r="R25" s="82" t="s">
        <v>201</v>
      </c>
      <c r="S25" s="56"/>
      <c r="AE25" s="5">
        <f t="shared" si="4"/>
        <v>5</v>
      </c>
      <c r="AF25" s="15" t="s">
        <v>197</v>
      </c>
      <c r="AG25" s="15" t="s">
        <v>198</v>
      </c>
      <c r="AH25" s="108">
        <f t="shared" ref="AH25:AH65" si="5">SUMIF(Z$19:Z$232,AF25,$J$19:$J$232)</f>
        <v>0</v>
      </c>
    </row>
    <row r="26" spans="1:34" ht="220.5">
      <c r="B26" s="152"/>
      <c r="C26" s="188"/>
      <c r="D26" s="188"/>
      <c r="E26" s="188"/>
      <c r="F26" s="189"/>
      <c r="G26" s="15" t="s">
        <v>199</v>
      </c>
      <c r="H26" s="15" t="s">
        <v>200</v>
      </c>
      <c r="I26" s="15">
        <v>98</v>
      </c>
      <c r="J26" s="64">
        <f t="shared" ref="J26:J33" si="6">I26*E$25</f>
        <v>47.04</v>
      </c>
      <c r="K26" s="54">
        <f t="shared" si="1"/>
        <v>0</v>
      </c>
      <c r="L26" s="54">
        <f t="shared" si="0"/>
        <v>1</v>
      </c>
      <c r="M26" s="15" t="str">
        <f>G30</f>
        <v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v>
      </c>
      <c r="N26" s="109" t="str">
        <f>H30</f>
        <v> т</v>
      </c>
      <c r="O26" s="108">
        <f t="shared" si="2"/>
        <v>0.24959999999999999</v>
      </c>
      <c r="P26" s="78">
        <f t="shared" si="3"/>
        <v>6</v>
      </c>
      <c r="Q26" s="54"/>
      <c r="R26" s="82" t="s">
        <v>204</v>
      </c>
      <c r="S26" s="56"/>
      <c r="AE26" s="5">
        <f t="shared" si="4"/>
        <v>6</v>
      </c>
      <c r="AF26" s="15" t="s">
        <v>199</v>
      </c>
      <c r="AG26" s="15" t="s">
        <v>200</v>
      </c>
      <c r="AH26" s="108">
        <f t="shared" si="5"/>
        <v>0</v>
      </c>
    </row>
    <row r="27" spans="1:34" ht="78.75">
      <c r="A27"/>
      <c r="B27" s="152"/>
      <c r="C27" s="188"/>
      <c r="D27" s="188"/>
      <c r="E27" s="188"/>
      <c r="F27" s="189"/>
      <c r="G27" s="15" t="s">
        <v>201</v>
      </c>
      <c r="H27" s="15" t="s">
        <v>198</v>
      </c>
      <c r="I27" s="15">
        <v>8.9999999999999993E-3</v>
      </c>
      <c r="J27" s="64">
        <f t="shared" si="6"/>
        <v>4.3199999999999992E-3</v>
      </c>
      <c r="K27" s="54">
        <f t="shared" si="1"/>
        <v>0</v>
      </c>
      <c r="L27" s="54">
        <f t="shared" si="0"/>
        <v>1</v>
      </c>
      <c r="M27" s="15" t="str">
        <f>G31</f>
        <v>Горячекатаная арматурная сталь гладкая класса А-I, диаметром 14 мм</v>
      </c>
      <c r="N27" s="109" t="str">
        <f>H31</f>
        <v>т</v>
      </c>
      <c r="O27" s="108">
        <f t="shared" si="2"/>
        <v>1.9199999999999998E-2</v>
      </c>
      <c r="P27" s="78">
        <f t="shared" si="3"/>
        <v>7</v>
      </c>
      <c r="Q27" s="54"/>
      <c r="R27" s="82" t="s">
        <v>297</v>
      </c>
      <c r="S27" s="56"/>
      <c r="T27"/>
      <c r="AA27"/>
      <c r="AB27"/>
      <c r="AC27"/>
      <c r="AD27"/>
      <c r="AE27" s="5">
        <f t="shared" si="4"/>
        <v>7</v>
      </c>
      <c r="AF27" s="15" t="s">
        <v>201</v>
      </c>
      <c r="AG27" s="15" t="s">
        <v>198</v>
      </c>
      <c r="AH27" s="108">
        <f t="shared" si="5"/>
        <v>0</v>
      </c>
    </row>
    <row r="28" spans="1:34" ht="31.5">
      <c r="B28" s="152"/>
      <c r="C28" s="188"/>
      <c r="D28" s="188"/>
      <c r="E28" s="188"/>
      <c r="F28" s="189"/>
      <c r="G28" s="15" t="s">
        <v>202</v>
      </c>
      <c r="H28" s="15" t="s">
        <v>198</v>
      </c>
      <c r="I28" s="15">
        <v>0.03</v>
      </c>
      <c r="J28" s="64">
        <f t="shared" si="6"/>
        <v>1.44E-2</v>
      </c>
      <c r="K28" s="54">
        <f t="shared" si="1"/>
        <v>0</v>
      </c>
      <c r="L28" s="54">
        <f t="shared" si="0"/>
        <v>1</v>
      </c>
      <c r="M28" s="15" t="str">
        <f t="shared" ref="M28:N31" si="7">G42</f>
        <v>Гвозди строительные</v>
      </c>
      <c r="N28" s="109" t="str">
        <f t="shared" si="7"/>
        <v> т</v>
      </c>
      <c r="O28" s="108">
        <f t="shared" si="2"/>
        <v>2.7776000000000002E-2</v>
      </c>
      <c r="P28" s="78">
        <f t="shared" si="3"/>
        <v>8</v>
      </c>
      <c r="Q28" s="54"/>
      <c r="R28" s="82" t="s">
        <v>298</v>
      </c>
      <c r="S28" s="56"/>
      <c r="T28"/>
      <c r="AA28"/>
      <c r="AB28"/>
      <c r="AC28"/>
      <c r="AD28"/>
      <c r="AE28" s="5">
        <f t="shared" si="4"/>
        <v>8</v>
      </c>
      <c r="AF28" s="15">
        <f>Z32</f>
        <v>0</v>
      </c>
      <c r="AG28" s="109">
        <f>AA32</f>
        <v>0</v>
      </c>
      <c r="AH28" s="108">
        <f t="shared" si="5"/>
        <v>0</v>
      </c>
    </row>
    <row r="29" spans="1:34" ht="62.45" customHeight="1">
      <c r="B29" s="152"/>
      <c r="C29" s="188"/>
      <c r="D29" s="188"/>
      <c r="E29" s="188"/>
      <c r="F29" s="189"/>
      <c r="G29" s="15" t="s">
        <v>203</v>
      </c>
      <c r="H29" s="15" t="s">
        <v>194</v>
      </c>
      <c r="I29" s="15">
        <v>0.84799999999999998</v>
      </c>
      <c r="J29" s="64">
        <f t="shared" si="6"/>
        <v>0.40703999999999996</v>
      </c>
      <c r="K29" s="54">
        <f t="shared" si="1"/>
        <v>0</v>
      </c>
      <c r="L29" s="54">
        <f t="shared" si="0"/>
        <v>1</v>
      </c>
      <c r="M29" s="15" t="str">
        <f t="shared" si="7"/>
        <v>Доски обрезные хвойных пород длиной 4-6,5 м, шириной 75-150 мм, толщиной 32-40 мм, IV сорта</v>
      </c>
      <c r="N29" s="109" t="str">
        <f t="shared" si="7"/>
        <v>м3</v>
      </c>
      <c r="O29" s="108">
        <f t="shared" si="2"/>
        <v>8.0358400000000003</v>
      </c>
      <c r="P29" s="78">
        <f t="shared" si="3"/>
        <v>9</v>
      </c>
      <c r="Q29" s="54"/>
      <c r="R29" s="82" t="s">
        <v>299</v>
      </c>
      <c r="S29" s="56"/>
      <c r="AE29" s="5">
        <f t="shared" si="4"/>
        <v>9</v>
      </c>
      <c r="AF29" s="15">
        <f>Z33</f>
        <v>0</v>
      </c>
      <c r="AG29" s="109">
        <f>AA33</f>
        <v>0</v>
      </c>
      <c r="AH29" s="108">
        <f t="shared" si="5"/>
        <v>0</v>
      </c>
    </row>
    <row r="30" spans="1:34" ht="124.9" customHeight="1">
      <c r="B30" s="152"/>
      <c r="C30" s="188"/>
      <c r="D30" s="188"/>
      <c r="E30" s="188"/>
      <c r="F30" s="189"/>
      <c r="G30" s="15" t="s">
        <v>204</v>
      </c>
      <c r="H30" s="15" t="s">
        <v>198</v>
      </c>
      <c r="I30" s="15">
        <v>0.26</v>
      </c>
      <c r="J30" s="64">
        <f t="shared" si="6"/>
        <v>0.12479999999999999</v>
      </c>
      <c r="K30" s="54">
        <f t="shared" si="1"/>
        <v>0</v>
      </c>
      <c r="L30" s="54">
        <f t="shared" si="0"/>
        <v>1</v>
      </c>
      <c r="M30" s="15" t="str">
        <f t="shared" si="7"/>
        <v>Бетон</v>
      </c>
      <c r="N30" s="109" t="str">
        <f t="shared" si="7"/>
        <v>м3</v>
      </c>
      <c r="O30" s="108">
        <f t="shared" si="2"/>
        <v>103.94704</v>
      </c>
      <c r="P30" s="78">
        <f>P29+1</f>
        <v>10</v>
      </c>
      <c r="Q30" s="54"/>
      <c r="R30" s="82" t="s">
        <v>193</v>
      </c>
      <c r="S30" s="56"/>
      <c r="AE30" s="5">
        <f t="shared" si="4"/>
        <v>10</v>
      </c>
      <c r="AF30" s="15">
        <f t="shared" ref="AF30:AF33" si="8">Z44</f>
        <v>0</v>
      </c>
      <c r="AG30" s="109">
        <f t="shared" ref="AG30:AG33" si="9">AA44</f>
        <v>0</v>
      </c>
      <c r="AH30" s="108">
        <f t="shared" si="5"/>
        <v>0</v>
      </c>
    </row>
    <row r="31" spans="1:34" ht="63">
      <c r="B31" s="152"/>
      <c r="C31" s="188"/>
      <c r="D31" s="188"/>
      <c r="E31" s="188"/>
      <c r="F31" s="189"/>
      <c r="G31" s="15" t="s">
        <v>205</v>
      </c>
      <c r="H31" s="75" t="s">
        <v>206</v>
      </c>
      <c r="I31" s="15">
        <v>0.02</v>
      </c>
      <c r="J31" s="64">
        <f t="shared" si="6"/>
        <v>9.5999999999999992E-3</v>
      </c>
      <c r="K31" s="54">
        <f t="shared" si="1"/>
        <v>0</v>
      </c>
      <c r="L31" s="54">
        <f t="shared" si="0"/>
        <v>1</v>
      </c>
      <c r="M31" s="15" t="str">
        <f t="shared" si="7"/>
        <v>Раствор готовый кладочный цементный марки 300</v>
      </c>
      <c r="N31" s="109" t="str">
        <f t="shared" si="7"/>
        <v>м3</v>
      </c>
      <c r="O31" s="108">
        <f t="shared" si="2"/>
        <v>11.665920000000002</v>
      </c>
      <c r="P31" s="78">
        <f t="shared" si="3"/>
        <v>11</v>
      </c>
      <c r="Q31" s="54"/>
      <c r="R31" s="82" t="s">
        <v>215</v>
      </c>
      <c r="S31" s="56"/>
      <c r="AE31" s="5">
        <f t="shared" si="4"/>
        <v>11</v>
      </c>
      <c r="AF31" s="15">
        <f t="shared" si="8"/>
        <v>0</v>
      </c>
      <c r="AG31" s="109">
        <f t="shared" si="9"/>
        <v>0</v>
      </c>
      <c r="AH31" s="108">
        <f t="shared" si="5"/>
        <v>0</v>
      </c>
    </row>
    <row r="32" spans="1:34" ht="63">
      <c r="B32" s="152"/>
      <c r="C32" s="188"/>
      <c r="D32" s="188"/>
      <c r="E32" s="188"/>
      <c r="F32" s="189"/>
      <c r="G32" s="15" t="s">
        <v>193</v>
      </c>
      <c r="H32" s="15" t="s">
        <v>194</v>
      </c>
      <c r="I32" s="15">
        <v>21</v>
      </c>
      <c r="J32" s="64">
        <f t="shared" si="6"/>
        <v>10.08</v>
      </c>
      <c r="K32" s="54">
        <f t="shared" si="1"/>
        <v>0</v>
      </c>
      <c r="L32" s="54">
        <f t="shared" si="0"/>
        <v>1</v>
      </c>
      <c r="M32" s="15" t="str">
        <f t="shared" ref="M32:N34" si="10">G47</f>
        <v>Песок для строительных работ природный</v>
      </c>
      <c r="N32" s="109" t="str">
        <f t="shared" si="10"/>
        <v>м3</v>
      </c>
      <c r="O32" s="108">
        <f t="shared" si="2"/>
        <v>63.051519999999996</v>
      </c>
      <c r="P32" s="78">
        <f t="shared" si="3"/>
        <v>12</v>
      </c>
      <c r="Q32" s="54"/>
      <c r="R32" s="82" t="s">
        <v>294</v>
      </c>
      <c r="S32" s="56"/>
      <c r="AE32" s="5">
        <f t="shared" si="4"/>
        <v>12</v>
      </c>
      <c r="AF32" s="15">
        <f t="shared" si="8"/>
        <v>0</v>
      </c>
      <c r="AG32" s="109">
        <f t="shared" si="9"/>
        <v>0</v>
      </c>
      <c r="AH32" s="108">
        <f t="shared" si="5"/>
        <v>0</v>
      </c>
    </row>
    <row r="33" spans="2:34" ht="31.5">
      <c r="B33" s="152"/>
      <c r="C33" s="188"/>
      <c r="D33" s="188"/>
      <c r="E33" s="188"/>
      <c r="F33" s="189"/>
      <c r="G33" s="15" t="s">
        <v>207</v>
      </c>
      <c r="H33" s="15" t="s">
        <v>196</v>
      </c>
      <c r="I33" s="15">
        <v>100</v>
      </c>
      <c r="J33" s="64">
        <f t="shared" si="6"/>
        <v>48</v>
      </c>
      <c r="K33" s="54">
        <f t="shared" si="1"/>
        <v>0</v>
      </c>
      <c r="L33" s="54">
        <f t="shared" si="0"/>
        <v>1</v>
      </c>
      <c r="M33" s="15" t="str">
        <f t="shared" si="10"/>
        <v>Электроды диаметром 6 мм Э42</v>
      </c>
      <c r="N33" s="109" t="str">
        <f t="shared" si="10"/>
        <v> т</v>
      </c>
      <c r="O33" s="108">
        <f t="shared" si="2"/>
        <v>8.3199999999999996E-2</v>
      </c>
      <c r="P33" s="78">
        <f t="shared" si="3"/>
        <v>13</v>
      </c>
      <c r="Q33" s="54"/>
      <c r="R33" s="82" t="s">
        <v>300</v>
      </c>
      <c r="S33" s="56"/>
      <c r="AE33" s="5">
        <f t="shared" si="4"/>
        <v>13</v>
      </c>
      <c r="AF33" s="15">
        <f t="shared" si="8"/>
        <v>0</v>
      </c>
      <c r="AG33" s="109">
        <f t="shared" si="9"/>
        <v>0</v>
      </c>
      <c r="AH33" s="108">
        <f t="shared" si="5"/>
        <v>0</v>
      </c>
    </row>
    <row r="34" spans="2:34" ht="47.25">
      <c r="B34" s="152">
        <v>3</v>
      </c>
      <c r="C34" s="188" t="s">
        <v>46</v>
      </c>
      <c r="D34" s="188" t="s">
        <v>10</v>
      </c>
      <c r="E34" s="188">
        <v>0.89600000000000002</v>
      </c>
      <c r="F34" s="189" t="s">
        <v>47</v>
      </c>
      <c r="G34" s="15" t="s">
        <v>208</v>
      </c>
      <c r="H34" s="15" t="s">
        <v>198</v>
      </c>
      <c r="I34" s="15">
        <v>4.4999999999999997E-3</v>
      </c>
      <c r="J34" s="64">
        <f>I34*E$34</f>
        <v>4.032E-3</v>
      </c>
      <c r="K34" s="54">
        <f t="shared" si="1"/>
        <v>0</v>
      </c>
      <c r="L34" s="54">
        <f t="shared" si="0"/>
        <v>1</v>
      </c>
      <c r="M34" s="15" t="str">
        <f t="shared" si="10"/>
        <v>Краска</v>
      </c>
      <c r="N34" s="109" t="str">
        <f t="shared" si="10"/>
        <v> т</v>
      </c>
      <c r="O34" s="108">
        <f t="shared" si="2"/>
        <v>2.5600000000000004E-4</v>
      </c>
      <c r="P34" s="78">
        <f t="shared" si="3"/>
        <v>14</v>
      </c>
      <c r="Q34" s="54"/>
      <c r="R34" s="82" t="s">
        <v>218</v>
      </c>
      <c r="S34" s="56"/>
      <c r="AE34" s="5">
        <f t="shared" si="4"/>
        <v>14</v>
      </c>
      <c r="AF34" s="15">
        <f t="shared" ref="AF34:AF36" si="11">Z49</f>
        <v>0</v>
      </c>
      <c r="AG34" s="109">
        <f t="shared" ref="AG34:AG36" si="12">AA49</f>
        <v>0</v>
      </c>
      <c r="AH34" s="108">
        <f t="shared" si="5"/>
        <v>0</v>
      </c>
    </row>
    <row r="35" spans="2:34" ht="63">
      <c r="B35" s="152"/>
      <c r="C35" s="188"/>
      <c r="D35" s="188"/>
      <c r="E35" s="188"/>
      <c r="F35" s="189"/>
      <c r="G35" s="15" t="s">
        <v>209</v>
      </c>
      <c r="H35" s="15" t="s">
        <v>198</v>
      </c>
      <c r="I35" s="15">
        <v>2.3E-3</v>
      </c>
      <c r="J35" s="64">
        <f t="shared" ref="J35:J41" si="13">I35*E$34</f>
        <v>2.0608000000000002E-3</v>
      </c>
      <c r="K35" s="54">
        <f t="shared" si="1"/>
        <v>0</v>
      </c>
      <c r="L35" s="54">
        <f t="shared" si="0"/>
        <v>1</v>
      </c>
      <c r="M35" s="15" t="str">
        <f>G52</f>
        <v>Раствор готовый кладочный цементный марки 100</v>
      </c>
      <c r="N35" s="109" t="str">
        <f>H52</f>
        <v> м3</v>
      </c>
      <c r="O35" s="108">
        <f t="shared" si="2"/>
        <v>4.8000000000000001E-2</v>
      </c>
      <c r="P35" s="78">
        <f t="shared" si="3"/>
        <v>15</v>
      </c>
      <c r="Q35" s="54"/>
      <c r="R35" s="82" t="s">
        <v>287</v>
      </c>
      <c r="S35" s="56"/>
      <c r="AE35" s="5">
        <f t="shared" si="4"/>
        <v>15</v>
      </c>
      <c r="AF35" s="15">
        <f t="shared" si="11"/>
        <v>0</v>
      </c>
      <c r="AG35" s="109">
        <f t="shared" si="12"/>
        <v>0</v>
      </c>
      <c r="AH35" s="108">
        <f t="shared" si="5"/>
        <v>0</v>
      </c>
    </row>
    <row r="36" spans="2:34" ht="47.25">
      <c r="B36" s="152"/>
      <c r="C36" s="188"/>
      <c r="D36" s="188"/>
      <c r="E36" s="188"/>
      <c r="F36" s="189"/>
      <c r="G36" s="15" t="s">
        <v>202</v>
      </c>
      <c r="H36" s="15" t="s">
        <v>198</v>
      </c>
      <c r="I36" s="75">
        <v>0.03</v>
      </c>
      <c r="J36" s="64">
        <f t="shared" si="13"/>
        <v>2.6880000000000001E-2</v>
      </c>
      <c r="K36" s="54">
        <f t="shared" si="1"/>
        <v>0</v>
      </c>
      <c r="L36" s="54">
        <f t="shared" si="0"/>
        <v>1</v>
      </c>
      <c r="M36" s="15" t="str">
        <f>G56</f>
        <v>Мастика битумно-кукерсольная холодная</v>
      </c>
      <c r="N36" s="109" t="str">
        <f>H56</f>
        <v> т</v>
      </c>
      <c r="O36" s="108">
        <f t="shared" si="2"/>
        <v>0.25584000000000001</v>
      </c>
      <c r="P36" s="78">
        <f t="shared" si="3"/>
        <v>16</v>
      </c>
      <c r="Q36" s="54"/>
      <c r="R36" s="82" t="s">
        <v>301</v>
      </c>
      <c r="S36" s="56"/>
      <c r="AE36" s="5">
        <f t="shared" si="4"/>
        <v>16</v>
      </c>
      <c r="AF36" s="15">
        <f t="shared" si="11"/>
        <v>0</v>
      </c>
      <c r="AG36" s="109">
        <f t="shared" si="12"/>
        <v>0</v>
      </c>
      <c r="AH36" s="108">
        <f t="shared" si="5"/>
        <v>0</v>
      </c>
    </row>
    <row r="37" spans="2:34" ht="78.75">
      <c r="B37" s="152"/>
      <c r="C37" s="188"/>
      <c r="D37" s="188"/>
      <c r="E37" s="188"/>
      <c r="F37" s="189"/>
      <c r="G37" s="15" t="s">
        <v>210</v>
      </c>
      <c r="H37" s="75" t="s">
        <v>192</v>
      </c>
      <c r="I37" s="15">
        <v>9.6000000000000002E-2</v>
      </c>
      <c r="J37" s="64">
        <f t="shared" si="13"/>
        <v>8.6016000000000009E-2</v>
      </c>
      <c r="K37" s="54">
        <f t="shared" si="1"/>
        <v>0</v>
      </c>
      <c r="L37" s="54">
        <f t="shared" si="0"/>
        <v>1</v>
      </c>
      <c r="M37" s="15" t="str">
        <f>G57</f>
        <v>Мастика клеящая каучуковая, марки КН-2</v>
      </c>
      <c r="N37" s="109" t="str">
        <f>H57</f>
        <v> кг</v>
      </c>
      <c r="O37" s="108">
        <f t="shared" si="2"/>
        <v>639.6</v>
      </c>
      <c r="P37" s="78">
        <f t="shared" si="3"/>
        <v>17</v>
      </c>
      <c r="Q37" s="54"/>
      <c r="R37" s="82" t="s">
        <v>302</v>
      </c>
      <c r="S37" s="56"/>
      <c r="AE37" s="5">
        <f t="shared" si="4"/>
        <v>17</v>
      </c>
      <c r="AF37" s="15">
        <f>Z54</f>
        <v>0</v>
      </c>
      <c r="AG37" s="109">
        <f>AA54</f>
        <v>0</v>
      </c>
      <c r="AH37" s="108">
        <f t="shared" si="5"/>
        <v>0</v>
      </c>
    </row>
    <row r="38" spans="2:34" ht="140.44999999999999" customHeight="1">
      <c r="B38" s="152"/>
      <c r="C38" s="188"/>
      <c r="D38" s="188"/>
      <c r="E38" s="188"/>
      <c r="F38" s="189"/>
      <c r="G38" s="15" t="s">
        <v>211</v>
      </c>
      <c r="H38" s="15" t="s">
        <v>198</v>
      </c>
      <c r="I38" s="75">
        <v>0.05</v>
      </c>
      <c r="J38" s="64">
        <f t="shared" si="13"/>
        <v>4.4800000000000006E-2</v>
      </c>
      <c r="K38" s="54">
        <f t="shared" si="1"/>
        <v>0</v>
      </c>
      <c r="L38" s="54">
        <f t="shared" si="0"/>
        <v>1</v>
      </c>
      <c r="M38" s="15" t="str">
        <f>G59</f>
        <v>Паркет мозаичный</v>
      </c>
      <c r="N38" s="109" t="str">
        <f>H59</f>
        <v> м2</v>
      </c>
      <c r="O38" s="108">
        <f t="shared" si="2"/>
        <v>1304.7839999999999</v>
      </c>
      <c r="P38" s="78">
        <f t="shared" si="3"/>
        <v>18</v>
      </c>
      <c r="Q38" s="54"/>
      <c r="R38" s="82" t="s">
        <v>226</v>
      </c>
      <c r="S38" s="56"/>
      <c r="AE38" s="5">
        <f t="shared" si="4"/>
        <v>18</v>
      </c>
      <c r="AF38" s="15">
        <f>Z58</f>
        <v>0</v>
      </c>
      <c r="AG38" s="109">
        <f>AA58</f>
        <v>0</v>
      </c>
      <c r="AH38" s="108">
        <f t="shared" si="5"/>
        <v>0</v>
      </c>
    </row>
    <row r="39" spans="2:34" ht="47.25">
      <c r="B39" s="152"/>
      <c r="C39" s="188"/>
      <c r="D39" s="188"/>
      <c r="E39" s="188"/>
      <c r="F39" s="189"/>
      <c r="G39" s="15" t="s">
        <v>212</v>
      </c>
      <c r="H39" s="15" t="s">
        <v>198</v>
      </c>
      <c r="I39" s="15">
        <v>0.05</v>
      </c>
      <c r="J39" s="64">
        <f t="shared" si="13"/>
        <v>4.4800000000000006E-2</v>
      </c>
      <c r="K39" s="54">
        <f t="shared" si="1"/>
        <v>0</v>
      </c>
      <c r="L39" s="54">
        <f t="shared" si="0"/>
        <v>1</v>
      </c>
      <c r="M39" s="15" t="str">
        <f>G62</f>
        <v>Опилки древесные</v>
      </c>
      <c r="N39" s="109" t="str">
        <f>H62</f>
        <v> м3</v>
      </c>
      <c r="O39" s="108">
        <f t="shared" si="2"/>
        <v>14.992140000000001</v>
      </c>
      <c r="P39" s="78">
        <f t="shared" si="3"/>
        <v>19</v>
      </c>
      <c r="Q39" s="54"/>
      <c r="R39" s="82" t="s">
        <v>225</v>
      </c>
      <c r="S39" s="56"/>
      <c r="AE39" s="5">
        <f t="shared" si="4"/>
        <v>19</v>
      </c>
      <c r="AF39" s="15">
        <f>Z59</f>
        <v>0</v>
      </c>
      <c r="AG39" s="109">
        <f>AA59</f>
        <v>0</v>
      </c>
      <c r="AH39" s="108">
        <f t="shared" si="5"/>
        <v>0</v>
      </c>
    </row>
    <row r="40" spans="2:34" ht="63">
      <c r="B40" s="152"/>
      <c r="C40" s="188"/>
      <c r="D40" s="188"/>
      <c r="E40" s="188"/>
      <c r="F40" s="189"/>
      <c r="G40" s="15" t="s">
        <v>193</v>
      </c>
      <c r="H40" s="75" t="s">
        <v>192</v>
      </c>
      <c r="I40" s="15">
        <v>21.9</v>
      </c>
      <c r="J40" s="64">
        <f t="shared" si="13"/>
        <v>19.622399999999999</v>
      </c>
      <c r="K40" s="54">
        <f t="shared" si="1"/>
        <v>0</v>
      </c>
      <c r="L40" s="54">
        <f t="shared" si="0"/>
        <v>1</v>
      </c>
      <c r="M40" s="15" t="str">
        <f>G63</f>
        <v>Раствор готовый кладочный тяжелый цементный</v>
      </c>
      <c r="N40" s="109" t="str">
        <f>H63</f>
        <v> м3</v>
      </c>
      <c r="O40" s="108">
        <f t="shared" si="2"/>
        <v>1.5956599999999999</v>
      </c>
      <c r="P40" s="78">
        <f t="shared" si="3"/>
        <v>20</v>
      </c>
      <c r="Q40" s="54"/>
      <c r="R40" s="82" t="s">
        <v>289</v>
      </c>
      <c r="S40" s="56"/>
      <c r="AE40" s="5">
        <f t="shared" si="4"/>
        <v>20</v>
      </c>
      <c r="AF40" s="15">
        <f>Z61</f>
        <v>0</v>
      </c>
      <c r="AG40" s="109">
        <f>AA61</f>
        <v>0</v>
      </c>
      <c r="AH40" s="108">
        <f t="shared" si="5"/>
        <v>0</v>
      </c>
    </row>
    <row r="41" spans="2:34" ht="63">
      <c r="B41" s="152"/>
      <c r="C41" s="188"/>
      <c r="D41" s="188"/>
      <c r="E41" s="188"/>
      <c r="F41" s="189"/>
      <c r="G41" s="15" t="s">
        <v>213</v>
      </c>
      <c r="H41" s="15" t="s">
        <v>196</v>
      </c>
      <c r="I41" s="75">
        <v>100</v>
      </c>
      <c r="J41" s="64">
        <f t="shared" si="13"/>
        <v>89.600000000000009</v>
      </c>
      <c r="K41" s="54">
        <f t="shared" si="1"/>
        <v>0</v>
      </c>
      <c r="L41" s="54">
        <f t="shared" si="0"/>
        <v>1</v>
      </c>
      <c r="M41" s="15" t="str">
        <f>G66</f>
        <v>Смола каменноугольная для дорожного строительства</v>
      </c>
      <c r="N41" s="109" t="str">
        <f>H66</f>
        <v> т</v>
      </c>
      <c r="O41" s="108">
        <f t="shared" si="2"/>
        <v>3.0349600000000001E-2</v>
      </c>
      <c r="P41" s="78">
        <f t="shared" si="3"/>
        <v>21</v>
      </c>
      <c r="Q41" s="54"/>
      <c r="R41" s="82" t="s">
        <v>279</v>
      </c>
      <c r="S41" s="56"/>
      <c r="AE41" s="5">
        <f t="shared" si="4"/>
        <v>21</v>
      </c>
      <c r="AF41" s="15">
        <f>Z64</f>
        <v>0</v>
      </c>
      <c r="AG41" s="109">
        <f>AA64</f>
        <v>0</v>
      </c>
      <c r="AH41" s="108">
        <f t="shared" si="5"/>
        <v>0</v>
      </c>
    </row>
    <row r="42" spans="2:34">
      <c r="B42" s="152">
        <v>4</v>
      </c>
      <c r="C42" s="188" t="s">
        <v>51</v>
      </c>
      <c r="D42" s="188" t="s">
        <v>52</v>
      </c>
      <c r="E42" s="188">
        <f>E34*1.55</f>
        <v>1.3888</v>
      </c>
      <c r="F42" s="189" t="s">
        <v>53</v>
      </c>
      <c r="G42" s="15" t="s">
        <v>214</v>
      </c>
      <c r="H42" s="15" t="s">
        <v>198</v>
      </c>
      <c r="I42" s="15">
        <v>0.01</v>
      </c>
      <c r="J42" s="64">
        <f>I42*E$42</f>
        <v>1.3888000000000001E-2</v>
      </c>
      <c r="K42" s="54">
        <f t="shared" si="1"/>
        <v>0</v>
      </c>
      <c r="L42" s="54">
        <f t="shared" si="0"/>
        <v>1</v>
      </c>
      <c r="M42" s="15" t="str">
        <f t="shared" ref="M42:N46" si="14">G69</f>
        <v>Пена монтажная</v>
      </c>
      <c r="N42" s="109" t="str">
        <f t="shared" si="14"/>
        <v> л</v>
      </c>
      <c r="O42" s="108">
        <f t="shared" si="2"/>
        <v>41.666399999999996</v>
      </c>
      <c r="P42" s="78">
        <f t="shared" si="3"/>
        <v>22</v>
      </c>
      <c r="Q42" s="54"/>
      <c r="R42" s="82" t="s">
        <v>303</v>
      </c>
      <c r="S42" s="56"/>
      <c r="AE42" s="5">
        <f t="shared" si="4"/>
        <v>22</v>
      </c>
      <c r="AF42" s="15">
        <f>Z65</f>
        <v>0</v>
      </c>
      <c r="AG42" s="109">
        <f>AA65</f>
        <v>0</v>
      </c>
      <c r="AH42" s="108">
        <f t="shared" si="5"/>
        <v>0</v>
      </c>
    </row>
    <row r="43" spans="2:34" ht="78.75">
      <c r="B43" s="152"/>
      <c r="C43" s="188"/>
      <c r="D43" s="188"/>
      <c r="E43" s="188"/>
      <c r="F43" s="189"/>
      <c r="G43" s="15" t="s">
        <v>203</v>
      </c>
      <c r="H43" s="75" t="s">
        <v>192</v>
      </c>
      <c r="I43" s="15">
        <v>2.6</v>
      </c>
      <c r="J43" s="64">
        <f t="shared" ref="J43:J47" si="15">I43*E$42</f>
        <v>3.6108800000000003</v>
      </c>
      <c r="K43" s="54">
        <f t="shared" si="1"/>
        <v>0</v>
      </c>
      <c r="L43" s="54">
        <f t="shared" si="0"/>
        <v>1</v>
      </c>
      <c r="M43" s="15" t="str">
        <f t="shared" si="14"/>
        <v>Ерши металлические</v>
      </c>
      <c r="N43" s="109" t="str">
        <f t="shared" si="14"/>
        <v> кг</v>
      </c>
      <c r="O43" s="108">
        <f t="shared" si="2"/>
        <v>48.225000000000001</v>
      </c>
      <c r="P43" s="78">
        <f t="shared" si="3"/>
        <v>23</v>
      </c>
      <c r="Q43" s="60"/>
      <c r="R43" s="82" t="s">
        <v>304</v>
      </c>
      <c r="S43" s="60"/>
      <c r="AE43" s="5">
        <f t="shared" si="4"/>
        <v>23</v>
      </c>
      <c r="AF43" s="15">
        <f>Z68</f>
        <v>0</v>
      </c>
      <c r="AG43" s="109">
        <f>AA68</f>
        <v>0</v>
      </c>
      <c r="AH43" s="108">
        <f t="shared" si="5"/>
        <v>0</v>
      </c>
    </row>
    <row r="44" spans="2:34" ht="31.5">
      <c r="B44" s="152"/>
      <c r="C44" s="188"/>
      <c r="D44" s="188"/>
      <c r="E44" s="188"/>
      <c r="F44" s="189"/>
      <c r="G44" s="15" t="s">
        <v>193</v>
      </c>
      <c r="H44" s="75" t="s">
        <v>192</v>
      </c>
      <c r="I44" s="15">
        <v>8.9</v>
      </c>
      <c r="J44" s="64">
        <f t="shared" si="15"/>
        <v>12.360320000000002</v>
      </c>
      <c r="K44" s="54">
        <f t="shared" si="1"/>
        <v>0</v>
      </c>
      <c r="L44" s="54">
        <f t="shared" si="0"/>
        <v>1</v>
      </c>
      <c r="M44" s="15" t="str">
        <f t="shared" si="14"/>
        <v>Скобяные изделия</v>
      </c>
      <c r="N44" s="109" t="str">
        <f t="shared" si="14"/>
        <v> компл.</v>
      </c>
      <c r="O44" s="108">
        <f t="shared" si="2"/>
        <v>0</v>
      </c>
      <c r="P44" s="78">
        <f t="shared" si="3"/>
        <v>24</v>
      </c>
      <c r="Q44" s="54"/>
      <c r="R44" s="82" t="s">
        <v>281</v>
      </c>
      <c r="S44" s="56"/>
      <c r="AE44" s="5">
        <f t="shared" si="4"/>
        <v>24</v>
      </c>
      <c r="AF44" s="15">
        <f t="shared" ref="AF44:AF48" si="16">Z71</f>
        <v>0</v>
      </c>
      <c r="AG44" s="109">
        <f t="shared" ref="AG44:AG48" si="17">AA71</f>
        <v>0</v>
      </c>
      <c r="AH44" s="108">
        <f t="shared" si="5"/>
        <v>0</v>
      </c>
    </row>
    <row r="45" spans="2:34" ht="110.25">
      <c r="B45" s="152"/>
      <c r="C45" s="188"/>
      <c r="D45" s="188"/>
      <c r="E45" s="188"/>
      <c r="F45" s="189"/>
      <c r="G45" s="15" t="s">
        <v>215</v>
      </c>
      <c r="H45" s="75" t="s">
        <v>192</v>
      </c>
      <c r="I45" s="15">
        <v>4.2</v>
      </c>
      <c r="J45" s="64">
        <f t="shared" si="15"/>
        <v>5.8329600000000008</v>
      </c>
      <c r="K45" s="54">
        <f t="shared" si="1"/>
        <v>0</v>
      </c>
      <c r="L45" s="54">
        <f t="shared" si="0"/>
        <v>1</v>
      </c>
      <c r="M45" s="15" t="str">
        <f t="shared" si="14"/>
        <v>Доски обрезные хвойных пород длиной 4-6,5 м, шириной 75-150 мм, толщиной 25 мм, III сорта</v>
      </c>
      <c r="N45" s="109" t="str">
        <f t="shared" si="14"/>
        <v> м3</v>
      </c>
      <c r="O45" s="108">
        <f t="shared" si="2"/>
        <v>0.10288</v>
      </c>
      <c r="P45" s="78">
        <f t="shared" si="3"/>
        <v>25</v>
      </c>
      <c r="Q45" s="54"/>
      <c r="R45" s="82" t="s">
        <v>305</v>
      </c>
      <c r="S45" s="56"/>
      <c r="AE45" s="5">
        <f t="shared" si="4"/>
        <v>25</v>
      </c>
      <c r="AF45" s="15">
        <f t="shared" si="16"/>
        <v>0</v>
      </c>
      <c r="AG45" s="109">
        <f t="shared" si="17"/>
        <v>0</v>
      </c>
      <c r="AH45" s="108">
        <f t="shared" si="5"/>
        <v>0</v>
      </c>
    </row>
    <row r="46" spans="2:34" ht="31.5">
      <c r="B46" s="152"/>
      <c r="C46" s="188"/>
      <c r="D46" s="188"/>
      <c r="E46" s="188"/>
      <c r="F46" s="189"/>
      <c r="G46" s="15" t="s">
        <v>216</v>
      </c>
      <c r="H46" s="75" t="s">
        <v>192</v>
      </c>
      <c r="I46" s="75">
        <v>100</v>
      </c>
      <c r="J46" s="64">
        <f t="shared" si="15"/>
        <v>138.88</v>
      </c>
      <c r="K46" s="54">
        <f t="shared" si="1"/>
        <v>0</v>
      </c>
      <c r="L46" s="54">
        <f t="shared" si="0"/>
        <v>1</v>
      </c>
      <c r="M46" s="15" t="str">
        <f t="shared" si="14"/>
        <v>Блоки дверные</v>
      </c>
      <c r="N46" s="109" t="str">
        <f t="shared" si="14"/>
        <v> м2</v>
      </c>
      <c r="O46" s="108">
        <f t="shared" si="2"/>
        <v>128.6</v>
      </c>
      <c r="P46" s="78">
        <f t="shared" si="3"/>
        <v>26</v>
      </c>
      <c r="Q46" s="54"/>
      <c r="R46" s="82" t="s">
        <v>237</v>
      </c>
      <c r="S46" s="56"/>
      <c r="AE46" s="5">
        <f t="shared" si="4"/>
        <v>26</v>
      </c>
      <c r="AF46" s="15">
        <f t="shared" si="16"/>
        <v>0</v>
      </c>
      <c r="AG46" s="109">
        <f t="shared" si="17"/>
        <v>0</v>
      </c>
      <c r="AH46" s="108">
        <f t="shared" si="5"/>
        <v>0</v>
      </c>
    </row>
    <row r="47" spans="2:34" ht="47.25">
      <c r="B47" s="152"/>
      <c r="C47" s="188"/>
      <c r="D47" s="188"/>
      <c r="E47" s="188"/>
      <c r="F47" s="189"/>
      <c r="G47" s="15" t="s">
        <v>217</v>
      </c>
      <c r="H47" s="75" t="s">
        <v>192</v>
      </c>
      <c r="I47" s="15">
        <v>22.7</v>
      </c>
      <c r="J47" s="64">
        <f t="shared" si="15"/>
        <v>31.525759999999998</v>
      </c>
      <c r="K47" s="54">
        <f t="shared" si="1"/>
        <v>0</v>
      </c>
      <c r="L47" s="54">
        <f t="shared" si="0"/>
        <v>1</v>
      </c>
      <c r="M47" s="15" t="str">
        <f t="shared" ref="M47:N50" si="18">G75</f>
        <v>Гипсовые вяжущие, марка Г3</v>
      </c>
      <c r="N47" s="109" t="str">
        <f t="shared" si="18"/>
        <v> т</v>
      </c>
      <c r="O47" s="108">
        <f t="shared" si="2"/>
        <v>2.0576000000000001E-2</v>
      </c>
      <c r="P47" s="78">
        <f t="shared" si="3"/>
        <v>27</v>
      </c>
      <c r="Q47" s="54"/>
      <c r="R47" s="82" t="s">
        <v>306</v>
      </c>
      <c r="S47" s="56"/>
      <c r="AE47" s="5">
        <f t="shared" si="4"/>
        <v>27</v>
      </c>
      <c r="AF47" s="15">
        <f t="shared" si="16"/>
        <v>0</v>
      </c>
      <c r="AG47" s="109">
        <f t="shared" si="17"/>
        <v>0</v>
      </c>
      <c r="AH47" s="108">
        <f t="shared" si="5"/>
        <v>0</v>
      </c>
    </row>
    <row r="48" spans="2:34" ht="47.25">
      <c r="B48" s="152">
        <v>5</v>
      </c>
      <c r="C48" s="188" t="s">
        <v>55</v>
      </c>
      <c r="D48" s="188" t="s">
        <v>10</v>
      </c>
      <c r="E48" s="188">
        <v>0.04</v>
      </c>
      <c r="F48" s="189" t="s">
        <v>56</v>
      </c>
      <c r="G48" s="15" t="s">
        <v>202</v>
      </c>
      <c r="H48" s="15" t="s">
        <v>198</v>
      </c>
      <c r="I48" s="15">
        <v>8.0000000000000002E-3</v>
      </c>
      <c r="J48" s="64">
        <f>I48*E$48</f>
        <v>3.2000000000000003E-4</v>
      </c>
      <c r="K48" s="54">
        <f t="shared" si="1"/>
        <v>0</v>
      </c>
      <c r="L48" s="54">
        <f t="shared" si="0"/>
        <v>1</v>
      </c>
      <c r="M48" s="15" t="str">
        <f t="shared" si="18"/>
        <v>Шурупы с полукруглой головкой 3,5х35 мм</v>
      </c>
      <c r="N48" s="109" t="str">
        <f t="shared" si="18"/>
        <v> т</v>
      </c>
      <c r="O48" s="108">
        <f t="shared" si="2"/>
        <v>6.9312000000000002E-3</v>
      </c>
      <c r="P48" s="78">
        <f t="shared" si="3"/>
        <v>28</v>
      </c>
      <c r="Q48" s="54"/>
      <c r="R48" s="82" t="s">
        <v>307</v>
      </c>
      <c r="S48" s="56"/>
      <c r="AE48" s="5">
        <f t="shared" si="4"/>
        <v>28</v>
      </c>
      <c r="AF48" s="15">
        <f t="shared" si="16"/>
        <v>0</v>
      </c>
      <c r="AG48" s="109">
        <f t="shared" si="17"/>
        <v>0</v>
      </c>
      <c r="AH48" s="108">
        <f t="shared" si="5"/>
        <v>0</v>
      </c>
    </row>
    <row r="49" spans="2:34" ht="31.5">
      <c r="B49" s="152"/>
      <c r="C49" s="188"/>
      <c r="D49" s="188"/>
      <c r="E49" s="188"/>
      <c r="F49" s="189"/>
      <c r="G49" s="15" t="s">
        <v>218</v>
      </c>
      <c r="H49" s="15" t="s">
        <v>198</v>
      </c>
      <c r="I49" s="15">
        <v>3.2000000000000002E-3</v>
      </c>
      <c r="J49" s="64">
        <f t="shared" ref="J49:J53" si="19">I49*E$48</f>
        <v>1.2800000000000002E-4</v>
      </c>
      <c r="K49" s="54">
        <f t="shared" si="1"/>
        <v>0</v>
      </c>
      <c r="L49" s="54">
        <f t="shared" si="0"/>
        <v>1</v>
      </c>
      <c r="M49" s="15" t="str">
        <f t="shared" si="18"/>
        <v>Приборы дверные</v>
      </c>
      <c r="N49" s="109" t="str">
        <f t="shared" si="18"/>
        <v> компл.</v>
      </c>
      <c r="O49" s="108">
        <f t="shared" si="2"/>
        <v>182.4</v>
      </c>
      <c r="P49" s="78">
        <f t="shared" si="3"/>
        <v>29</v>
      </c>
      <c r="Q49" s="54"/>
      <c r="R49" s="82" t="s">
        <v>243</v>
      </c>
      <c r="S49" s="56"/>
      <c r="AE49" s="5">
        <f t="shared" si="4"/>
        <v>29</v>
      </c>
      <c r="AF49" s="15">
        <f t="shared" ref="AF49:AF52" si="20">Z77</f>
        <v>0</v>
      </c>
      <c r="AG49" s="109">
        <f t="shared" ref="AG49:AG52" si="21">AA77</f>
        <v>0</v>
      </c>
      <c r="AH49" s="108">
        <f t="shared" si="5"/>
        <v>0</v>
      </c>
    </row>
    <row r="50" spans="2:34" ht="140.44999999999999" customHeight="1">
      <c r="B50" s="152"/>
      <c r="C50" s="188"/>
      <c r="D50" s="188"/>
      <c r="E50" s="188"/>
      <c r="F50" s="189"/>
      <c r="G50" s="15" t="s">
        <v>219</v>
      </c>
      <c r="H50" s="15" t="s">
        <v>198</v>
      </c>
      <c r="I50" s="75">
        <v>0.2</v>
      </c>
      <c r="J50" s="64">
        <f t="shared" si="19"/>
        <v>8.0000000000000002E-3</v>
      </c>
      <c r="K50" s="54">
        <f t="shared" si="1"/>
        <v>0</v>
      </c>
      <c r="L50" s="54">
        <f t="shared" si="0"/>
        <v>1</v>
      </c>
      <c r="M50" s="15" t="str">
        <f t="shared" si="18"/>
        <v>Полотна дверные деревянные</v>
      </c>
      <c r="N50" s="109" t="str">
        <f t="shared" si="18"/>
        <v> м2</v>
      </c>
      <c r="O50" s="108">
        <f t="shared" si="2"/>
        <v>0</v>
      </c>
      <c r="P50" s="78">
        <f t="shared" si="3"/>
        <v>30</v>
      </c>
      <c r="Q50" s="54"/>
      <c r="R50" s="82" t="s">
        <v>244</v>
      </c>
      <c r="S50" s="56"/>
      <c r="T50"/>
      <c r="U50"/>
      <c r="V50"/>
      <c r="W50"/>
      <c r="X50"/>
      <c r="AE50" s="5">
        <f t="shared" si="4"/>
        <v>30</v>
      </c>
      <c r="AF50" s="15">
        <f t="shared" si="20"/>
        <v>0</v>
      </c>
      <c r="AG50" s="109">
        <f t="shared" si="21"/>
        <v>0</v>
      </c>
      <c r="AH50" s="108">
        <f t="shared" si="5"/>
        <v>0</v>
      </c>
    </row>
    <row r="51" spans="2:34" ht="78.75">
      <c r="B51" s="152"/>
      <c r="C51" s="188"/>
      <c r="D51" s="188"/>
      <c r="E51" s="188"/>
      <c r="F51" s="189"/>
      <c r="G51" s="15" t="s">
        <v>193</v>
      </c>
      <c r="H51" s="15" t="s">
        <v>194</v>
      </c>
      <c r="I51" s="15">
        <v>0.52</v>
      </c>
      <c r="J51" s="64">
        <f t="shared" si="19"/>
        <v>2.0800000000000003E-2</v>
      </c>
      <c r="K51" s="54">
        <f t="shared" si="1"/>
        <v>0</v>
      </c>
      <c r="L51" s="54">
        <f t="shared" si="0"/>
        <v>1</v>
      </c>
      <c r="M51" s="15" t="str">
        <f>G81</f>
        <v>Раствор готовый отделочный тяжелый, цементно-известковый 1:1:6</v>
      </c>
      <c r="N51" s="109" t="str">
        <f>H81</f>
        <v> м3</v>
      </c>
      <c r="O51" s="108">
        <f t="shared" si="2"/>
        <v>0.53856000000000004</v>
      </c>
      <c r="P51" s="78">
        <f t="shared" si="3"/>
        <v>31</v>
      </c>
      <c r="Q51" s="54"/>
      <c r="R51" s="82" t="s">
        <v>308</v>
      </c>
      <c r="S51" s="56"/>
      <c r="T51"/>
      <c r="U51"/>
      <c r="V51"/>
      <c r="W51"/>
      <c r="X51"/>
      <c r="AE51" s="5">
        <f t="shared" si="4"/>
        <v>31</v>
      </c>
      <c r="AF51" s="15">
        <f t="shared" si="20"/>
        <v>0</v>
      </c>
      <c r="AG51" s="109">
        <f t="shared" si="21"/>
        <v>0</v>
      </c>
      <c r="AH51" s="108">
        <f t="shared" si="5"/>
        <v>0</v>
      </c>
    </row>
    <row r="52" spans="2:34" ht="47.25">
      <c r="B52" s="152"/>
      <c r="C52" s="188"/>
      <c r="D52" s="188"/>
      <c r="E52" s="188"/>
      <c r="F52" s="189"/>
      <c r="G52" s="15" t="s">
        <v>220</v>
      </c>
      <c r="H52" s="15" t="s">
        <v>194</v>
      </c>
      <c r="I52" s="75">
        <v>0.6</v>
      </c>
      <c r="J52" s="64">
        <f t="shared" si="19"/>
        <v>2.4E-2</v>
      </c>
      <c r="K52" s="54">
        <f t="shared" si="1"/>
        <v>0</v>
      </c>
      <c r="L52" s="54">
        <f t="shared" si="0"/>
        <v>1</v>
      </c>
      <c r="M52" s="15" t="str">
        <f t="shared" ref="M52:N57" si="22">G86</f>
        <v>Краска водоэмульсионная</v>
      </c>
      <c r="N52" s="109" t="str">
        <f t="shared" si="22"/>
        <v> т</v>
      </c>
      <c r="O52" s="108">
        <f t="shared" si="2"/>
        <v>0.70012799999999997</v>
      </c>
      <c r="P52" s="78">
        <f t="shared" si="3"/>
        <v>32</v>
      </c>
      <c r="Q52" s="54"/>
      <c r="R52" s="82" t="s">
        <v>252</v>
      </c>
      <c r="S52" s="56"/>
      <c r="T52"/>
      <c r="U52"/>
      <c r="V52"/>
      <c r="W52"/>
      <c r="X52"/>
      <c r="AE52" s="5">
        <f t="shared" si="4"/>
        <v>32</v>
      </c>
      <c r="AF52" s="15">
        <f t="shared" si="20"/>
        <v>0</v>
      </c>
      <c r="AG52" s="109">
        <f t="shared" si="21"/>
        <v>0</v>
      </c>
      <c r="AH52" s="108">
        <f t="shared" si="5"/>
        <v>0</v>
      </c>
    </row>
    <row r="53" spans="2:34" ht="63">
      <c r="B53" s="152"/>
      <c r="C53" s="188"/>
      <c r="D53" s="188"/>
      <c r="E53" s="188"/>
      <c r="F53" s="189"/>
      <c r="G53" s="15" t="s">
        <v>195</v>
      </c>
      <c r="H53" s="15" t="s">
        <v>196</v>
      </c>
      <c r="I53" s="15">
        <v>100</v>
      </c>
      <c r="J53" s="64">
        <f t="shared" si="19"/>
        <v>4</v>
      </c>
      <c r="K53" s="54">
        <f t="shared" si="1"/>
        <v>0</v>
      </c>
      <c r="L53" s="54">
        <f t="shared" si="0"/>
        <v>1</v>
      </c>
      <c r="M53" s="15" t="str">
        <f t="shared" si="22"/>
        <v>Гвозди строительные с плоской головкой 1,6x50 мм</v>
      </c>
      <c r="N53" s="109" t="str">
        <f t="shared" si="22"/>
        <v> т</v>
      </c>
      <c r="O53" s="108">
        <f t="shared" si="2"/>
        <v>9.4247999999999999E-4</v>
      </c>
      <c r="P53" s="78">
        <f t="shared" si="3"/>
        <v>33</v>
      </c>
      <c r="Q53" s="54"/>
      <c r="R53" s="82" t="s">
        <v>253</v>
      </c>
      <c r="S53" s="56"/>
      <c r="T53"/>
      <c r="U53"/>
      <c r="V53"/>
      <c r="W53"/>
      <c r="X53"/>
      <c r="AE53" s="5">
        <f t="shared" si="4"/>
        <v>33</v>
      </c>
      <c r="AF53" s="15">
        <f>Z83</f>
        <v>0</v>
      </c>
      <c r="AG53" s="109">
        <f>AA83</f>
        <v>0</v>
      </c>
      <c r="AH53" s="108">
        <f t="shared" si="5"/>
        <v>0</v>
      </c>
    </row>
    <row r="54" spans="2:34" ht="63">
      <c r="B54" s="152">
        <v>6</v>
      </c>
      <c r="C54" s="188" t="s">
        <v>59</v>
      </c>
      <c r="D54" s="188" t="s">
        <v>60</v>
      </c>
      <c r="E54" s="188">
        <v>0.16200000000000001</v>
      </c>
      <c r="F54" s="189" t="s">
        <v>61</v>
      </c>
      <c r="G54" s="15" t="s">
        <v>221</v>
      </c>
      <c r="H54" s="15" t="s">
        <v>194</v>
      </c>
      <c r="I54" s="75">
        <v>2.04</v>
      </c>
      <c r="J54" s="64">
        <f>I54*E$54</f>
        <v>0.33048</v>
      </c>
      <c r="K54" s="54">
        <f t="shared" si="1"/>
        <v>0</v>
      </c>
      <c r="L54" s="54">
        <f t="shared" si="0"/>
        <v>1</v>
      </c>
      <c r="M54" s="15" t="str">
        <f t="shared" si="22"/>
        <v>Сетка тканая с квадратными ячейками №05 без покрытия</v>
      </c>
      <c r="N54" s="109" t="str">
        <f t="shared" si="22"/>
        <v>м2</v>
      </c>
      <c r="O54" s="108">
        <f t="shared" si="2"/>
        <v>35.544960000000003</v>
      </c>
      <c r="P54" s="78">
        <f t="shared" si="3"/>
        <v>34</v>
      </c>
      <c r="Q54" s="54"/>
      <c r="R54" s="82" t="s">
        <v>254</v>
      </c>
      <c r="S54" s="56"/>
      <c r="T54"/>
      <c r="U54"/>
      <c r="V54"/>
      <c r="W54"/>
      <c r="X54"/>
      <c r="AE54" s="5">
        <f t="shared" si="4"/>
        <v>34</v>
      </c>
      <c r="AF54" s="15">
        <f t="shared" ref="AF54:AF59" si="23">Z88</f>
        <v>0</v>
      </c>
      <c r="AG54" s="109">
        <f t="shared" ref="AG54:AG59" si="24">AA88</f>
        <v>0</v>
      </c>
      <c r="AH54" s="108">
        <f t="shared" si="5"/>
        <v>0</v>
      </c>
    </row>
    <row r="55" spans="2:34" ht="63">
      <c r="B55" s="152"/>
      <c r="C55" s="188"/>
      <c r="D55" s="188"/>
      <c r="E55" s="188"/>
      <c r="F55" s="189"/>
      <c r="G55" s="15" t="s">
        <v>222</v>
      </c>
      <c r="H55" s="15" t="s">
        <v>194</v>
      </c>
      <c r="I55" s="75">
        <v>3.5</v>
      </c>
      <c r="J55" s="64">
        <f t="shared" ref="J55" si="25">I55*E$54</f>
        <v>0.56700000000000006</v>
      </c>
      <c r="K55" s="54">
        <f t="shared" si="1"/>
        <v>0</v>
      </c>
      <c r="L55" s="54">
        <f t="shared" si="0"/>
        <v>1</v>
      </c>
      <c r="M55" s="15" t="str">
        <f t="shared" si="22"/>
        <v>Раствор готовый отделочный тяжелый, известковый 1:2,5</v>
      </c>
      <c r="N55" s="109" t="str">
        <f t="shared" si="22"/>
        <v> м3</v>
      </c>
      <c r="O55" s="108">
        <f t="shared" si="2"/>
        <v>19.253519999999998</v>
      </c>
      <c r="P55" s="78">
        <f t="shared" si="3"/>
        <v>35</v>
      </c>
      <c r="Q55" s="54"/>
      <c r="R55" s="82" t="s">
        <v>255</v>
      </c>
      <c r="S55" s="56"/>
      <c r="T55"/>
      <c r="U55"/>
      <c r="V55"/>
      <c r="W55"/>
      <c r="X55"/>
      <c r="AE55" s="5">
        <f t="shared" si="4"/>
        <v>35</v>
      </c>
      <c r="AF55" s="15">
        <f t="shared" si="23"/>
        <v>0</v>
      </c>
      <c r="AG55" s="109">
        <f t="shared" si="24"/>
        <v>0</v>
      </c>
      <c r="AH55" s="108">
        <f t="shared" si="5"/>
        <v>0</v>
      </c>
    </row>
    <row r="56" spans="2:34" ht="63">
      <c r="B56" s="152">
        <v>7</v>
      </c>
      <c r="C56" s="188" t="s">
        <v>65</v>
      </c>
      <c r="D56" s="188" t="s">
        <v>60</v>
      </c>
      <c r="E56" s="188">
        <v>6.3959999999999999</v>
      </c>
      <c r="F56" s="189" t="s">
        <v>66</v>
      </c>
      <c r="G56" s="15" t="s">
        <v>223</v>
      </c>
      <c r="H56" s="15" t="s">
        <v>198</v>
      </c>
      <c r="I56" s="15">
        <v>0.02</v>
      </c>
      <c r="J56" s="64">
        <f>I56*E$56</f>
        <v>0.12792000000000001</v>
      </c>
      <c r="K56" s="54">
        <f t="shared" si="1"/>
        <v>0</v>
      </c>
      <c r="L56" s="54">
        <f t="shared" si="0"/>
        <v>1</v>
      </c>
      <c r="M56" s="15" t="str">
        <f t="shared" si="22"/>
        <v>Шкурка шлифовальная двухслойная с зернистостью 40-25</v>
      </c>
      <c r="N56" s="109" t="str">
        <f t="shared" si="22"/>
        <v> м2</v>
      </c>
      <c r="O56" s="108">
        <f t="shared" si="2"/>
        <v>8.4823200000000014</v>
      </c>
      <c r="P56" s="78">
        <f t="shared" si="3"/>
        <v>36</v>
      </c>
      <c r="Q56" s="54"/>
      <c r="R56" s="82" t="s">
        <v>292</v>
      </c>
      <c r="S56" s="56"/>
      <c r="T56"/>
      <c r="U56"/>
      <c r="V56"/>
      <c r="W56"/>
      <c r="X56"/>
      <c r="AE56" s="5">
        <f t="shared" si="4"/>
        <v>36</v>
      </c>
      <c r="AF56" s="15">
        <f t="shared" si="23"/>
        <v>0</v>
      </c>
      <c r="AG56" s="109">
        <f t="shared" si="24"/>
        <v>0</v>
      </c>
      <c r="AH56" s="108">
        <f t="shared" si="5"/>
        <v>0</v>
      </c>
    </row>
    <row r="57" spans="2:34" ht="31.5">
      <c r="B57" s="152"/>
      <c r="C57" s="188"/>
      <c r="D57" s="188"/>
      <c r="E57" s="188"/>
      <c r="F57" s="189"/>
      <c r="G57" s="15" t="s">
        <v>224</v>
      </c>
      <c r="H57" s="15" t="s">
        <v>227</v>
      </c>
      <c r="I57" s="75">
        <v>50</v>
      </c>
      <c r="J57" s="64">
        <f t="shared" ref="J57:J60" si="26">I57*E$56</f>
        <v>319.8</v>
      </c>
      <c r="K57" s="54">
        <f t="shared" si="1"/>
        <v>0</v>
      </c>
      <c r="L57" s="54">
        <f t="shared" si="0"/>
        <v>1</v>
      </c>
      <c r="M57" s="15" t="str">
        <f t="shared" si="22"/>
        <v>Шпатлевка клеевая</v>
      </c>
      <c r="N57" s="109" t="str">
        <f t="shared" si="22"/>
        <v> т</v>
      </c>
      <c r="O57" s="108">
        <f t="shared" si="2"/>
        <v>0.141372</v>
      </c>
      <c r="P57" s="78">
        <f t="shared" si="3"/>
        <v>37</v>
      </c>
      <c r="Q57" s="54"/>
      <c r="R57" s="82" t="s">
        <v>250</v>
      </c>
      <c r="S57" s="56"/>
      <c r="T57"/>
      <c r="U57"/>
      <c r="V57"/>
      <c r="W57"/>
      <c r="X57"/>
      <c r="AE57" s="5">
        <f t="shared" si="4"/>
        <v>37</v>
      </c>
      <c r="AF57" s="15">
        <f t="shared" si="23"/>
        <v>0</v>
      </c>
      <c r="AG57" s="109">
        <f t="shared" si="24"/>
        <v>0</v>
      </c>
      <c r="AH57" s="108">
        <f t="shared" si="5"/>
        <v>0</v>
      </c>
    </row>
    <row r="58" spans="2:34" ht="31.5">
      <c r="B58" s="152"/>
      <c r="C58" s="188"/>
      <c r="D58" s="188"/>
      <c r="E58" s="188"/>
      <c r="F58" s="189"/>
      <c r="G58" s="15" t="s">
        <v>225</v>
      </c>
      <c r="H58" s="15" t="s">
        <v>194</v>
      </c>
      <c r="I58" s="15">
        <v>1</v>
      </c>
      <c r="J58" s="64">
        <f t="shared" si="26"/>
        <v>6.3959999999999999</v>
      </c>
      <c r="K58" s="54">
        <f t="shared" si="1"/>
        <v>0</v>
      </c>
      <c r="L58" s="54">
        <f t="shared" si="0"/>
        <v>1</v>
      </c>
      <c r="M58" s="15" t="str">
        <f t="shared" ref="M58:N60" si="27">G94</f>
        <v>Замазка оконная на олифе</v>
      </c>
      <c r="N58" s="109" t="str">
        <f t="shared" si="27"/>
        <v> т</v>
      </c>
      <c r="O58" s="108">
        <f t="shared" si="2"/>
        <v>5.4431999999999994E-2</v>
      </c>
      <c r="P58" s="78">
        <f t="shared" si="3"/>
        <v>38</v>
      </c>
      <c r="Q58" s="54"/>
      <c r="R58" s="82" t="s">
        <v>309</v>
      </c>
      <c r="S58" s="56"/>
      <c r="T58"/>
      <c r="U58"/>
      <c r="V58"/>
      <c r="W58"/>
      <c r="X58"/>
      <c r="AE58" s="5">
        <f t="shared" si="4"/>
        <v>38</v>
      </c>
      <c r="AF58" s="15">
        <f t="shared" si="23"/>
        <v>0</v>
      </c>
      <c r="AG58" s="109">
        <f t="shared" si="24"/>
        <v>0</v>
      </c>
      <c r="AH58" s="108">
        <f t="shared" si="5"/>
        <v>0</v>
      </c>
    </row>
    <row r="59" spans="2:34" ht="47.25">
      <c r="B59" s="152"/>
      <c r="C59" s="188"/>
      <c r="D59" s="188"/>
      <c r="E59" s="188"/>
      <c r="F59" s="189"/>
      <c r="G59" s="15" t="s">
        <v>226</v>
      </c>
      <c r="H59" s="15" t="s">
        <v>200</v>
      </c>
      <c r="I59" s="75">
        <v>102</v>
      </c>
      <c r="J59" s="64">
        <f t="shared" si="26"/>
        <v>652.39199999999994</v>
      </c>
      <c r="K59" s="54">
        <f t="shared" si="1"/>
        <v>0</v>
      </c>
      <c r="L59" s="54">
        <f t="shared" si="0"/>
        <v>1</v>
      </c>
      <c r="M59" s="15" t="str">
        <f t="shared" si="27"/>
        <v>Мыло твердое хозяйственное 72%</v>
      </c>
      <c r="N59" s="109" t="str">
        <f t="shared" si="27"/>
        <v> шт.</v>
      </c>
      <c r="O59" s="108">
        <f t="shared" si="2"/>
        <v>1.512</v>
      </c>
      <c r="P59" s="78">
        <f t="shared" si="3"/>
        <v>39</v>
      </c>
      <c r="Q59" s="54"/>
      <c r="R59" s="82" t="s">
        <v>259</v>
      </c>
      <c r="S59" s="56"/>
      <c r="T59"/>
      <c r="U59"/>
      <c r="V59"/>
      <c r="W59"/>
      <c r="X59"/>
      <c r="AE59" s="5">
        <f t="shared" si="4"/>
        <v>39</v>
      </c>
      <c r="AF59" s="15">
        <f t="shared" si="23"/>
        <v>0</v>
      </c>
      <c r="AG59" s="109">
        <f t="shared" si="24"/>
        <v>0</v>
      </c>
      <c r="AH59" s="108">
        <f t="shared" si="5"/>
        <v>0</v>
      </c>
    </row>
    <row r="60" spans="2:34" ht="47.25">
      <c r="B60" s="152"/>
      <c r="C60" s="188"/>
      <c r="D60" s="188"/>
      <c r="E60" s="188"/>
      <c r="F60" s="189"/>
      <c r="G60" s="15" t="s">
        <v>222</v>
      </c>
      <c r="H60" s="15" t="s">
        <v>194</v>
      </c>
      <c r="I60" s="75">
        <v>0.2</v>
      </c>
      <c r="J60" s="64">
        <f t="shared" si="26"/>
        <v>1.2792000000000001</v>
      </c>
      <c r="K60" s="54">
        <f t="shared" si="1"/>
        <v>0</v>
      </c>
      <c r="L60" s="54">
        <f t="shared" si="0"/>
        <v>1</v>
      </c>
      <c r="M60" s="15" t="str">
        <f t="shared" si="27"/>
        <v>Олифа комбинированная, марки К-2</v>
      </c>
      <c r="N60" s="109" t="str">
        <f t="shared" si="27"/>
        <v> т</v>
      </c>
      <c r="O60" s="108">
        <f t="shared" si="2"/>
        <v>2.2680000000000001E-3</v>
      </c>
      <c r="P60" s="78">
        <f t="shared" si="3"/>
        <v>40</v>
      </c>
      <c r="Q60" s="54"/>
      <c r="R60" s="82" t="s">
        <v>310</v>
      </c>
      <c r="S60" s="56"/>
      <c r="T60"/>
      <c r="U60"/>
      <c r="V60"/>
      <c r="W60"/>
      <c r="X60"/>
      <c r="AE60" s="5">
        <f t="shared" si="4"/>
        <v>40</v>
      </c>
      <c r="AF60" s="15">
        <f t="shared" ref="AF60:AF62" si="28">Z96</f>
        <v>0</v>
      </c>
      <c r="AG60" s="109">
        <f t="shared" ref="AG60:AG62" si="29">AA96</f>
        <v>0</v>
      </c>
      <c r="AH60" s="108">
        <f t="shared" si="5"/>
        <v>0</v>
      </c>
    </row>
    <row r="61" spans="2:34" ht="94.5">
      <c r="B61" s="152">
        <v>8</v>
      </c>
      <c r="C61" s="188" t="s">
        <v>69</v>
      </c>
      <c r="D61" s="188" t="s">
        <v>60</v>
      </c>
      <c r="E61" s="188">
        <v>0.35949999999999999</v>
      </c>
      <c r="F61" s="189" t="s">
        <v>70</v>
      </c>
      <c r="G61" s="15" t="s">
        <v>228</v>
      </c>
      <c r="H61" s="15" t="s">
        <v>200</v>
      </c>
      <c r="I61" s="15">
        <v>102</v>
      </c>
      <c r="J61" s="64">
        <f>I61*E$61</f>
        <v>36.668999999999997</v>
      </c>
      <c r="K61" s="54">
        <f t="shared" si="1"/>
        <v>0</v>
      </c>
      <c r="L61" s="54">
        <f t="shared" si="0"/>
        <v>1</v>
      </c>
      <c r="M61" s="15" t="str">
        <f>G98</f>
        <v>Стекло оконное</v>
      </c>
      <c r="N61" s="109" t="str">
        <f>H98</f>
        <v> м2</v>
      </c>
      <c r="O61" s="108">
        <f t="shared" si="2"/>
        <v>117.93600000000001</v>
      </c>
      <c r="P61" s="78">
        <f t="shared" si="3"/>
        <v>41</v>
      </c>
      <c r="Q61" s="54"/>
      <c r="R61" s="82" t="s">
        <v>261</v>
      </c>
      <c r="S61" s="56"/>
      <c r="T61"/>
      <c r="U61"/>
      <c r="V61"/>
      <c r="W61"/>
      <c r="X61"/>
      <c r="AE61" s="5">
        <f t="shared" si="4"/>
        <v>41</v>
      </c>
      <c r="AF61" s="15">
        <f t="shared" si="28"/>
        <v>0</v>
      </c>
      <c r="AG61" s="109">
        <f t="shared" si="29"/>
        <v>0</v>
      </c>
      <c r="AH61" s="108">
        <f t="shared" si="5"/>
        <v>0</v>
      </c>
    </row>
    <row r="62" spans="2:34" ht="31.5">
      <c r="B62" s="152"/>
      <c r="C62" s="188"/>
      <c r="D62" s="188"/>
      <c r="E62" s="188"/>
      <c r="F62" s="189"/>
      <c r="G62" s="15" t="s">
        <v>225</v>
      </c>
      <c r="H62" s="15" t="s">
        <v>194</v>
      </c>
      <c r="I62" s="75">
        <v>3.06</v>
      </c>
      <c r="J62" s="64">
        <f t="shared" ref="J62:J64" si="30">I62*E$61</f>
        <v>1.1000699999999999</v>
      </c>
      <c r="K62" s="54">
        <f t="shared" si="1"/>
        <v>0</v>
      </c>
      <c r="L62" s="54">
        <f t="shared" si="0"/>
        <v>1</v>
      </c>
      <c r="M62" s="15" t="str">
        <f>G100</f>
        <v>Войлок строительный</v>
      </c>
      <c r="N62" s="109" t="str">
        <f>H100</f>
        <v> т</v>
      </c>
      <c r="O62" s="108">
        <f t="shared" si="2"/>
        <v>8.1119999999999994E-3</v>
      </c>
      <c r="P62" s="78">
        <f t="shared" si="3"/>
        <v>42</v>
      </c>
      <c r="Q62" s="54"/>
      <c r="R62" s="82" t="s">
        <v>263</v>
      </c>
      <c r="S62" s="56"/>
      <c r="T62"/>
      <c r="U62"/>
      <c r="V62"/>
      <c r="W62"/>
      <c r="X62"/>
      <c r="AE62" s="5">
        <f t="shared" si="4"/>
        <v>42</v>
      </c>
      <c r="AF62" s="15">
        <f t="shared" si="28"/>
        <v>0</v>
      </c>
      <c r="AG62" s="109">
        <f t="shared" si="29"/>
        <v>0</v>
      </c>
      <c r="AH62" s="108">
        <f t="shared" si="5"/>
        <v>0</v>
      </c>
    </row>
    <row r="63" spans="2:34" ht="63">
      <c r="B63" s="152"/>
      <c r="C63" s="188"/>
      <c r="D63" s="188"/>
      <c r="E63" s="188"/>
      <c r="F63" s="189"/>
      <c r="G63" s="15" t="s">
        <v>221</v>
      </c>
      <c r="H63" s="15" t="s">
        <v>194</v>
      </c>
      <c r="I63" s="15">
        <v>1.3</v>
      </c>
      <c r="J63" s="64">
        <f t="shared" si="30"/>
        <v>0.46734999999999999</v>
      </c>
      <c r="K63" s="54">
        <f t="shared" si="1"/>
        <v>0</v>
      </c>
      <c r="L63" s="54">
        <f t="shared" si="0"/>
        <v>1</v>
      </c>
      <c r="M63" s="15" t="str">
        <f t="shared" ref="M63:N65" si="31">G103</f>
        <v>Натрий фтористый технический, марка А, сорт I</v>
      </c>
      <c r="N63" s="109" t="str">
        <f t="shared" si="31"/>
        <v> т</v>
      </c>
      <c r="O63" s="108">
        <f t="shared" si="2"/>
        <v>1.092E-4</v>
      </c>
      <c r="P63" s="78">
        <f t="shared" si="3"/>
        <v>43</v>
      </c>
      <c r="Q63" s="54"/>
      <c r="R63" s="82" t="s">
        <v>311</v>
      </c>
      <c r="S63" s="56"/>
      <c r="T63"/>
      <c r="U63"/>
      <c r="V63"/>
      <c r="W63"/>
      <c r="X63"/>
      <c r="AE63" s="5">
        <f t="shared" si="4"/>
        <v>43</v>
      </c>
      <c r="AF63" s="15">
        <f>Z100</f>
        <v>0</v>
      </c>
      <c r="AG63" s="109">
        <f>AA100</f>
        <v>0</v>
      </c>
      <c r="AH63" s="108">
        <f t="shared" si="5"/>
        <v>0</v>
      </c>
    </row>
    <row r="64" spans="2:34" ht="47.25">
      <c r="B64" s="152"/>
      <c r="C64" s="188"/>
      <c r="D64" s="188"/>
      <c r="E64" s="188"/>
      <c r="F64" s="189"/>
      <c r="G64" s="15" t="s">
        <v>222</v>
      </c>
      <c r="H64" s="15" t="s">
        <v>194</v>
      </c>
      <c r="I64" s="75">
        <v>3.85</v>
      </c>
      <c r="J64" s="64">
        <f t="shared" si="30"/>
        <v>1.3840749999999999</v>
      </c>
      <c r="K64" s="54">
        <f t="shared" si="1"/>
        <v>0</v>
      </c>
      <c r="L64" s="54">
        <f t="shared" si="0"/>
        <v>1</v>
      </c>
      <c r="M64" s="15" t="str">
        <f t="shared" si="31"/>
        <v>Доски подоконные деревянные</v>
      </c>
      <c r="N64" s="109" t="str">
        <f t="shared" si="31"/>
        <v> м</v>
      </c>
      <c r="O64" s="108">
        <f>SUMIF(G$19:G$232,M64,$J$19:$J$232)</f>
        <v>11.544</v>
      </c>
      <c r="P64" s="78">
        <f t="shared" si="3"/>
        <v>44</v>
      </c>
      <c r="R64" s="82" t="s">
        <v>266</v>
      </c>
      <c r="T64"/>
      <c r="U64"/>
      <c r="V64"/>
      <c r="W64"/>
      <c r="X64"/>
      <c r="AE64" s="5">
        <f t="shared" si="4"/>
        <v>44</v>
      </c>
      <c r="AF64" s="15">
        <f>Z102</f>
        <v>0</v>
      </c>
      <c r="AG64" s="109">
        <f>AA102</f>
        <v>0</v>
      </c>
      <c r="AH64" s="108">
        <f t="shared" si="5"/>
        <v>0</v>
      </c>
    </row>
    <row r="65" spans="2:34" ht="63">
      <c r="B65" s="152">
        <v>9</v>
      </c>
      <c r="C65" s="188" t="s">
        <v>73</v>
      </c>
      <c r="D65" s="188" t="s">
        <v>60</v>
      </c>
      <c r="E65" s="188">
        <v>0.64300000000000002</v>
      </c>
      <c r="F65" s="189" t="s">
        <v>74</v>
      </c>
      <c r="G65" s="15" t="s">
        <v>229</v>
      </c>
      <c r="H65" s="15" t="s">
        <v>198</v>
      </c>
      <c r="I65" s="15">
        <v>2.0999999999999999E-3</v>
      </c>
      <c r="J65" s="64">
        <f>I65*E$65</f>
        <v>1.3503E-3</v>
      </c>
      <c r="K65" s="54">
        <f t="shared" si="1"/>
        <v>0</v>
      </c>
      <c r="L65" s="54">
        <f t="shared" si="0"/>
        <v>1</v>
      </c>
      <c r="M65" s="15" t="str">
        <f t="shared" si="31"/>
        <v>Раствор готовый отделочный тяжелый, известковый 1:3</v>
      </c>
      <c r="N65" s="109" t="str">
        <f t="shared" si="31"/>
        <v>м3</v>
      </c>
      <c r="O65" s="108">
        <f t="shared" si="2"/>
        <v>5.3040000000000004E-2</v>
      </c>
      <c r="P65" s="78">
        <f>P64+1</f>
        <v>45</v>
      </c>
      <c r="R65" s="82" t="s">
        <v>267</v>
      </c>
      <c r="T65"/>
      <c r="U65"/>
      <c r="V65"/>
      <c r="W65"/>
      <c r="X65"/>
      <c r="AE65" s="5">
        <f t="shared" si="4"/>
        <v>45</v>
      </c>
      <c r="AF65" s="15">
        <f t="shared" ref="AF65:AF67" si="32">Z105</f>
        <v>0</v>
      </c>
      <c r="AG65" s="109">
        <f t="shared" ref="AG65:AG67" si="33">AA105</f>
        <v>0</v>
      </c>
      <c r="AH65" s="108">
        <f t="shared" si="5"/>
        <v>0</v>
      </c>
    </row>
    <row r="66" spans="2:34" ht="47.25">
      <c r="B66" s="152"/>
      <c r="C66" s="188"/>
      <c r="D66" s="188"/>
      <c r="E66" s="188"/>
      <c r="F66" s="189"/>
      <c r="G66" s="15" t="s">
        <v>230</v>
      </c>
      <c r="H66" s="15" t="s">
        <v>198</v>
      </c>
      <c r="I66" s="75">
        <v>2.3599999999999999E-2</v>
      </c>
      <c r="J66" s="64">
        <f t="shared" ref="J66:J75" si="34">I66*E$65</f>
        <v>1.51748E-2</v>
      </c>
      <c r="K66" s="54">
        <f t="shared" si="1"/>
        <v>0</v>
      </c>
      <c r="L66" s="54">
        <f t="shared" si="0"/>
        <v>1</v>
      </c>
      <c r="M66" s="15" t="str">
        <f t="shared" ref="M66:N69" si="35">G107</f>
        <v>Вода</v>
      </c>
      <c r="N66" s="109" t="str">
        <f t="shared" si="35"/>
        <v>м3</v>
      </c>
      <c r="O66" s="108">
        <f t="shared" si="2"/>
        <v>6.5541500000000008</v>
      </c>
      <c r="P66" s="78">
        <f t="shared" si="3"/>
        <v>46</v>
      </c>
      <c r="R66" s="82" t="s">
        <v>222</v>
      </c>
      <c r="T66"/>
      <c r="U66"/>
      <c r="V66"/>
      <c r="W66"/>
      <c r="X66"/>
      <c r="AE66" s="5">
        <f t="shared" si="4"/>
        <v>46</v>
      </c>
      <c r="AF66" s="15">
        <f t="shared" si="32"/>
        <v>0</v>
      </c>
      <c r="AG66" s="109">
        <f t="shared" si="33"/>
        <v>0</v>
      </c>
      <c r="AH66" s="108">
        <f>SUMIF(Z$19:Z$232,AF66,$J$19:$J$232)</f>
        <v>0</v>
      </c>
    </row>
    <row r="67" spans="2:34" ht="110.25">
      <c r="B67" s="152"/>
      <c r="C67" s="188"/>
      <c r="D67" s="188"/>
      <c r="E67" s="188"/>
      <c r="F67" s="189"/>
      <c r="G67" s="15" t="s">
        <v>231</v>
      </c>
      <c r="H67" s="15" t="s">
        <v>200</v>
      </c>
      <c r="I67" s="15">
        <v>89</v>
      </c>
      <c r="J67" s="64">
        <f t="shared" si="34"/>
        <v>57.227000000000004</v>
      </c>
      <c r="K67" s="54">
        <f t="shared" si="1"/>
        <v>0</v>
      </c>
      <c r="L67" s="54">
        <f t="shared" si="0"/>
        <v>1</v>
      </c>
      <c r="M67" s="15" t="str">
        <f t="shared" si="35"/>
        <v>Плитки керамические фасадные и ковры из них цветные (однотонные) толщиной 9 мм</v>
      </c>
      <c r="N67" s="109" t="str">
        <f t="shared" si="35"/>
        <v> м2</v>
      </c>
      <c r="O67" s="108">
        <f t="shared" si="2"/>
        <v>855.3599999999999</v>
      </c>
      <c r="P67" s="78">
        <f t="shared" si="3"/>
        <v>47</v>
      </c>
      <c r="Q67"/>
      <c r="R67" s="82" t="s">
        <v>270</v>
      </c>
      <c r="S67"/>
      <c r="T67"/>
      <c r="U67"/>
      <c r="V67"/>
      <c r="W67"/>
      <c r="X67"/>
      <c r="AE67" s="5">
        <f t="shared" si="4"/>
        <v>47</v>
      </c>
      <c r="AF67" s="15">
        <f t="shared" si="32"/>
        <v>0</v>
      </c>
      <c r="AG67" s="109">
        <f t="shared" si="33"/>
        <v>0</v>
      </c>
      <c r="AH67" s="108">
        <f t="shared" ref="AH67:AH83" si="36">SUMIF(Z$19:Z$232,AF67,$J$19:$J$232)</f>
        <v>0</v>
      </c>
    </row>
    <row r="68" spans="2:34" ht="94.5">
      <c r="B68" s="152"/>
      <c r="C68" s="188"/>
      <c r="D68" s="188"/>
      <c r="E68" s="188"/>
      <c r="F68" s="189"/>
      <c r="G68" s="15" t="s">
        <v>232</v>
      </c>
      <c r="H68" s="15" t="s">
        <v>198</v>
      </c>
      <c r="I68" s="15">
        <v>4.13E-3</v>
      </c>
      <c r="J68" s="64">
        <f t="shared" si="34"/>
        <v>2.6555900000000002E-3</v>
      </c>
      <c r="K68" s="54">
        <f t="shared" si="1"/>
        <v>0</v>
      </c>
      <c r="L68" s="54">
        <f t="shared" si="0"/>
        <v>1</v>
      </c>
      <c r="M68" s="15" t="str">
        <f t="shared" si="35"/>
        <v>Портландцемент пуццолановый общестроительного и специального назначения марки 400</v>
      </c>
      <c r="N68" s="109" t="str">
        <f t="shared" si="35"/>
        <v> т</v>
      </c>
      <c r="O68" s="108">
        <f t="shared" si="2"/>
        <v>0.342144</v>
      </c>
      <c r="P68" s="78">
        <f t="shared" si="3"/>
        <v>48</v>
      </c>
      <c r="Q68"/>
      <c r="R68" s="82" t="s">
        <v>293</v>
      </c>
      <c r="S68"/>
      <c r="T68"/>
      <c r="U68"/>
      <c r="V68"/>
      <c r="W68"/>
      <c r="X68"/>
      <c r="AE68" s="5">
        <f t="shared" si="4"/>
        <v>48</v>
      </c>
      <c r="AF68" s="15">
        <f t="shared" ref="AF68:AF71" si="37">Z109</f>
        <v>0</v>
      </c>
      <c r="AG68" s="109">
        <f t="shared" ref="AG68:AG71" si="38">AA109</f>
        <v>0</v>
      </c>
      <c r="AH68" s="108">
        <f t="shared" si="36"/>
        <v>0</v>
      </c>
    </row>
    <row r="69" spans="2:34">
      <c r="B69" s="152"/>
      <c r="C69" s="188"/>
      <c r="D69" s="188"/>
      <c r="E69" s="188"/>
      <c r="F69" s="189"/>
      <c r="G69" s="15" t="s">
        <v>233</v>
      </c>
      <c r="H69" s="15" t="s">
        <v>240</v>
      </c>
      <c r="I69" s="15">
        <v>32.4</v>
      </c>
      <c r="J69" s="64">
        <f t="shared" si="34"/>
        <v>20.833199999999998</v>
      </c>
      <c r="K69" s="54">
        <f t="shared" si="1"/>
        <v>0</v>
      </c>
      <c r="L69" s="54">
        <f t="shared" si="0"/>
        <v>1</v>
      </c>
      <c r="M69" s="15" t="str">
        <f t="shared" si="35"/>
        <v>Ветошь</v>
      </c>
      <c r="N69" s="109" t="str">
        <f t="shared" si="35"/>
        <v> кг</v>
      </c>
      <c r="O69" s="108">
        <f t="shared" si="2"/>
        <v>7.4066399999999994</v>
      </c>
      <c r="P69" s="78">
        <f t="shared" si="3"/>
        <v>49</v>
      </c>
      <c r="Q69" s="81"/>
      <c r="R69" s="82" t="s">
        <v>251</v>
      </c>
      <c r="S69"/>
      <c r="T69"/>
      <c r="U69"/>
      <c r="V69"/>
      <c r="W69"/>
      <c r="X69"/>
      <c r="AE69" s="5">
        <f t="shared" si="4"/>
        <v>49</v>
      </c>
      <c r="AF69" s="15">
        <f t="shared" si="37"/>
        <v>0</v>
      </c>
      <c r="AG69" s="109">
        <f t="shared" si="38"/>
        <v>0</v>
      </c>
      <c r="AH69" s="108">
        <f t="shared" si="36"/>
        <v>0</v>
      </c>
    </row>
    <row r="70" spans="2:34" ht="31.5">
      <c r="B70" s="152"/>
      <c r="C70" s="188"/>
      <c r="D70" s="188"/>
      <c r="E70" s="188"/>
      <c r="F70" s="189"/>
      <c r="G70" s="15" t="s">
        <v>234</v>
      </c>
      <c r="H70" s="15" t="s">
        <v>227</v>
      </c>
      <c r="I70" s="15">
        <v>37.5</v>
      </c>
      <c r="J70" s="64">
        <f t="shared" si="34"/>
        <v>24.112500000000001</v>
      </c>
      <c r="K70" s="54">
        <f t="shared" si="1"/>
        <v>0</v>
      </c>
      <c r="L70" s="54">
        <f t="shared" si="0"/>
        <v>1</v>
      </c>
      <c r="M70" s="15" t="str">
        <f t="shared" ref="M70:N75" si="39">G112</f>
        <v>Лента полимерная</v>
      </c>
      <c r="N70" s="109" t="str">
        <f t="shared" si="39"/>
        <v> 100 м</v>
      </c>
      <c r="O70" s="108">
        <f t="shared" si="2"/>
        <v>2.7907200000000003</v>
      </c>
      <c r="P70" s="78">
        <f t="shared" si="3"/>
        <v>50</v>
      </c>
      <c r="Q70"/>
      <c r="R70" s="82" t="s">
        <v>290</v>
      </c>
      <c r="S70"/>
      <c r="AE70" s="5">
        <f t="shared" si="4"/>
        <v>50</v>
      </c>
      <c r="AF70" s="15">
        <f t="shared" si="37"/>
        <v>0</v>
      </c>
      <c r="AG70" s="109">
        <f t="shared" si="38"/>
        <v>0</v>
      </c>
      <c r="AH70" s="108">
        <f t="shared" si="36"/>
        <v>0</v>
      </c>
    </row>
    <row r="71" spans="2:34" ht="47.25">
      <c r="B71" s="152"/>
      <c r="C71" s="188"/>
      <c r="D71" s="188"/>
      <c r="E71" s="188"/>
      <c r="F71" s="189"/>
      <c r="G71" s="15" t="s">
        <v>235</v>
      </c>
      <c r="H71" s="15" t="s">
        <v>241</v>
      </c>
      <c r="I71" s="15">
        <v>0</v>
      </c>
      <c r="J71" s="64">
        <f t="shared" si="34"/>
        <v>0</v>
      </c>
      <c r="K71" s="54">
        <f t="shared" si="1"/>
        <v>0</v>
      </c>
      <c r="L71" s="54">
        <f t="shared" si="0"/>
        <v>1</v>
      </c>
      <c r="M71" s="15" t="str">
        <f t="shared" si="39"/>
        <v>Линолеум на теплозвукоизолирующей подоснове</v>
      </c>
      <c r="N71" s="109" t="str">
        <f t="shared" si="39"/>
        <v> м2</v>
      </c>
      <c r="O71" s="108">
        <f t="shared" si="2"/>
        <v>418.608</v>
      </c>
      <c r="P71" s="78">
        <f t="shared" si="3"/>
        <v>51</v>
      </c>
      <c r="Q71"/>
      <c r="R71" s="82" t="s">
        <v>291</v>
      </c>
      <c r="S71"/>
      <c r="AE71" s="5">
        <f t="shared" si="4"/>
        <v>51</v>
      </c>
      <c r="AF71" s="15">
        <f t="shared" si="37"/>
        <v>0</v>
      </c>
      <c r="AG71" s="109">
        <f t="shared" si="38"/>
        <v>0</v>
      </c>
      <c r="AH71" s="108">
        <f t="shared" si="36"/>
        <v>0</v>
      </c>
    </row>
    <row r="72" spans="2:34" ht="78.75">
      <c r="B72" s="152"/>
      <c r="C72" s="188"/>
      <c r="D72" s="188"/>
      <c r="E72" s="188"/>
      <c r="F72" s="189"/>
      <c r="G72" s="15" t="s">
        <v>236</v>
      </c>
      <c r="H72" s="15" t="s">
        <v>194</v>
      </c>
      <c r="I72" s="75">
        <v>0.08</v>
      </c>
      <c r="J72" s="64">
        <f t="shared" si="34"/>
        <v>5.144E-2</v>
      </c>
      <c r="K72" s="54">
        <f t="shared" si="1"/>
        <v>0</v>
      </c>
      <c r="L72" s="54">
        <f t="shared" si="0"/>
        <v>1</v>
      </c>
      <c r="M72" s="15" t="str">
        <f t="shared" si="39"/>
        <v>Мастика битумно-полимерная</v>
      </c>
      <c r="N72" s="109" t="str">
        <f t="shared" si="39"/>
        <v> т</v>
      </c>
      <c r="O72" s="108">
        <f t="shared" si="2"/>
        <v>4.9896000000000003</v>
      </c>
      <c r="P72" s="78">
        <f t="shared" si="3"/>
        <v>52</v>
      </c>
      <c r="Q72"/>
      <c r="R72" s="82" t="s">
        <v>276</v>
      </c>
      <c r="S72"/>
      <c r="AE72" s="5">
        <f t="shared" si="4"/>
        <v>52</v>
      </c>
      <c r="AF72" s="15">
        <f t="shared" ref="AF72:AF77" si="40">Z114</f>
        <v>0</v>
      </c>
      <c r="AG72" s="109">
        <f t="shared" ref="AG72:AG77" si="41">AA114</f>
        <v>0</v>
      </c>
      <c r="AH72" s="108">
        <f t="shared" si="36"/>
        <v>0</v>
      </c>
    </row>
    <row r="73" spans="2:34" ht="47.25">
      <c r="B73" s="152"/>
      <c r="C73" s="188"/>
      <c r="D73" s="188"/>
      <c r="E73" s="188"/>
      <c r="F73" s="189"/>
      <c r="G73" s="15" t="s">
        <v>237</v>
      </c>
      <c r="H73" s="15" t="s">
        <v>200</v>
      </c>
      <c r="I73" s="75">
        <v>100</v>
      </c>
      <c r="J73" s="64">
        <f t="shared" si="34"/>
        <v>64.3</v>
      </c>
      <c r="K73" s="54">
        <f t="shared" si="1"/>
        <v>0</v>
      </c>
      <c r="L73" s="54">
        <f t="shared" si="0"/>
        <v>1</v>
      </c>
      <c r="M73" s="15" t="str">
        <f t="shared" si="39"/>
        <v>Материалы рулонные кровельные для верхнего слоя</v>
      </c>
      <c r="N73" s="109" t="str">
        <f t="shared" si="39"/>
        <v>м2</v>
      </c>
      <c r="O73" s="108">
        <f t="shared" si="2"/>
        <v>816.48</v>
      </c>
      <c r="P73" s="78">
        <f>P72+1</f>
        <v>53</v>
      </c>
      <c r="Q73"/>
      <c r="R73" s="82" t="s">
        <v>312</v>
      </c>
      <c r="S73"/>
      <c r="AE73" s="5">
        <f t="shared" si="4"/>
        <v>53</v>
      </c>
      <c r="AF73" s="15">
        <f t="shared" si="40"/>
        <v>0</v>
      </c>
      <c r="AG73" s="109">
        <f t="shared" si="41"/>
        <v>0</v>
      </c>
      <c r="AH73" s="108">
        <f t="shared" si="36"/>
        <v>0</v>
      </c>
    </row>
    <row r="74" spans="2:34" ht="63">
      <c r="B74" s="152"/>
      <c r="C74" s="188"/>
      <c r="D74" s="188"/>
      <c r="E74" s="188"/>
      <c r="F74" s="189"/>
      <c r="G74" s="15" t="s">
        <v>238</v>
      </c>
      <c r="H74" s="75" t="s">
        <v>192</v>
      </c>
      <c r="I74" s="75">
        <v>0.105</v>
      </c>
      <c r="J74" s="64">
        <f t="shared" si="34"/>
        <v>6.7515000000000006E-2</v>
      </c>
      <c r="K74" s="54">
        <f t="shared" si="1"/>
        <v>0</v>
      </c>
      <c r="L74" s="54">
        <f t="shared" si="0"/>
        <v>1</v>
      </c>
      <c r="M74" s="15" t="str">
        <f t="shared" si="39"/>
        <v>Материалы рулонные кровельные для нижних слоев</v>
      </c>
      <c r="N74" s="109" t="str">
        <f t="shared" si="39"/>
        <v>м2</v>
      </c>
      <c r="O74" s="108">
        <f t="shared" si="2"/>
        <v>1620</v>
      </c>
      <c r="P74" s="78">
        <f t="shared" si="3"/>
        <v>54</v>
      </c>
      <c r="Q74"/>
      <c r="R74" s="82" t="s">
        <v>313</v>
      </c>
      <c r="S74"/>
      <c r="AE74" s="5">
        <f t="shared" si="4"/>
        <v>54</v>
      </c>
      <c r="AF74" s="15">
        <f t="shared" si="40"/>
        <v>0</v>
      </c>
      <c r="AG74" s="109">
        <f t="shared" si="41"/>
        <v>0</v>
      </c>
      <c r="AH74" s="108">
        <f t="shared" si="36"/>
        <v>0</v>
      </c>
    </row>
    <row r="75" spans="2:34" ht="47.25">
      <c r="B75" s="152"/>
      <c r="C75" s="188"/>
      <c r="D75" s="188"/>
      <c r="E75" s="188"/>
      <c r="F75" s="189"/>
      <c r="G75" s="15" t="s">
        <v>239</v>
      </c>
      <c r="H75" s="15" t="s">
        <v>198</v>
      </c>
      <c r="I75" s="15">
        <v>1.6E-2</v>
      </c>
      <c r="J75" s="64">
        <f t="shared" si="34"/>
        <v>1.0288E-2</v>
      </c>
      <c r="K75" s="54">
        <f t="shared" si="1"/>
        <v>0</v>
      </c>
      <c r="L75" s="54">
        <f>COUNTIF(M$21:M$200,M75)</f>
        <v>1</v>
      </c>
      <c r="M75" s="15" t="str">
        <f t="shared" si="39"/>
        <v>Гвозди толевые круглые 3,0х40 мм</v>
      </c>
      <c r="N75" s="109" t="str">
        <f t="shared" si="39"/>
        <v> т</v>
      </c>
      <c r="O75" s="108">
        <f t="shared" si="2"/>
        <v>5.3886000000000003E-3</v>
      </c>
      <c r="P75" s="78">
        <f t="shared" si="3"/>
        <v>55</v>
      </c>
      <c r="Q75" s="80"/>
      <c r="R75" s="82" t="s">
        <v>314</v>
      </c>
      <c r="S75"/>
      <c r="T75"/>
      <c r="U75"/>
      <c r="V75"/>
      <c r="AE75" s="5">
        <f t="shared" si="4"/>
        <v>55</v>
      </c>
      <c r="AF75" s="15">
        <f t="shared" si="40"/>
        <v>0</v>
      </c>
      <c r="AG75" s="109">
        <f t="shared" si="41"/>
        <v>0</v>
      </c>
      <c r="AH75" s="108">
        <f t="shared" si="36"/>
        <v>0</v>
      </c>
    </row>
    <row r="76" spans="2:34" ht="78.75">
      <c r="B76" s="195">
        <v>10</v>
      </c>
      <c r="C76" s="188" t="s">
        <v>76</v>
      </c>
      <c r="D76" s="188" t="s">
        <v>60</v>
      </c>
      <c r="E76" s="188">
        <v>0.91200000000000003</v>
      </c>
      <c r="F76" s="189" t="s">
        <v>77</v>
      </c>
      <c r="G76" s="15" t="s">
        <v>242</v>
      </c>
      <c r="H76" s="15" t="s">
        <v>198</v>
      </c>
      <c r="I76" s="75">
        <v>3.8E-3</v>
      </c>
      <c r="J76" s="64">
        <f>I76*E$76</f>
        <v>3.4656000000000001E-3</v>
      </c>
      <c r="K76" s="54">
        <f t="shared" si="1"/>
        <v>0</v>
      </c>
      <c r="L76" s="54">
        <f t="shared" ref="L76:L81" si="42">COUNTIF(M$21:M$200,M76)</f>
        <v>1</v>
      </c>
      <c r="M76" s="15" t="str">
        <f>G119</f>
        <v>Толь с крупнозернистой посыпкой гидроизоляционный марки ТГ-350</v>
      </c>
      <c r="N76" s="109" t="str">
        <f>H119</f>
        <v> м2</v>
      </c>
      <c r="O76" s="108">
        <f t="shared" si="2"/>
        <v>113.51048</v>
      </c>
      <c r="P76" s="78">
        <f t="shared" si="3"/>
        <v>56</v>
      </c>
      <c r="Q76"/>
      <c r="R76" s="82" t="s">
        <v>231</v>
      </c>
      <c r="S76"/>
      <c r="T76"/>
      <c r="U76"/>
      <c r="V76"/>
      <c r="AE76" s="5">
        <f t="shared" si="4"/>
        <v>56</v>
      </c>
      <c r="AF76" s="15">
        <f t="shared" si="40"/>
        <v>0</v>
      </c>
      <c r="AG76" s="109">
        <f t="shared" si="41"/>
        <v>0</v>
      </c>
      <c r="AH76" s="108">
        <f t="shared" si="36"/>
        <v>0</v>
      </c>
    </row>
    <row r="77" spans="2:34" ht="66" customHeight="1">
      <c r="B77" s="195"/>
      <c r="C77" s="188"/>
      <c r="D77" s="188"/>
      <c r="E77" s="188"/>
      <c r="F77" s="189"/>
      <c r="G77" s="15" t="s">
        <v>243</v>
      </c>
      <c r="H77" s="15" t="s">
        <v>241</v>
      </c>
      <c r="I77" s="75">
        <v>100</v>
      </c>
      <c r="J77" s="64">
        <f t="shared" ref="J77:J78" si="43">I77*E$76</f>
        <v>91.2</v>
      </c>
      <c r="K77" s="54">
        <f t="shared" si="1"/>
        <v>0</v>
      </c>
      <c r="L77" s="54">
        <f t="shared" si="42"/>
        <v>1</v>
      </c>
      <c r="M77" s="15" t="str">
        <f>G120</f>
        <v>Гвозди строительные</v>
      </c>
      <c r="N77" s="109" t="str">
        <f>H120</f>
        <v> т</v>
      </c>
      <c r="O77" s="108">
        <f t="shared" si="2"/>
        <v>8.0791800000000018E-3</v>
      </c>
      <c r="P77" s="78">
        <f t="shared" si="3"/>
        <v>57</v>
      </c>
      <c r="Q77"/>
      <c r="R77" s="82" t="s">
        <v>232</v>
      </c>
      <c r="S77"/>
      <c r="T77"/>
      <c r="U77"/>
      <c r="V77"/>
      <c r="AE77" s="5">
        <f t="shared" si="4"/>
        <v>57</v>
      </c>
      <c r="AF77" s="15">
        <f t="shared" si="40"/>
        <v>0</v>
      </c>
      <c r="AG77" s="109">
        <f t="shared" si="41"/>
        <v>0</v>
      </c>
      <c r="AH77" s="108">
        <f t="shared" si="36"/>
        <v>0</v>
      </c>
    </row>
    <row r="78" spans="2:34" ht="50.45" customHeight="1">
      <c r="B78" s="195"/>
      <c r="C78" s="188"/>
      <c r="D78" s="188"/>
      <c r="E78" s="188"/>
      <c r="F78" s="189"/>
      <c r="G78" s="15" t="s">
        <v>244</v>
      </c>
      <c r="H78" s="15" t="s">
        <v>200</v>
      </c>
      <c r="I78" s="75">
        <v>0</v>
      </c>
      <c r="J78" s="64">
        <f t="shared" si="43"/>
        <v>0</v>
      </c>
      <c r="K78" s="54">
        <f t="shared" si="1"/>
        <v>0</v>
      </c>
      <c r="L78" s="54">
        <f t="shared" si="42"/>
        <v>1</v>
      </c>
      <c r="M78" s="15" t="str">
        <f t="shared" ref="M78:N80" si="44">G123</f>
        <v>Шурупы строительные</v>
      </c>
      <c r="N78" s="109" t="str">
        <f t="shared" si="44"/>
        <v> т</v>
      </c>
      <c r="O78" s="108">
        <f t="shared" si="2"/>
        <v>7.2960000000000004E-3</v>
      </c>
      <c r="P78" s="78">
        <f t="shared" si="3"/>
        <v>58</v>
      </c>
      <c r="Q78"/>
      <c r="R78" s="82" t="s">
        <v>282</v>
      </c>
      <c r="S78"/>
      <c r="T78"/>
      <c r="U78"/>
      <c r="V78"/>
      <c r="AE78" s="5">
        <f t="shared" si="4"/>
        <v>58</v>
      </c>
      <c r="AF78" s="15">
        <f>Z121</f>
        <v>0</v>
      </c>
      <c r="AG78" s="109">
        <f>AA121</f>
        <v>0</v>
      </c>
      <c r="AH78" s="108">
        <f t="shared" si="36"/>
        <v>0</v>
      </c>
    </row>
    <row r="79" spans="2:34" ht="46.9" customHeight="1">
      <c r="B79" s="152">
        <v>11</v>
      </c>
      <c r="C79" s="188" t="s">
        <v>80</v>
      </c>
      <c r="D79" s="188" t="s">
        <v>60</v>
      </c>
      <c r="E79" s="188">
        <v>6.7320000000000002</v>
      </c>
      <c r="F79" s="189" t="s">
        <v>81</v>
      </c>
      <c r="G79" s="15" t="s">
        <v>245</v>
      </c>
      <c r="H79" s="15" t="s">
        <v>198</v>
      </c>
      <c r="I79" s="15">
        <v>6.9999999999999994E-5</v>
      </c>
      <c r="J79" s="64">
        <f>I79*E$79</f>
        <v>4.7123999999999999E-4</v>
      </c>
      <c r="K79" s="54">
        <f t="shared" si="1"/>
        <v>0</v>
      </c>
      <c r="L79" s="54">
        <f t="shared" si="42"/>
        <v>1</v>
      </c>
      <c r="M79" s="15" t="str">
        <f t="shared" si="44"/>
        <v>Блоки оконные</v>
      </c>
      <c r="N79" s="109" t="str">
        <f t="shared" si="44"/>
        <v> м2</v>
      </c>
      <c r="O79" s="108">
        <f t="shared" si="2"/>
        <v>64</v>
      </c>
      <c r="P79" s="78">
        <f t="shared" si="3"/>
        <v>59</v>
      </c>
      <c r="Q79"/>
      <c r="R79" s="82" t="s">
        <v>283</v>
      </c>
      <c r="S79"/>
      <c r="T79"/>
      <c r="U79"/>
      <c r="V79"/>
      <c r="AE79" s="5">
        <f t="shared" si="4"/>
        <v>59</v>
      </c>
      <c r="AF79" s="15">
        <f>Z122</f>
        <v>0</v>
      </c>
      <c r="AG79" s="109">
        <f>AA122</f>
        <v>0</v>
      </c>
      <c r="AH79" s="108">
        <f t="shared" si="36"/>
        <v>0</v>
      </c>
    </row>
    <row r="80" spans="2:34" ht="46.9" customHeight="1">
      <c r="B80" s="152"/>
      <c r="C80" s="188"/>
      <c r="D80" s="188"/>
      <c r="E80" s="188"/>
      <c r="F80" s="189"/>
      <c r="G80" s="15" t="s">
        <v>246</v>
      </c>
      <c r="H80" s="15" t="s">
        <v>200</v>
      </c>
      <c r="I80" s="15">
        <v>2.64</v>
      </c>
      <c r="J80" s="64">
        <f t="shared" ref="J80:J82" si="45">I80*E$79</f>
        <v>17.772480000000002</v>
      </c>
      <c r="K80" s="54">
        <f t="shared" si="1"/>
        <v>0</v>
      </c>
      <c r="L80" s="54">
        <f t="shared" si="42"/>
        <v>1</v>
      </c>
      <c r="M80" s="15" t="str">
        <f t="shared" si="44"/>
        <v>Раствор готовый отделочный тяжелый, известковый 1:2,0</v>
      </c>
      <c r="N80" s="109" t="str">
        <f t="shared" si="44"/>
        <v>м3</v>
      </c>
      <c r="O80" s="108">
        <f t="shared" si="2"/>
        <v>8.832000000000001E-2</v>
      </c>
      <c r="P80" s="78">
        <f t="shared" si="3"/>
        <v>60</v>
      </c>
      <c r="Q80"/>
      <c r="R80" s="82" t="s">
        <v>315</v>
      </c>
      <c r="S80"/>
      <c r="T80"/>
      <c r="U80"/>
      <c r="V80"/>
      <c r="AE80" s="5">
        <f t="shared" si="4"/>
        <v>60</v>
      </c>
      <c r="AF80" s="15">
        <f t="shared" ref="AF80:AF82" si="46">Z125</f>
        <v>0</v>
      </c>
      <c r="AG80" s="109">
        <f t="shared" ref="AG80:AG82" si="47">AA125</f>
        <v>0</v>
      </c>
      <c r="AH80" s="108">
        <f t="shared" si="36"/>
        <v>0</v>
      </c>
    </row>
    <row r="81" spans="2:34" ht="126">
      <c r="B81" s="152"/>
      <c r="C81" s="188"/>
      <c r="D81" s="188"/>
      <c r="E81" s="188"/>
      <c r="F81" s="189"/>
      <c r="G81" s="15" t="s">
        <v>247</v>
      </c>
      <c r="H81" s="15" t="s">
        <v>194</v>
      </c>
      <c r="I81" s="15">
        <v>0.04</v>
      </c>
      <c r="J81" s="64">
        <f t="shared" si="45"/>
        <v>0.26928000000000002</v>
      </c>
      <c r="K81" s="54">
        <f t="shared" ref="K81" si="48">IF(L81&gt;1,1,0)</f>
        <v>0</v>
      </c>
      <c r="L81" s="54">
        <f t="shared" si="42"/>
        <v>1</v>
      </c>
      <c r="M81" s="15" t="s">
        <v>228</v>
      </c>
      <c r="N81" s="109" t="s">
        <v>256</v>
      </c>
      <c r="O81" s="108">
        <f t="shared" si="2"/>
        <v>73.337999999999994</v>
      </c>
      <c r="P81" s="78">
        <f t="shared" si="3"/>
        <v>61</v>
      </c>
      <c r="Q81"/>
      <c r="R81" s="111" t="s">
        <v>228</v>
      </c>
      <c r="S81"/>
      <c r="T81"/>
      <c r="U81"/>
      <c r="V81"/>
      <c r="AE81" s="5">
        <f t="shared" si="4"/>
        <v>61</v>
      </c>
      <c r="AF81" s="15">
        <f t="shared" si="46"/>
        <v>0</v>
      </c>
      <c r="AG81" s="109">
        <f t="shared" si="47"/>
        <v>0</v>
      </c>
      <c r="AH81" s="108">
        <f t="shared" si="36"/>
        <v>0</v>
      </c>
    </row>
    <row r="82" spans="2:34" ht="63">
      <c r="B82" s="152"/>
      <c r="C82" s="188"/>
      <c r="D82" s="188"/>
      <c r="E82" s="188"/>
      <c r="F82" s="189"/>
      <c r="G82" s="15" t="s">
        <v>248</v>
      </c>
      <c r="H82" s="15" t="s">
        <v>194</v>
      </c>
      <c r="I82" s="15">
        <v>1.4</v>
      </c>
      <c r="J82" s="64">
        <f t="shared" si="45"/>
        <v>9.4247999999999994</v>
      </c>
      <c r="K82" s="54"/>
      <c r="L82" s="54"/>
      <c r="P82" s="78"/>
      <c r="Q82"/>
      <c r="R82"/>
      <c r="S82"/>
      <c r="T82"/>
      <c r="U82"/>
      <c r="V82"/>
      <c r="AE82" s="5">
        <f t="shared" si="4"/>
        <v>62</v>
      </c>
      <c r="AF82" s="15">
        <f t="shared" si="46"/>
        <v>0</v>
      </c>
      <c r="AG82" s="109">
        <f t="shared" si="47"/>
        <v>0</v>
      </c>
      <c r="AH82" s="108">
        <f t="shared" si="36"/>
        <v>0</v>
      </c>
    </row>
    <row r="83" spans="2:34" ht="267.75">
      <c r="B83" s="152">
        <v>12</v>
      </c>
      <c r="C83" s="188" t="s">
        <v>84</v>
      </c>
      <c r="D83" s="188" t="s">
        <v>60</v>
      </c>
      <c r="E83" s="188">
        <v>6.7320000000000002</v>
      </c>
      <c r="F83" s="189" t="s">
        <v>85</v>
      </c>
      <c r="G83" s="15" t="s">
        <v>249</v>
      </c>
      <c r="H83" s="15" t="s">
        <v>200</v>
      </c>
      <c r="I83" s="15">
        <v>0.3</v>
      </c>
      <c r="J83" s="64">
        <f>I83*E$83</f>
        <v>2.0196000000000001</v>
      </c>
      <c r="K83" s="54"/>
      <c r="L83" s="54"/>
      <c r="P83" s="78"/>
      <c r="Q83"/>
      <c r="R83"/>
      <c r="S83"/>
      <c r="T83"/>
      <c r="U83"/>
      <c r="V83"/>
      <c r="AE83" s="5">
        <f t="shared" si="4"/>
        <v>63</v>
      </c>
      <c r="AF83" s="15" t="s">
        <v>228</v>
      </c>
      <c r="AG83" s="109" t="s">
        <v>256</v>
      </c>
      <c r="AH83" s="108">
        <f t="shared" si="36"/>
        <v>0</v>
      </c>
    </row>
    <row r="84" spans="2:34">
      <c r="B84" s="152"/>
      <c r="C84" s="188"/>
      <c r="D84" s="188"/>
      <c r="E84" s="188"/>
      <c r="F84" s="189"/>
      <c r="G84" s="15" t="s">
        <v>250</v>
      </c>
      <c r="H84" s="15" t="s">
        <v>198</v>
      </c>
      <c r="I84" s="15">
        <v>5.0000000000000001E-3</v>
      </c>
      <c r="J84" s="64">
        <f t="shared" ref="J84:J86" si="49">I84*E$83</f>
        <v>3.3660000000000002E-2</v>
      </c>
      <c r="K84" s="54"/>
      <c r="L84" s="54"/>
      <c r="P84" s="78"/>
      <c r="Q84"/>
      <c r="R84"/>
      <c r="S84"/>
      <c r="T84"/>
      <c r="U84"/>
      <c r="V84"/>
    </row>
    <row r="85" spans="2:34">
      <c r="B85" s="152"/>
      <c r="C85" s="188"/>
      <c r="D85" s="188"/>
      <c r="E85" s="188"/>
      <c r="F85" s="189"/>
      <c r="G85" s="15" t="s">
        <v>251</v>
      </c>
      <c r="H85" s="15" t="s">
        <v>227</v>
      </c>
      <c r="I85" s="75">
        <v>0.1</v>
      </c>
      <c r="J85" s="64">
        <f t="shared" si="49"/>
        <v>0.67320000000000002</v>
      </c>
      <c r="K85" s="54"/>
      <c r="L85" s="54"/>
      <c r="P85" s="78"/>
      <c r="Q85"/>
      <c r="R85"/>
      <c r="S85"/>
      <c r="T85"/>
      <c r="U85"/>
      <c r="V85"/>
    </row>
    <row r="86" spans="2:34">
      <c r="B86" s="152"/>
      <c r="C86" s="188"/>
      <c r="D86" s="188"/>
      <c r="E86" s="188"/>
      <c r="F86" s="189"/>
      <c r="G86" s="15" t="s">
        <v>252</v>
      </c>
      <c r="H86" s="15" t="s">
        <v>198</v>
      </c>
      <c r="I86" s="15">
        <v>5.1999999999999998E-2</v>
      </c>
      <c r="J86" s="64">
        <f t="shared" si="49"/>
        <v>0.35006399999999999</v>
      </c>
      <c r="K86" s="54"/>
      <c r="L86" s="54"/>
      <c r="P86" s="78"/>
      <c r="Q86"/>
      <c r="R86"/>
      <c r="S86"/>
      <c r="T86"/>
      <c r="U86"/>
      <c r="V86"/>
    </row>
    <row r="87" spans="2:34" ht="47.25" customHeight="1">
      <c r="B87" s="152">
        <v>13</v>
      </c>
      <c r="C87" s="188" t="s">
        <v>86</v>
      </c>
      <c r="D87" s="188" t="s">
        <v>60</v>
      </c>
      <c r="E87" s="188">
        <v>6.7320000000000002</v>
      </c>
      <c r="F87" s="189" t="s">
        <v>87</v>
      </c>
      <c r="G87" s="15" t="s">
        <v>253</v>
      </c>
      <c r="H87" s="15" t="s">
        <v>198</v>
      </c>
      <c r="I87" s="15">
        <v>6.9999999999999994E-5</v>
      </c>
      <c r="J87" s="64">
        <f>I87*E$87</f>
        <v>4.7123999999999999E-4</v>
      </c>
      <c r="K87" s="54"/>
      <c r="L87" s="54"/>
      <c r="P87" s="78"/>
      <c r="Q87"/>
      <c r="R87"/>
      <c r="S87"/>
      <c r="T87"/>
      <c r="U87"/>
      <c r="V87"/>
    </row>
    <row r="88" spans="2:34" ht="47.25">
      <c r="B88" s="152"/>
      <c r="C88" s="188"/>
      <c r="D88" s="188"/>
      <c r="E88" s="188"/>
      <c r="F88" s="189"/>
      <c r="G88" s="15" t="s">
        <v>254</v>
      </c>
      <c r="H88" s="75" t="s">
        <v>256</v>
      </c>
      <c r="I88" s="75">
        <v>2.64</v>
      </c>
      <c r="J88" s="64">
        <f t="shared" ref="J88:J89" si="50">I88*E$87</f>
        <v>17.772480000000002</v>
      </c>
      <c r="K88" s="54"/>
      <c r="L88" s="54"/>
      <c r="P88" s="78"/>
      <c r="Q88"/>
      <c r="R88"/>
      <c r="S88"/>
      <c r="T88"/>
      <c r="U88"/>
      <c r="V88"/>
    </row>
    <row r="89" spans="2:34" ht="47.25">
      <c r="B89" s="152"/>
      <c r="C89" s="188"/>
      <c r="D89" s="188"/>
      <c r="E89" s="188"/>
      <c r="F89" s="189"/>
      <c r="G89" s="15" t="s">
        <v>255</v>
      </c>
      <c r="H89" s="15" t="s">
        <v>194</v>
      </c>
      <c r="I89" s="15">
        <v>1.43</v>
      </c>
      <c r="J89" s="64">
        <f t="shared" si="50"/>
        <v>9.6267599999999991</v>
      </c>
      <c r="K89" s="54"/>
      <c r="L89" s="54"/>
      <c r="P89" s="78"/>
      <c r="Q89"/>
      <c r="R89"/>
      <c r="S89"/>
      <c r="T89"/>
      <c r="U89"/>
      <c r="V89"/>
    </row>
    <row r="90" spans="2:34" ht="63" customHeight="1">
      <c r="B90" s="152">
        <v>14</v>
      </c>
      <c r="C90" s="188" t="s">
        <v>88</v>
      </c>
      <c r="D90" s="188" t="s">
        <v>60</v>
      </c>
      <c r="E90" s="188">
        <v>6.7320000000000002</v>
      </c>
      <c r="F90" s="189" t="s">
        <v>89</v>
      </c>
      <c r="G90" s="15" t="s">
        <v>249</v>
      </c>
      <c r="H90" s="15" t="s">
        <v>200</v>
      </c>
      <c r="I90" s="15">
        <v>0.33</v>
      </c>
      <c r="J90" s="64">
        <f>I90*E$90</f>
        <v>2.2215600000000002</v>
      </c>
      <c r="K90" s="54"/>
      <c r="L90" s="54"/>
      <c r="P90" s="78"/>
      <c r="Q90"/>
      <c r="R90"/>
      <c r="S90"/>
      <c r="T90"/>
      <c r="U90"/>
      <c r="V90"/>
    </row>
    <row r="91" spans="2:34">
      <c r="B91" s="152"/>
      <c r="C91" s="188"/>
      <c r="D91" s="188"/>
      <c r="E91" s="188"/>
      <c r="F91" s="189"/>
      <c r="G91" s="15" t="s">
        <v>250</v>
      </c>
      <c r="H91" s="15" t="s">
        <v>198</v>
      </c>
      <c r="I91" s="15">
        <v>5.4999999999999997E-3</v>
      </c>
      <c r="J91" s="64">
        <f t="shared" ref="J91:J93" si="51">I91*E$90</f>
        <v>3.7025999999999996E-2</v>
      </c>
      <c r="K91" s="54"/>
      <c r="L91" s="54"/>
      <c r="P91" s="78"/>
      <c r="Q91"/>
      <c r="R91"/>
      <c r="S91"/>
      <c r="T91"/>
      <c r="U91"/>
      <c r="V91"/>
    </row>
    <row r="92" spans="2:34">
      <c r="B92" s="152"/>
      <c r="C92" s="188"/>
      <c r="D92" s="188"/>
      <c r="E92" s="188"/>
      <c r="F92" s="189"/>
      <c r="G92" s="15" t="s">
        <v>251</v>
      </c>
      <c r="H92" s="15" t="s">
        <v>227</v>
      </c>
      <c r="I92" s="75">
        <v>0.11</v>
      </c>
      <c r="J92" s="64">
        <f t="shared" si="51"/>
        <v>0.74052000000000007</v>
      </c>
      <c r="K92" s="54"/>
      <c r="L92" s="54"/>
      <c r="P92" s="78"/>
      <c r="Q92"/>
      <c r="R92"/>
      <c r="S92"/>
      <c r="T92"/>
      <c r="U92"/>
      <c r="V92"/>
    </row>
    <row r="93" spans="2:34">
      <c r="B93" s="152"/>
      <c r="C93" s="188"/>
      <c r="D93" s="188"/>
      <c r="E93" s="188"/>
      <c r="F93" s="189"/>
      <c r="G93" s="15" t="s">
        <v>257</v>
      </c>
      <c r="H93" s="15" t="s">
        <v>198</v>
      </c>
      <c r="I93" s="75">
        <v>5.7000000000000002E-2</v>
      </c>
      <c r="J93" s="64">
        <f t="shared" si="51"/>
        <v>0.38372400000000001</v>
      </c>
      <c r="K93" s="54"/>
      <c r="L93" s="54"/>
      <c r="P93" s="78"/>
      <c r="Q93"/>
      <c r="R93"/>
      <c r="S93"/>
      <c r="T93"/>
      <c r="U93"/>
      <c r="V93"/>
    </row>
    <row r="94" spans="2:34">
      <c r="B94" s="152">
        <v>15</v>
      </c>
      <c r="C94" s="188" t="s">
        <v>90</v>
      </c>
      <c r="D94" s="188" t="s">
        <v>60</v>
      </c>
      <c r="E94" s="188">
        <v>0.75600000000000001</v>
      </c>
      <c r="F94" s="189" t="s">
        <v>91</v>
      </c>
      <c r="G94" s="15" t="s">
        <v>258</v>
      </c>
      <c r="H94" s="15" t="s">
        <v>198</v>
      </c>
      <c r="I94" s="15">
        <v>3.5999999999999997E-2</v>
      </c>
      <c r="J94" s="64">
        <f>I94*E$94</f>
        <v>2.7215999999999997E-2</v>
      </c>
      <c r="K94" s="54"/>
      <c r="L94" s="54"/>
      <c r="P94" s="78"/>
      <c r="Q94"/>
      <c r="R94"/>
      <c r="S94"/>
      <c r="T94"/>
      <c r="U94"/>
      <c r="V94"/>
    </row>
    <row r="95" spans="2:34" ht="31.5">
      <c r="B95" s="152"/>
      <c r="C95" s="188"/>
      <c r="D95" s="188"/>
      <c r="E95" s="188"/>
      <c r="F95" s="189"/>
      <c r="G95" s="15" t="s">
        <v>259</v>
      </c>
      <c r="H95" s="15" t="s">
        <v>196</v>
      </c>
      <c r="I95" s="15">
        <v>1</v>
      </c>
      <c r="J95" s="64">
        <f t="shared" ref="J95:J98" si="52">I95*E$94</f>
        <v>0.75600000000000001</v>
      </c>
      <c r="K95" s="54"/>
      <c r="L95" s="54"/>
      <c r="P95" s="78"/>
    </row>
    <row r="96" spans="2:34" ht="47.25">
      <c r="B96" s="152"/>
      <c r="C96" s="188"/>
      <c r="D96" s="188"/>
      <c r="E96" s="188"/>
      <c r="F96" s="189"/>
      <c r="G96" s="15" t="s">
        <v>260</v>
      </c>
      <c r="H96" s="15" t="s">
        <v>198</v>
      </c>
      <c r="I96" s="75">
        <v>1.5E-3</v>
      </c>
      <c r="J96" s="64">
        <f t="shared" si="52"/>
        <v>1.134E-3</v>
      </c>
      <c r="K96" s="54"/>
      <c r="L96" s="54"/>
      <c r="P96" s="78"/>
    </row>
    <row r="97" spans="2:16">
      <c r="B97" s="152"/>
      <c r="C97" s="188"/>
      <c r="D97" s="188"/>
      <c r="E97" s="188"/>
      <c r="F97" s="189"/>
      <c r="G97" s="15" t="s">
        <v>251</v>
      </c>
      <c r="H97" s="15" t="s">
        <v>227</v>
      </c>
      <c r="I97" s="75">
        <v>0.2</v>
      </c>
      <c r="J97" s="64">
        <f t="shared" si="52"/>
        <v>0.1512</v>
      </c>
      <c r="K97" s="54"/>
      <c r="L97" s="54"/>
      <c r="P97" s="78"/>
    </row>
    <row r="98" spans="2:16">
      <c r="B98" s="152"/>
      <c r="C98" s="188"/>
      <c r="D98" s="188"/>
      <c r="E98" s="188"/>
      <c r="F98" s="189"/>
      <c r="G98" s="15" t="s">
        <v>261</v>
      </c>
      <c r="H98" s="15" t="s">
        <v>200</v>
      </c>
      <c r="I98" s="75">
        <v>78</v>
      </c>
      <c r="J98" s="64">
        <f t="shared" si="52"/>
        <v>58.968000000000004</v>
      </c>
      <c r="K98" s="54"/>
      <c r="L98" s="54"/>
      <c r="P98" s="78"/>
    </row>
    <row r="99" spans="2:16" ht="31.5">
      <c r="B99" s="152">
        <v>16</v>
      </c>
      <c r="C99" s="188" t="s">
        <v>94</v>
      </c>
      <c r="D99" s="188" t="s">
        <v>60</v>
      </c>
      <c r="E99" s="188">
        <v>7.8E-2</v>
      </c>
      <c r="F99" s="189" t="s">
        <v>95</v>
      </c>
      <c r="G99" s="15" t="s">
        <v>262</v>
      </c>
      <c r="H99" s="15" t="s">
        <v>198</v>
      </c>
      <c r="I99" s="15">
        <v>6.0000000000000001E-3</v>
      </c>
      <c r="J99" s="64">
        <f>I99*E$99</f>
        <v>4.6799999999999999E-4</v>
      </c>
      <c r="K99" s="54"/>
      <c r="L99" s="54"/>
      <c r="P99" s="78"/>
    </row>
    <row r="100" spans="2:16">
      <c r="B100" s="152"/>
      <c r="C100" s="188"/>
      <c r="D100" s="188"/>
      <c r="E100" s="188"/>
      <c r="F100" s="189"/>
      <c r="G100" s="15" t="s">
        <v>263</v>
      </c>
      <c r="H100" s="15" t="s">
        <v>198</v>
      </c>
      <c r="I100" s="75">
        <v>5.1999999999999998E-2</v>
      </c>
      <c r="J100" s="64">
        <f t="shared" ref="J100:J107" si="53">I100*E$99</f>
        <v>4.0559999999999997E-3</v>
      </c>
      <c r="K100" s="54"/>
      <c r="L100" s="54"/>
      <c r="P100" s="78"/>
    </row>
    <row r="101" spans="2:16" ht="47.25">
      <c r="B101" s="152"/>
      <c r="C101" s="188"/>
      <c r="D101" s="188"/>
      <c r="E101" s="188"/>
      <c r="F101" s="189"/>
      <c r="G101" s="15" t="s">
        <v>264</v>
      </c>
      <c r="H101" s="15" t="s">
        <v>200</v>
      </c>
      <c r="I101" s="15">
        <v>5.58</v>
      </c>
      <c r="J101" s="64">
        <f t="shared" si="53"/>
        <v>0.43524000000000002</v>
      </c>
      <c r="K101" s="54"/>
      <c r="L101" s="54"/>
      <c r="P101" s="78"/>
    </row>
    <row r="102" spans="2:16">
      <c r="B102" s="152"/>
      <c r="C102" s="188"/>
      <c r="D102" s="188"/>
      <c r="E102" s="188"/>
      <c r="F102" s="189"/>
      <c r="G102" s="15" t="s">
        <v>232</v>
      </c>
      <c r="H102" s="15" t="s">
        <v>198</v>
      </c>
      <c r="I102" s="75">
        <v>5.5999999999999999E-3</v>
      </c>
      <c r="J102" s="64">
        <f t="shared" si="53"/>
        <v>4.3679999999999999E-4</v>
      </c>
      <c r="K102" s="54"/>
      <c r="L102" s="54"/>
      <c r="P102" s="78"/>
    </row>
    <row r="103" spans="2:16" ht="47.25">
      <c r="B103" s="152"/>
      <c r="C103" s="188"/>
      <c r="D103" s="188"/>
      <c r="E103" s="188"/>
      <c r="F103" s="189"/>
      <c r="G103" s="15" t="s">
        <v>265</v>
      </c>
      <c r="H103" s="15" t="s">
        <v>198</v>
      </c>
      <c r="I103" s="75">
        <v>6.9999999999999999E-4</v>
      </c>
      <c r="J103" s="64">
        <f t="shared" si="53"/>
        <v>5.4599999999999999E-5</v>
      </c>
      <c r="K103" s="54"/>
      <c r="L103" s="54"/>
      <c r="P103" s="78"/>
    </row>
    <row r="104" spans="2:16" ht="31.5">
      <c r="B104" s="152"/>
      <c r="C104" s="188"/>
      <c r="D104" s="188"/>
      <c r="E104" s="188"/>
      <c r="F104" s="189"/>
      <c r="G104" s="15" t="s">
        <v>266</v>
      </c>
      <c r="H104" s="15" t="s">
        <v>269</v>
      </c>
      <c r="I104" s="75">
        <v>74</v>
      </c>
      <c r="J104" s="64">
        <f t="shared" si="53"/>
        <v>5.7720000000000002</v>
      </c>
      <c r="K104" s="54"/>
      <c r="L104" s="54"/>
      <c r="P104" s="78"/>
    </row>
    <row r="105" spans="2:16" ht="47.25">
      <c r="B105" s="152"/>
      <c r="C105" s="188"/>
      <c r="D105" s="188"/>
      <c r="E105" s="188"/>
      <c r="F105" s="189"/>
      <c r="G105" s="15" t="s">
        <v>267</v>
      </c>
      <c r="H105" s="75" t="s">
        <v>192</v>
      </c>
      <c r="I105" s="75">
        <v>0.34</v>
      </c>
      <c r="J105" s="64">
        <f t="shared" si="53"/>
        <v>2.6520000000000002E-2</v>
      </c>
      <c r="K105" s="54"/>
      <c r="L105" s="54"/>
      <c r="M105" s="15"/>
      <c r="N105" s="109"/>
      <c r="O105" s="108"/>
      <c r="P105" s="78"/>
    </row>
    <row r="106" spans="2:16" ht="31.5">
      <c r="B106" s="152"/>
      <c r="C106" s="188"/>
      <c r="D106" s="188"/>
      <c r="E106" s="188"/>
      <c r="F106" s="189"/>
      <c r="G106" s="15" t="s">
        <v>268</v>
      </c>
      <c r="H106" s="15" t="s">
        <v>198</v>
      </c>
      <c r="I106" s="75">
        <v>0.3</v>
      </c>
      <c r="J106" s="64">
        <f t="shared" si="53"/>
        <v>2.3400000000000001E-2</v>
      </c>
      <c r="K106" s="54"/>
      <c r="L106" s="54"/>
      <c r="P106" s="78"/>
    </row>
    <row r="107" spans="2:16">
      <c r="B107" s="152"/>
      <c r="C107" s="188"/>
      <c r="D107" s="188"/>
      <c r="E107" s="188"/>
      <c r="F107" s="189"/>
      <c r="G107" s="15" t="s">
        <v>222</v>
      </c>
      <c r="H107" s="75" t="s">
        <v>192</v>
      </c>
      <c r="I107" s="15">
        <v>0.6</v>
      </c>
      <c r="J107" s="64">
        <f t="shared" si="53"/>
        <v>4.6800000000000001E-2</v>
      </c>
      <c r="K107" s="54"/>
      <c r="L107" s="54"/>
      <c r="P107" s="78"/>
    </row>
    <row r="108" spans="2:16" ht="63">
      <c r="B108" s="152">
        <v>17</v>
      </c>
      <c r="C108" s="188" t="s">
        <v>98</v>
      </c>
      <c r="D108" s="188" t="s">
        <v>60</v>
      </c>
      <c r="E108" s="188">
        <v>4.2767999999999997</v>
      </c>
      <c r="F108" s="189" t="s">
        <v>99</v>
      </c>
      <c r="G108" s="15" t="s">
        <v>270</v>
      </c>
      <c r="H108" s="15" t="s">
        <v>200</v>
      </c>
      <c r="I108" s="15">
        <v>100</v>
      </c>
      <c r="J108" s="64">
        <f>I108*E$108</f>
        <v>427.67999999999995</v>
      </c>
      <c r="K108" s="54"/>
      <c r="L108" s="54"/>
      <c r="P108" s="78"/>
    </row>
    <row r="109" spans="2:16" ht="63">
      <c r="B109" s="152"/>
      <c r="C109" s="188"/>
      <c r="D109" s="188"/>
      <c r="E109" s="188"/>
      <c r="F109" s="189"/>
      <c r="G109" s="15" t="s">
        <v>271</v>
      </c>
      <c r="H109" s="15" t="s">
        <v>198</v>
      </c>
      <c r="I109" s="15">
        <v>0.04</v>
      </c>
      <c r="J109" s="64">
        <f t="shared" ref="J109:J111" si="54">I109*E$108</f>
        <v>0.171072</v>
      </c>
      <c r="K109" s="54"/>
      <c r="L109" s="54"/>
      <c r="P109" s="78"/>
    </row>
    <row r="110" spans="2:16">
      <c r="B110" s="152"/>
      <c r="C110" s="188"/>
      <c r="D110" s="188"/>
      <c r="E110" s="188"/>
      <c r="F110" s="189"/>
      <c r="G110" s="15" t="s">
        <v>251</v>
      </c>
      <c r="H110" s="15" t="s">
        <v>227</v>
      </c>
      <c r="I110" s="75">
        <v>0.5</v>
      </c>
      <c r="J110" s="64">
        <f t="shared" si="54"/>
        <v>2.1383999999999999</v>
      </c>
      <c r="K110" s="54"/>
      <c r="L110" s="54"/>
      <c r="P110" s="78"/>
    </row>
    <row r="111" spans="2:16" ht="47.25">
      <c r="B111" s="152"/>
      <c r="C111" s="188"/>
      <c r="D111" s="188"/>
      <c r="E111" s="188"/>
      <c r="F111" s="189"/>
      <c r="G111" s="15" t="s">
        <v>272</v>
      </c>
      <c r="H111" s="15" t="s">
        <v>194</v>
      </c>
      <c r="I111" s="75">
        <v>2</v>
      </c>
      <c r="J111" s="64">
        <f t="shared" si="54"/>
        <v>8.5535999999999994</v>
      </c>
      <c r="K111" s="54"/>
      <c r="L111" s="54"/>
      <c r="P111" s="78"/>
    </row>
    <row r="112" spans="2:16" ht="31.5" customHeight="1">
      <c r="B112" s="152">
        <v>18</v>
      </c>
      <c r="C112" s="188" t="s">
        <v>101</v>
      </c>
      <c r="D112" s="188" t="s">
        <v>60</v>
      </c>
      <c r="E112" s="188">
        <v>2.052</v>
      </c>
      <c r="F112" s="189" t="s">
        <v>102</v>
      </c>
      <c r="G112" s="15" t="s">
        <v>273</v>
      </c>
      <c r="H112" s="15" t="s">
        <v>275</v>
      </c>
      <c r="I112" s="15">
        <v>0.68</v>
      </c>
      <c r="J112" s="64">
        <f>I112*E$112</f>
        <v>1.3953600000000002</v>
      </c>
      <c r="K112" s="54"/>
      <c r="L112" s="54"/>
      <c r="P112" s="78"/>
    </row>
    <row r="113" spans="2:16" ht="47.25">
      <c r="B113" s="152"/>
      <c r="C113" s="188"/>
      <c r="D113" s="188"/>
      <c r="E113" s="188"/>
      <c r="F113" s="189"/>
      <c r="G113" s="15" t="s">
        <v>274</v>
      </c>
      <c r="H113" s="15" t="s">
        <v>200</v>
      </c>
      <c r="I113" s="75">
        <v>102</v>
      </c>
      <c r="J113" s="64">
        <f>I113*E$112</f>
        <v>209.304</v>
      </c>
      <c r="K113" s="54"/>
      <c r="L113" s="54"/>
      <c r="P113" s="78"/>
    </row>
    <row r="114" spans="2:16" ht="31.5">
      <c r="B114" s="152">
        <v>19</v>
      </c>
      <c r="C114" s="188" t="s">
        <v>106</v>
      </c>
      <c r="D114" s="188" t="s">
        <v>60</v>
      </c>
      <c r="E114" s="188">
        <v>3.24</v>
      </c>
      <c r="F114" s="189" t="s">
        <v>107</v>
      </c>
      <c r="G114" s="15" t="s">
        <v>276</v>
      </c>
      <c r="H114" s="15" t="s">
        <v>198</v>
      </c>
      <c r="I114" s="15">
        <v>0.77</v>
      </c>
      <c r="J114" s="64">
        <f>I114*E$114</f>
        <v>2.4948000000000001</v>
      </c>
      <c r="K114" s="54"/>
      <c r="L114" s="54"/>
      <c r="P114" s="78"/>
    </row>
    <row r="115" spans="2:16" ht="31.5">
      <c r="B115" s="152"/>
      <c r="C115" s="188"/>
      <c r="D115" s="188"/>
      <c r="E115" s="188"/>
      <c r="F115" s="189"/>
      <c r="G115" s="15" t="s">
        <v>277</v>
      </c>
      <c r="H115" s="75" t="s">
        <v>256</v>
      </c>
      <c r="I115" s="75">
        <v>126</v>
      </c>
      <c r="J115" s="64">
        <f t="shared" ref="J115:J116" si="55">I115*E$114</f>
        <v>408.24</v>
      </c>
      <c r="K115" s="54"/>
      <c r="L115" s="54"/>
      <c r="P115" s="78"/>
    </row>
    <row r="116" spans="2:16" ht="47.25">
      <c r="B116" s="152"/>
      <c r="C116" s="188"/>
      <c r="D116" s="188"/>
      <c r="E116" s="188"/>
      <c r="F116" s="189"/>
      <c r="G116" s="15" t="s">
        <v>278</v>
      </c>
      <c r="H116" s="75" t="s">
        <v>256</v>
      </c>
      <c r="I116" s="15">
        <v>250</v>
      </c>
      <c r="J116" s="64">
        <f t="shared" si="55"/>
        <v>810</v>
      </c>
      <c r="K116" s="54"/>
      <c r="L116" s="54"/>
      <c r="P116" s="78"/>
    </row>
    <row r="117" spans="2:16" ht="31.5">
      <c r="B117" s="152">
        <v>20</v>
      </c>
      <c r="C117" s="196" t="s">
        <v>108</v>
      </c>
      <c r="D117" s="188" t="s">
        <v>60</v>
      </c>
      <c r="E117" s="188">
        <v>0.32</v>
      </c>
      <c r="F117" s="197" t="s">
        <v>109</v>
      </c>
      <c r="G117" s="15" t="s">
        <v>229</v>
      </c>
      <c r="H117" s="15" t="s">
        <v>198</v>
      </c>
      <c r="I117" s="15">
        <v>4.1999999999999997E-3</v>
      </c>
      <c r="J117" s="64">
        <f>I117*E$117</f>
        <v>1.3439999999999999E-3</v>
      </c>
      <c r="K117" s="54"/>
      <c r="L117" s="54"/>
      <c r="P117" s="78"/>
    </row>
    <row r="118" spans="2:16" ht="31.5">
      <c r="B118" s="152"/>
      <c r="C118" s="196"/>
      <c r="D118" s="188"/>
      <c r="E118" s="188"/>
      <c r="F118" s="197"/>
      <c r="G118" s="15" t="s">
        <v>279</v>
      </c>
      <c r="H118" s="15" t="s">
        <v>198</v>
      </c>
      <c r="I118" s="15">
        <v>5.1900000000000002E-2</v>
      </c>
      <c r="J118" s="64">
        <f t="shared" ref="J118:J126" si="56">I118*E$117</f>
        <v>1.6608000000000001E-2</v>
      </c>
      <c r="K118" s="54"/>
      <c r="L118" s="54"/>
      <c r="P118" s="78"/>
    </row>
    <row r="119" spans="2:16" ht="47.25">
      <c r="B119" s="152"/>
      <c r="C119" s="196"/>
      <c r="D119" s="188"/>
      <c r="E119" s="188"/>
      <c r="F119" s="197"/>
      <c r="G119" s="15" t="s">
        <v>264</v>
      </c>
      <c r="H119" s="15" t="s">
        <v>200</v>
      </c>
      <c r="I119" s="15">
        <v>176</v>
      </c>
      <c r="J119" s="64">
        <f t="shared" si="56"/>
        <v>56.32</v>
      </c>
      <c r="K119" s="54"/>
      <c r="L119" s="54"/>
      <c r="P119" s="78"/>
    </row>
    <row r="120" spans="2:16">
      <c r="B120" s="152"/>
      <c r="C120" s="196"/>
      <c r="D120" s="188"/>
      <c r="E120" s="188"/>
      <c r="F120" s="197"/>
      <c r="G120" s="15" t="s">
        <v>232</v>
      </c>
      <c r="H120" s="15" t="s">
        <v>198</v>
      </c>
      <c r="I120" s="75">
        <v>2.96E-3</v>
      </c>
      <c r="J120" s="64">
        <f t="shared" si="56"/>
        <v>9.4720000000000004E-4</v>
      </c>
      <c r="K120" s="54"/>
      <c r="L120" s="54"/>
      <c r="P120" s="78"/>
    </row>
    <row r="121" spans="2:16">
      <c r="B121" s="152"/>
      <c r="C121" s="196"/>
      <c r="D121" s="188"/>
      <c r="E121" s="188"/>
      <c r="F121" s="197"/>
      <c r="G121" s="15" t="s">
        <v>280</v>
      </c>
      <c r="H121" s="15" t="s">
        <v>240</v>
      </c>
      <c r="I121" s="15">
        <v>78</v>
      </c>
      <c r="J121" s="64">
        <f t="shared" si="56"/>
        <v>24.96</v>
      </c>
      <c r="K121" s="54"/>
      <c r="L121" s="54"/>
      <c r="P121" s="78"/>
    </row>
    <row r="122" spans="2:16">
      <c r="B122" s="152"/>
      <c r="C122" s="196"/>
      <c r="D122" s="188"/>
      <c r="E122" s="188"/>
      <c r="F122" s="197"/>
      <c r="G122" s="15" t="s">
        <v>281</v>
      </c>
      <c r="H122" s="15" t="s">
        <v>241</v>
      </c>
      <c r="I122" s="75">
        <v>0</v>
      </c>
      <c r="J122" s="64">
        <f t="shared" si="56"/>
        <v>0</v>
      </c>
      <c r="K122" s="54"/>
      <c r="L122" s="54"/>
      <c r="P122" s="78"/>
    </row>
    <row r="123" spans="2:16">
      <c r="B123" s="152"/>
      <c r="C123" s="196"/>
      <c r="D123" s="188"/>
      <c r="E123" s="188"/>
      <c r="F123" s="197"/>
      <c r="G123" s="15" t="s">
        <v>282</v>
      </c>
      <c r="H123" s="15" t="s">
        <v>198</v>
      </c>
      <c r="I123" s="75">
        <v>1.14E-2</v>
      </c>
      <c r="J123" s="64">
        <f t="shared" si="56"/>
        <v>3.6480000000000002E-3</v>
      </c>
      <c r="K123" s="54"/>
      <c r="L123" s="54"/>
      <c r="P123" s="78"/>
    </row>
    <row r="124" spans="2:16">
      <c r="B124" s="152"/>
      <c r="C124" s="196"/>
      <c r="D124" s="188"/>
      <c r="E124" s="188"/>
      <c r="F124" s="197"/>
      <c r="G124" s="15" t="s">
        <v>283</v>
      </c>
      <c r="H124" s="15" t="s">
        <v>200</v>
      </c>
      <c r="I124" s="75">
        <v>100</v>
      </c>
      <c r="J124" s="64">
        <f t="shared" si="56"/>
        <v>32</v>
      </c>
      <c r="K124" s="54"/>
      <c r="L124" s="54"/>
      <c r="P124" s="78"/>
    </row>
    <row r="125" spans="2:16" ht="47.25">
      <c r="B125" s="152"/>
      <c r="C125" s="196"/>
      <c r="D125" s="188"/>
      <c r="E125" s="188"/>
      <c r="F125" s="197"/>
      <c r="G125" s="15" t="s">
        <v>284</v>
      </c>
      <c r="H125" s="75" t="s">
        <v>192</v>
      </c>
      <c r="I125" s="15">
        <v>0.13800000000000001</v>
      </c>
      <c r="J125" s="64">
        <f t="shared" si="56"/>
        <v>4.4160000000000005E-2</v>
      </c>
      <c r="K125" s="54"/>
      <c r="L125" s="54"/>
      <c r="O125" s="106"/>
      <c r="P125" s="78"/>
    </row>
    <row r="126" spans="2:16" ht="31.5">
      <c r="B126" s="152"/>
      <c r="C126" s="196"/>
      <c r="D126" s="188"/>
      <c r="E126" s="188"/>
      <c r="F126" s="197"/>
      <c r="G126" s="15" t="s">
        <v>285</v>
      </c>
      <c r="H126" s="15" t="s">
        <v>198</v>
      </c>
      <c r="I126" s="75">
        <v>4.36E-2</v>
      </c>
      <c r="J126" s="64">
        <f t="shared" si="56"/>
        <v>1.3952000000000001E-2</v>
      </c>
      <c r="K126" s="54"/>
      <c r="L126" s="54"/>
      <c r="O126" s="106"/>
      <c r="P126" s="78"/>
    </row>
    <row r="127" spans="2:16">
      <c r="B127" s="149" t="s">
        <v>112</v>
      </c>
      <c r="C127" s="149"/>
      <c r="D127" s="149"/>
      <c r="E127" s="149"/>
      <c r="F127" s="149"/>
      <c r="G127" s="149"/>
      <c r="H127" s="149"/>
      <c r="I127" s="149"/>
      <c r="J127" s="149"/>
      <c r="K127" s="54"/>
      <c r="L127" s="54"/>
      <c r="O127" s="106"/>
      <c r="P127" s="78"/>
    </row>
    <row r="128" spans="2:16" ht="78.75">
      <c r="B128" s="152">
        <v>1</v>
      </c>
      <c r="C128" s="188" t="s">
        <v>37</v>
      </c>
      <c r="D128" s="188" t="s">
        <v>10</v>
      </c>
      <c r="E128" s="188">
        <v>1.1499999999999999</v>
      </c>
      <c r="F128" s="189" t="s">
        <v>38</v>
      </c>
      <c r="G128" s="15" t="s">
        <v>191</v>
      </c>
      <c r="H128" s="6" t="s">
        <v>192</v>
      </c>
      <c r="I128" s="6">
        <v>0.3</v>
      </c>
      <c r="J128" s="64">
        <f>I128*E128</f>
        <v>0.34499999999999997</v>
      </c>
      <c r="K128" s="54"/>
      <c r="M128" s="68"/>
      <c r="N128" s="98"/>
      <c r="P128" s="78"/>
    </row>
    <row r="129" spans="2:16">
      <c r="B129" s="152"/>
      <c r="C129" s="188"/>
      <c r="D129" s="188"/>
      <c r="E129" s="188"/>
      <c r="F129" s="189"/>
      <c r="G129" s="15" t="s">
        <v>193</v>
      </c>
      <c r="H129" s="15" t="s">
        <v>194</v>
      </c>
      <c r="I129" s="15">
        <v>8.6</v>
      </c>
      <c r="J129" s="64">
        <f>I129*E128</f>
        <v>9.8899999999999988</v>
      </c>
      <c r="K129" s="54"/>
      <c r="M129" s="68"/>
      <c r="N129" s="98"/>
      <c r="P129" s="78"/>
    </row>
    <row r="130" spans="2:16" ht="31.5">
      <c r="B130" s="152"/>
      <c r="C130" s="188"/>
      <c r="D130" s="188"/>
      <c r="E130" s="188"/>
      <c r="F130" s="189"/>
      <c r="G130" s="15" t="s">
        <v>195</v>
      </c>
      <c r="H130" s="15" t="s">
        <v>196</v>
      </c>
      <c r="I130" s="75">
        <v>100</v>
      </c>
      <c r="J130" s="64">
        <f>I130*E128</f>
        <v>114.99999999999999</v>
      </c>
      <c r="K130" s="54"/>
      <c r="M130" s="68"/>
      <c r="N130" s="98"/>
      <c r="P130" s="78"/>
    </row>
    <row r="131" spans="2:16" ht="47.25">
      <c r="B131" s="198">
        <v>2</v>
      </c>
      <c r="C131" s="188" t="s">
        <v>41</v>
      </c>
      <c r="D131" s="188" t="s">
        <v>10</v>
      </c>
      <c r="E131" s="188">
        <v>0.48</v>
      </c>
      <c r="F131" s="189" t="s">
        <v>42</v>
      </c>
      <c r="G131" s="15" t="s">
        <v>197</v>
      </c>
      <c r="H131" s="15" t="s">
        <v>198</v>
      </c>
      <c r="I131" s="15">
        <v>4.1000000000000002E-2</v>
      </c>
      <c r="J131" s="64">
        <f>I131*E$25</f>
        <v>1.968E-2</v>
      </c>
      <c r="K131" s="54"/>
      <c r="M131" s="68"/>
      <c r="N131" s="98"/>
      <c r="P131" s="78"/>
    </row>
    <row r="132" spans="2:16" ht="47.25">
      <c r="B132" s="198"/>
      <c r="C132" s="188"/>
      <c r="D132" s="188"/>
      <c r="E132" s="188"/>
      <c r="F132" s="189"/>
      <c r="G132" s="15" t="s">
        <v>199</v>
      </c>
      <c r="H132" s="15" t="s">
        <v>200</v>
      </c>
      <c r="I132" s="15">
        <v>98</v>
      </c>
      <c r="J132" s="64">
        <f t="shared" ref="J132:J139" si="57">I132*E$25</f>
        <v>47.04</v>
      </c>
      <c r="K132" s="54"/>
      <c r="P132" s="78"/>
    </row>
    <row r="133" spans="2:16" ht="31.5">
      <c r="B133" s="198"/>
      <c r="C133" s="188"/>
      <c r="D133" s="188"/>
      <c r="E133" s="188"/>
      <c r="F133" s="189"/>
      <c r="G133" s="15" t="s">
        <v>201</v>
      </c>
      <c r="H133" s="15" t="s">
        <v>198</v>
      </c>
      <c r="I133" s="15">
        <v>8.9999999999999993E-3</v>
      </c>
      <c r="J133" s="64">
        <f t="shared" si="57"/>
        <v>4.3199999999999992E-3</v>
      </c>
      <c r="K133" s="54"/>
      <c r="P133" s="78"/>
    </row>
    <row r="134" spans="2:16" ht="31.5">
      <c r="B134" s="198"/>
      <c r="C134" s="188"/>
      <c r="D134" s="188"/>
      <c r="E134" s="188"/>
      <c r="F134" s="189"/>
      <c r="G134" s="15" t="s">
        <v>202</v>
      </c>
      <c r="H134" s="15" t="s">
        <v>198</v>
      </c>
      <c r="I134" s="15">
        <v>0.03</v>
      </c>
      <c r="J134" s="64">
        <f t="shared" si="57"/>
        <v>1.44E-2</v>
      </c>
      <c r="K134" s="54"/>
      <c r="P134" s="78"/>
    </row>
    <row r="135" spans="2:16" ht="78.75">
      <c r="B135" s="198"/>
      <c r="C135" s="188"/>
      <c r="D135" s="188"/>
      <c r="E135" s="188"/>
      <c r="F135" s="189"/>
      <c r="G135" s="15" t="s">
        <v>203</v>
      </c>
      <c r="H135" s="15" t="s">
        <v>194</v>
      </c>
      <c r="I135" s="15">
        <v>0.84799999999999998</v>
      </c>
      <c r="J135" s="64">
        <f t="shared" si="57"/>
        <v>0.40703999999999996</v>
      </c>
      <c r="K135" s="54"/>
      <c r="P135" s="78"/>
    </row>
    <row r="136" spans="2:16" ht="141.75">
      <c r="B136" s="198"/>
      <c r="C136" s="188"/>
      <c r="D136" s="188"/>
      <c r="E136" s="188"/>
      <c r="F136" s="189"/>
      <c r="G136" s="15" t="s">
        <v>204</v>
      </c>
      <c r="H136" s="15" t="s">
        <v>198</v>
      </c>
      <c r="I136" s="15">
        <v>0.26</v>
      </c>
      <c r="J136" s="64">
        <f t="shared" si="57"/>
        <v>0.12479999999999999</v>
      </c>
      <c r="K136" s="54"/>
      <c r="P136" s="78"/>
    </row>
    <row r="137" spans="2:16" ht="47.25">
      <c r="B137" s="198"/>
      <c r="C137" s="188"/>
      <c r="D137" s="188"/>
      <c r="E137" s="188"/>
      <c r="F137" s="189"/>
      <c r="G137" s="15" t="s">
        <v>205</v>
      </c>
      <c r="H137" s="75" t="s">
        <v>206</v>
      </c>
      <c r="I137" s="15">
        <v>0.02</v>
      </c>
      <c r="J137" s="64">
        <f t="shared" si="57"/>
        <v>9.5999999999999992E-3</v>
      </c>
      <c r="K137" s="54"/>
      <c r="P137" s="78"/>
    </row>
    <row r="138" spans="2:16">
      <c r="B138" s="198"/>
      <c r="C138" s="188"/>
      <c r="D138" s="188"/>
      <c r="E138" s="188"/>
      <c r="F138" s="189"/>
      <c r="G138" s="15" t="s">
        <v>193</v>
      </c>
      <c r="H138" s="15" t="s">
        <v>194</v>
      </c>
      <c r="I138" s="15">
        <v>21</v>
      </c>
      <c r="J138" s="64">
        <f t="shared" si="57"/>
        <v>10.08</v>
      </c>
      <c r="K138" s="54"/>
      <c r="P138" s="78"/>
    </row>
    <row r="139" spans="2:16" ht="31.5">
      <c r="B139" s="198"/>
      <c r="C139" s="188"/>
      <c r="D139" s="188"/>
      <c r="E139" s="188"/>
      <c r="F139" s="189"/>
      <c r="G139" s="15" t="s">
        <v>207</v>
      </c>
      <c r="H139" s="15" t="s">
        <v>196</v>
      </c>
      <c r="I139" s="15">
        <v>100</v>
      </c>
      <c r="J139" s="64">
        <f t="shared" si="57"/>
        <v>48</v>
      </c>
      <c r="K139" s="54"/>
      <c r="P139" s="78"/>
    </row>
    <row r="140" spans="2:16" ht="47.25">
      <c r="B140" s="198">
        <v>3</v>
      </c>
      <c r="C140" s="188" t="s">
        <v>46</v>
      </c>
      <c r="D140" s="188" t="s">
        <v>10</v>
      </c>
      <c r="E140" s="188">
        <v>0.83799999999999997</v>
      </c>
      <c r="F140" s="189" t="s">
        <v>47</v>
      </c>
      <c r="G140" s="15" t="s">
        <v>208</v>
      </c>
      <c r="H140" s="15" t="s">
        <v>198</v>
      </c>
      <c r="I140" s="15">
        <v>4.4999999999999997E-3</v>
      </c>
      <c r="J140" s="64">
        <f>I140*E$34</f>
        <v>4.032E-3</v>
      </c>
      <c r="K140" s="54"/>
      <c r="P140" s="78"/>
    </row>
    <row r="141" spans="2:16" ht="31.5">
      <c r="B141" s="198"/>
      <c r="C141" s="188"/>
      <c r="D141" s="188"/>
      <c r="E141" s="188"/>
      <c r="F141" s="189"/>
      <c r="G141" s="15" t="s">
        <v>209</v>
      </c>
      <c r="H141" s="15" t="s">
        <v>198</v>
      </c>
      <c r="I141" s="15">
        <v>2.3E-3</v>
      </c>
      <c r="J141" s="64">
        <f t="shared" ref="J141:J147" si="58">I141*E$34</f>
        <v>2.0608000000000002E-3</v>
      </c>
      <c r="K141" s="54"/>
      <c r="P141" s="78"/>
    </row>
    <row r="142" spans="2:16" ht="31.5">
      <c r="B142" s="198"/>
      <c r="C142" s="188"/>
      <c r="D142" s="188"/>
      <c r="E142" s="188"/>
      <c r="F142" s="189"/>
      <c r="G142" s="15" t="s">
        <v>202</v>
      </c>
      <c r="H142" s="15" t="s">
        <v>198</v>
      </c>
      <c r="I142" s="75">
        <v>0.03</v>
      </c>
      <c r="J142" s="64">
        <f t="shared" si="58"/>
        <v>2.6880000000000001E-2</v>
      </c>
      <c r="K142" s="54"/>
      <c r="P142" s="78"/>
    </row>
    <row r="143" spans="2:16" ht="78.75">
      <c r="B143" s="198"/>
      <c r="C143" s="188"/>
      <c r="D143" s="188"/>
      <c r="E143" s="188"/>
      <c r="F143" s="189"/>
      <c r="G143" s="15" t="s">
        <v>210</v>
      </c>
      <c r="H143" s="75" t="s">
        <v>192</v>
      </c>
      <c r="I143" s="15">
        <v>9.6000000000000002E-2</v>
      </c>
      <c r="J143" s="64">
        <f t="shared" si="58"/>
        <v>8.6016000000000009E-2</v>
      </c>
      <c r="K143" s="54"/>
      <c r="P143" s="78"/>
    </row>
    <row r="144" spans="2:16" ht="141.75">
      <c r="B144" s="198"/>
      <c r="C144" s="188"/>
      <c r="D144" s="188"/>
      <c r="E144" s="188"/>
      <c r="F144" s="189"/>
      <c r="G144" s="15" t="s">
        <v>211</v>
      </c>
      <c r="H144" s="15" t="s">
        <v>198</v>
      </c>
      <c r="I144" s="75">
        <v>0.05</v>
      </c>
      <c r="J144" s="64">
        <f t="shared" si="58"/>
        <v>4.4800000000000006E-2</v>
      </c>
      <c r="K144" s="54"/>
      <c r="P144" s="78"/>
    </row>
    <row r="145" spans="2:20" ht="47.25">
      <c r="B145" s="198"/>
      <c r="C145" s="188"/>
      <c r="D145" s="188"/>
      <c r="E145" s="188"/>
      <c r="F145" s="189"/>
      <c r="G145" s="15" t="s">
        <v>212</v>
      </c>
      <c r="H145" s="15" t="s">
        <v>198</v>
      </c>
      <c r="I145" s="15">
        <v>0.05</v>
      </c>
      <c r="J145" s="64">
        <f t="shared" si="58"/>
        <v>4.4800000000000006E-2</v>
      </c>
      <c r="K145" s="54"/>
      <c r="P145" s="78"/>
    </row>
    <row r="146" spans="2:20">
      <c r="B146" s="198"/>
      <c r="C146" s="188"/>
      <c r="D146" s="188"/>
      <c r="E146" s="188"/>
      <c r="F146" s="189"/>
      <c r="G146" s="15" t="s">
        <v>193</v>
      </c>
      <c r="H146" s="75" t="s">
        <v>192</v>
      </c>
      <c r="I146" s="15">
        <v>21.9</v>
      </c>
      <c r="J146" s="64">
        <f t="shared" si="58"/>
        <v>19.622399999999999</v>
      </c>
      <c r="K146" s="54"/>
      <c r="P146" s="78"/>
    </row>
    <row r="147" spans="2:20" ht="31.5">
      <c r="B147" s="198"/>
      <c r="C147" s="188"/>
      <c r="D147" s="188"/>
      <c r="E147" s="188"/>
      <c r="F147" s="189"/>
      <c r="G147" s="15" t="s">
        <v>213</v>
      </c>
      <c r="H147" s="15" t="s">
        <v>196</v>
      </c>
      <c r="I147" s="75">
        <v>100</v>
      </c>
      <c r="J147" s="64">
        <f t="shared" si="58"/>
        <v>89.600000000000009</v>
      </c>
      <c r="K147" s="54"/>
      <c r="P147" s="78"/>
    </row>
    <row r="148" spans="2:20">
      <c r="B148" s="198">
        <v>4</v>
      </c>
      <c r="C148" s="188" t="s">
        <v>51</v>
      </c>
      <c r="D148" s="188" t="s">
        <v>52</v>
      </c>
      <c r="E148" s="188">
        <f>E140*1.55</f>
        <v>1.2988999999999999</v>
      </c>
      <c r="F148" s="189" t="s">
        <v>53</v>
      </c>
      <c r="G148" s="15" t="s">
        <v>214</v>
      </c>
      <c r="H148" s="15" t="s">
        <v>198</v>
      </c>
      <c r="I148" s="15">
        <v>0.01</v>
      </c>
      <c r="J148" s="64">
        <f>I148*E$42</f>
        <v>1.3888000000000001E-2</v>
      </c>
      <c r="K148" s="54"/>
      <c r="P148" s="78"/>
    </row>
    <row r="149" spans="2:20" ht="78.75">
      <c r="B149" s="198"/>
      <c r="C149" s="188"/>
      <c r="D149" s="188"/>
      <c r="E149" s="188"/>
      <c r="F149" s="189"/>
      <c r="G149" s="15" t="s">
        <v>203</v>
      </c>
      <c r="H149" s="75" t="s">
        <v>192</v>
      </c>
      <c r="I149" s="15">
        <v>2.6</v>
      </c>
      <c r="J149" s="64">
        <f t="shared" ref="J149:J153" si="59">I149*E$42</f>
        <v>3.6108800000000003</v>
      </c>
      <c r="K149" s="54"/>
      <c r="P149" s="78"/>
    </row>
    <row r="150" spans="2:20">
      <c r="B150" s="198"/>
      <c r="C150" s="188"/>
      <c r="D150" s="188"/>
      <c r="E150" s="188"/>
      <c r="F150" s="189"/>
      <c r="G150" s="15" t="s">
        <v>193</v>
      </c>
      <c r="H150" s="75" t="s">
        <v>192</v>
      </c>
      <c r="I150" s="15">
        <v>8.9</v>
      </c>
      <c r="J150" s="64">
        <f t="shared" si="59"/>
        <v>12.360320000000002</v>
      </c>
      <c r="K150" s="54"/>
      <c r="P150" s="78"/>
    </row>
    <row r="151" spans="2:20" ht="31.5">
      <c r="B151" s="198"/>
      <c r="C151" s="188"/>
      <c r="D151" s="188"/>
      <c r="E151" s="188"/>
      <c r="F151" s="189"/>
      <c r="G151" s="15" t="s">
        <v>215</v>
      </c>
      <c r="H151" s="75" t="s">
        <v>192</v>
      </c>
      <c r="I151" s="15">
        <v>4.2</v>
      </c>
      <c r="J151" s="64">
        <f t="shared" si="59"/>
        <v>5.8329600000000008</v>
      </c>
      <c r="K151" s="54"/>
      <c r="P151" s="78"/>
    </row>
    <row r="152" spans="2:20" ht="31.5">
      <c r="B152" s="198"/>
      <c r="C152" s="188"/>
      <c r="D152" s="188"/>
      <c r="E152" s="188"/>
      <c r="F152" s="189"/>
      <c r="G152" s="15" t="s">
        <v>216</v>
      </c>
      <c r="H152" s="75" t="s">
        <v>192</v>
      </c>
      <c r="I152" s="75">
        <v>100</v>
      </c>
      <c r="J152" s="64">
        <f t="shared" si="59"/>
        <v>138.88</v>
      </c>
      <c r="K152" s="54"/>
      <c r="P152" s="78"/>
    </row>
    <row r="153" spans="2:20" ht="47.25">
      <c r="B153" s="198"/>
      <c r="C153" s="188"/>
      <c r="D153" s="188"/>
      <c r="E153" s="188"/>
      <c r="F153" s="189"/>
      <c r="G153" s="15" t="s">
        <v>217</v>
      </c>
      <c r="H153" s="75" t="s">
        <v>192</v>
      </c>
      <c r="I153" s="15">
        <v>22.7</v>
      </c>
      <c r="J153" s="64">
        <f t="shared" si="59"/>
        <v>31.525759999999998</v>
      </c>
      <c r="K153" s="54"/>
      <c r="P153" s="78"/>
    </row>
    <row r="154" spans="2:20" ht="31.5">
      <c r="B154" s="198">
        <v>5</v>
      </c>
      <c r="C154" s="188" t="s">
        <v>55</v>
      </c>
      <c r="D154" s="188" t="s">
        <v>10</v>
      </c>
      <c r="E154" s="188">
        <v>0.04</v>
      </c>
      <c r="F154" s="189" t="s">
        <v>56</v>
      </c>
      <c r="G154" s="15" t="s">
        <v>202</v>
      </c>
      <c r="H154" s="15" t="s">
        <v>198</v>
      </c>
      <c r="I154" s="15">
        <v>8.0000000000000002E-3</v>
      </c>
      <c r="J154" s="64">
        <f>I154*E$48</f>
        <v>3.2000000000000003E-4</v>
      </c>
      <c r="K154" s="54"/>
      <c r="P154" s="78"/>
    </row>
    <row r="155" spans="2:20">
      <c r="B155" s="198"/>
      <c r="C155" s="188"/>
      <c r="D155" s="188"/>
      <c r="E155" s="188"/>
      <c r="F155" s="189"/>
      <c r="G155" s="15" t="s">
        <v>218</v>
      </c>
      <c r="H155" s="15" t="s">
        <v>198</v>
      </c>
      <c r="I155" s="15">
        <v>3.2000000000000002E-3</v>
      </c>
      <c r="J155" s="64">
        <f t="shared" ref="J155:J159" si="60">I155*E$48</f>
        <v>1.2800000000000002E-4</v>
      </c>
      <c r="K155" s="54"/>
      <c r="P155" s="78"/>
    </row>
    <row r="156" spans="2:20" ht="141.75">
      <c r="B156" s="198"/>
      <c r="C156" s="188"/>
      <c r="D156" s="188"/>
      <c r="E156" s="188"/>
      <c r="F156" s="189"/>
      <c r="G156" s="15" t="s">
        <v>219</v>
      </c>
      <c r="H156" s="15" t="s">
        <v>198</v>
      </c>
      <c r="I156" s="75">
        <v>0.2</v>
      </c>
      <c r="J156" s="64">
        <f t="shared" si="60"/>
        <v>8.0000000000000002E-3</v>
      </c>
      <c r="K156" s="54"/>
      <c r="P156" s="78"/>
      <c r="T156" s="65"/>
    </row>
    <row r="157" spans="2:20">
      <c r="B157" s="198"/>
      <c r="C157" s="188"/>
      <c r="D157" s="188"/>
      <c r="E157" s="188"/>
      <c r="F157" s="189"/>
      <c r="G157" s="15" t="s">
        <v>193</v>
      </c>
      <c r="H157" s="15" t="s">
        <v>194</v>
      </c>
      <c r="I157" s="15">
        <v>0.52</v>
      </c>
      <c r="J157" s="64">
        <f t="shared" si="60"/>
        <v>2.0800000000000003E-2</v>
      </c>
      <c r="K157" s="54"/>
      <c r="P157" s="78"/>
      <c r="T157" s="65"/>
    </row>
    <row r="158" spans="2:20" ht="47.25">
      <c r="B158" s="198"/>
      <c r="C158" s="188"/>
      <c r="D158" s="188"/>
      <c r="E158" s="188"/>
      <c r="F158" s="189"/>
      <c r="G158" s="15" t="s">
        <v>220</v>
      </c>
      <c r="H158" s="15" t="s">
        <v>194</v>
      </c>
      <c r="I158" s="75">
        <v>0.6</v>
      </c>
      <c r="J158" s="64">
        <f t="shared" si="60"/>
        <v>2.4E-2</v>
      </c>
      <c r="K158" s="54"/>
      <c r="P158" s="78"/>
      <c r="T158" s="65"/>
    </row>
    <row r="159" spans="2:20" ht="31.5">
      <c r="B159" s="198"/>
      <c r="C159" s="188"/>
      <c r="D159" s="188"/>
      <c r="E159" s="188"/>
      <c r="F159" s="189"/>
      <c r="G159" s="15" t="s">
        <v>195</v>
      </c>
      <c r="H159" s="15" t="s">
        <v>196</v>
      </c>
      <c r="I159" s="15">
        <v>100</v>
      </c>
      <c r="J159" s="64">
        <f t="shared" si="60"/>
        <v>4</v>
      </c>
      <c r="K159" s="54"/>
      <c r="P159" s="78"/>
      <c r="T159" s="65"/>
    </row>
    <row r="160" spans="2:20" ht="47.25">
      <c r="B160" s="198">
        <v>6</v>
      </c>
      <c r="C160" s="188" t="s">
        <v>59</v>
      </c>
      <c r="D160" s="188" t="s">
        <v>60</v>
      </c>
      <c r="E160" s="188">
        <v>0.16200000000000001</v>
      </c>
      <c r="F160" s="189" t="s">
        <v>61</v>
      </c>
      <c r="G160" s="15" t="s">
        <v>221</v>
      </c>
      <c r="H160" s="15" t="s">
        <v>194</v>
      </c>
      <c r="I160" s="75">
        <v>2.04</v>
      </c>
      <c r="J160" s="64">
        <f>I160*E$54</f>
        <v>0.33048</v>
      </c>
      <c r="K160" s="54"/>
      <c r="P160" s="78"/>
      <c r="T160" s="65"/>
    </row>
    <row r="161" spans="2:20">
      <c r="B161" s="198"/>
      <c r="C161" s="188"/>
      <c r="D161" s="188"/>
      <c r="E161" s="188"/>
      <c r="F161" s="189"/>
      <c r="G161" s="15" t="s">
        <v>222</v>
      </c>
      <c r="H161" s="15" t="s">
        <v>194</v>
      </c>
      <c r="I161" s="75">
        <v>3.5</v>
      </c>
      <c r="J161" s="64">
        <f t="shared" ref="J161" si="61">I161*E$54</f>
        <v>0.56700000000000006</v>
      </c>
      <c r="K161" s="54"/>
      <c r="L161" s="54"/>
      <c r="M161" s="56"/>
      <c r="N161" s="56"/>
      <c r="O161" s="56"/>
      <c r="P161" s="78"/>
      <c r="Q161" s="66"/>
      <c r="R161" s="56"/>
      <c r="S161" s="56"/>
      <c r="T161" s="67"/>
    </row>
    <row r="162" spans="2:20" ht="31.5">
      <c r="B162" s="198">
        <v>7</v>
      </c>
      <c r="C162" s="188" t="s">
        <v>65</v>
      </c>
      <c r="D162" s="188" t="s">
        <v>60</v>
      </c>
      <c r="E162" s="188">
        <v>6.3959999999999999</v>
      </c>
      <c r="F162" s="189" t="s">
        <v>66</v>
      </c>
      <c r="G162" s="15" t="s">
        <v>223</v>
      </c>
      <c r="H162" s="15" t="s">
        <v>198</v>
      </c>
      <c r="I162" s="15">
        <v>0.02</v>
      </c>
      <c r="J162" s="64">
        <f>I162*E$56</f>
        <v>0.12792000000000001</v>
      </c>
      <c r="K162" s="54"/>
      <c r="L162" s="54"/>
      <c r="M162" s="56"/>
      <c r="N162" s="56"/>
      <c r="O162" s="56"/>
      <c r="P162" s="78"/>
      <c r="Q162" s="66"/>
      <c r="R162" s="56"/>
      <c r="S162" s="56"/>
      <c r="T162" s="67"/>
    </row>
    <row r="163" spans="2:20" ht="31.5">
      <c r="B163" s="198"/>
      <c r="C163" s="188"/>
      <c r="D163" s="188"/>
      <c r="E163" s="188"/>
      <c r="F163" s="189"/>
      <c r="G163" s="15" t="s">
        <v>224</v>
      </c>
      <c r="H163" s="15" t="s">
        <v>227</v>
      </c>
      <c r="I163" s="75">
        <v>50</v>
      </c>
      <c r="J163" s="64">
        <f t="shared" ref="J163:J166" si="62">I163*E$56</f>
        <v>319.8</v>
      </c>
      <c r="K163" s="54"/>
      <c r="L163" s="54"/>
      <c r="M163" s="56"/>
      <c r="N163" s="56"/>
      <c r="O163" s="56"/>
      <c r="P163" s="78"/>
      <c r="Q163" s="66"/>
      <c r="R163" s="56"/>
      <c r="S163" s="56"/>
      <c r="T163" s="67"/>
    </row>
    <row r="164" spans="2:20">
      <c r="B164" s="198"/>
      <c r="C164" s="188"/>
      <c r="D164" s="188"/>
      <c r="E164" s="188"/>
      <c r="F164" s="189"/>
      <c r="G164" s="15" t="s">
        <v>225</v>
      </c>
      <c r="H164" s="15" t="s">
        <v>194</v>
      </c>
      <c r="I164" s="15">
        <v>1</v>
      </c>
      <c r="J164" s="64">
        <f t="shared" si="62"/>
        <v>6.3959999999999999</v>
      </c>
      <c r="K164" s="54"/>
      <c r="L164" s="54"/>
      <c r="M164" s="56"/>
      <c r="N164" s="56"/>
      <c r="O164" s="56"/>
      <c r="P164" s="78"/>
      <c r="Q164" s="66"/>
      <c r="R164" s="56"/>
      <c r="S164" s="56"/>
      <c r="T164" s="67"/>
    </row>
    <row r="165" spans="2:20">
      <c r="B165" s="198"/>
      <c r="C165" s="188"/>
      <c r="D165" s="188"/>
      <c r="E165" s="188"/>
      <c r="F165" s="189"/>
      <c r="G165" s="15" t="s">
        <v>226</v>
      </c>
      <c r="H165" s="15" t="s">
        <v>200</v>
      </c>
      <c r="I165" s="75">
        <v>102</v>
      </c>
      <c r="J165" s="64">
        <f t="shared" si="62"/>
        <v>652.39199999999994</v>
      </c>
      <c r="K165" s="54"/>
      <c r="L165" s="54"/>
      <c r="M165" s="56"/>
      <c r="N165" s="56"/>
      <c r="O165" s="56"/>
      <c r="P165" s="78"/>
      <c r="Q165" s="66"/>
      <c r="R165" s="56"/>
      <c r="S165" s="56"/>
      <c r="T165" s="67"/>
    </row>
    <row r="166" spans="2:20">
      <c r="B166" s="198"/>
      <c r="C166" s="188"/>
      <c r="D166" s="188"/>
      <c r="E166" s="188"/>
      <c r="F166" s="189"/>
      <c r="G166" s="15" t="s">
        <v>222</v>
      </c>
      <c r="H166" s="15" t="s">
        <v>194</v>
      </c>
      <c r="I166" s="75">
        <v>0.2</v>
      </c>
      <c r="J166" s="64">
        <f t="shared" si="62"/>
        <v>1.2792000000000001</v>
      </c>
      <c r="K166" s="54"/>
      <c r="L166" s="54"/>
      <c r="M166" s="56"/>
      <c r="N166" s="56"/>
      <c r="O166" s="56"/>
      <c r="P166" s="78"/>
      <c r="Q166" s="66"/>
      <c r="R166" s="56"/>
      <c r="S166" s="56"/>
      <c r="T166" s="67"/>
    </row>
    <row r="167" spans="2:20" ht="94.5">
      <c r="B167" s="198">
        <v>8</v>
      </c>
      <c r="C167" s="188" t="s">
        <v>69</v>
      </c>
      <c r="D167" s="188" t="s">
        <v>60</v>
      </c>
      <c r="E167" s="188">
        <v>0.35949999999999999</v>
      </c>
      <c r="F167" s="189" t="s">
        <v>70</v>
      </c>
      <c r="G167" s="15" t="s">
        <v>228</v>
      </c>
      <c r="H167" s="15" t="s">
        <v>200</v>
      </c>
      <c r="I167" s="15">
        <v>102</v>
      </c>
      <c r="J167" s="64">
        <f>I167*E$61</f>
        <v>36.668999999999997</v>
      </c>
      <c r="K167" s="54"/>
      <c r="L167" s="54"/>
      <c r="M167" s="56"/>
      <c r="N167" s="56"/>
      <c r="O167" s="56"/>
      <c r="P167" s="78"/>
      <c r="Q167" s="66"/>
      <c r="R167" s="56"/>
      <c r="S167" s="56"/>
      <c r="T167" s="67"/>
    </row>
    <row r="168" spans="2:20">
      <c r="B168" s="198"/>
      <c r="C168" s="188"/>
      <c r="D168" s="188"/>
      <c r="E168" s="188"/>
      <c r="F168" s="189"/>
      <c r="G168" s="15" t="s">
        <v>225</v>
      </c>
      <c r="H168" s="15" t="s">
        <v>194</v>
      </c>
      <c r="I168" s="75">
        <v>3.06</v>
      </c>
      <c r="J168" s="64">
        <f t="shared" ref="J168:J170" si="63">I168*E$61</f>
        <v>1.1000699999999999</v>
      </c>
      <c r="K168" s="54"/>
      <c r="L168" s="54"/>
      <c r="M168" s="56"/>
      <c r="N168" s="56"/>
      <c r="O168" s="56"/>
      <c r="P168" s="78"/>
      <c r="Q168" s="66"/>
      <c r="R168" s="56"/>
      <c r="S168" s="56"/>
      <c r="T168" s="67"/>
    </row>
    <row r="169" spans="2:20" ht="47.25">
      <c r="B169" s="198"/>
      <c r="C169" s="188"/>
      <c r="D169" s="188"/>
      <c r="E169" s="188"/>
      <c r="F169" s="189"/>
      <c r="G169" s="15" t="s">
        <v>221</v>
      </c>
      <c r="H169" s="15" t="s">
        <v>194</v>
      </c>
      <c r="I169" s="15">
        <v>1.3</v>
      </c>
      <c r="J169" s="64">
        <f t="shared" si="63"/>
        <v>0.46734999999999999</v>
      </c>
      <c r="K169" s="54"/>
      <c r="P169" s="78"/>
    </row>
    <row r="170" spans="2:20">
      <c r="B170" s="198"/>
      <c r="C170" s="188"/>
      <c r="D170" s="188"/>
      <c r="E170" s="188"/>
      <c r="F170" s="189"/>
      <c r="G170" s="15" t="s">
        <v>222</v>
      </c>
      <c r="H170" s="15" t="s">
        <v>194</v>
      </c>
      <c r="I170" s="75">
        <v>3.85</v>
      </c>
      <c r="J170" s="64">
        <f t="shared" si="63"/>
        <v>1.3840749999999999</v>
      </c>
      <c r="K170" s="54"/>
      <c r="P170" s="78"/>
    </row>
    <row r="171" spans="2:20" ht="31.5">
      <c r="B171" s="198">
        <v>9</v>
      </c>
      <c r="C171" s="188" t="s">
        <v>73</v>
      </c>
      <c r="D171" s="188" t="s">
        <v>60</v>
      </c>
      <c r="E171" s="188">
        <v>0.64300000000000002</v>
      </c>
      <c r="F171" s="189" t="s">
        <v>74</v>
      </c>
      <c r="G171" s="15" t="s">
        <v>229</v>
      </c>
      <c r="H171" s="15" t="s">
        <v>198</v>
      </c>
      <c r="I171" s="15">
        <v>2.0999999999999999E-3</v>
      </c>
      <c r="J171" s="64">
        <f>I171*E$65</f>
        <v>1.3503E-3</v>
      </c>
      <c r="K171" s="54"/>
      <c r="P171" s="78"/>
    </row>
    <row r="172" spans="2:20" ht="47.25">
      <c r="B172" s="198"/>
      <c r="C172" s="188"/>
      <c r="D172" s="188"/>
      <c r="E172" s="188"/>
      <c r="F172" s="189"/>
      <c r="G172" s="15" t="s">
        <v>230</v>
      </c>
      <c r="H172" s="15" t="s">
        <v>198</v>
      </c>
      <c r="I172" s="75">
        <v>2.3599999999999999E-2</v>
      </c>
      <c r="J172" s="64">
        <f t="shared" ref="J172:J181" si="64">I172*E$65</f>
        <v>1.51748E-2</v>
      </c>
      <c r="K172" s="54"/>
      <c r="P172" s="78"/>
    </row>
    <row r="173" spans="2:20" ht="63">
      <c r="B173" s="198"/>
      <c r="C173" s="188"/>
      <c r="D173" s="188"/>
      <c r="E173" s="188"/>
      <c r="F173" s="189"/>
      <c r="G173" s="15" t="s">
        <v>231</v>
      </c>
      <c r="H173" s="15" t="s">
        <v>200</v>
      </c>
      <c r="I173" s="15">
        <v>89</v>
      </c>
      <c r="J173" s="64">
        <f t="shared" si="64"/>
        <v>57.227000000000004</v>
      </c>
      <c r="K173" s="54"/>
      <c r="P173" s="78"/>
    </row>
    <row r="174" spans="2:20">
      <c r="B174" s="198"/>
      <c r="C174" s="188"/>
      <c r="D174" s="188"/>
      <c r="E174" s="188"/>
      <c r="F174" s="189"/>
      <c r="G174" s="15" t="s">
        <v>232</v>
      </c>
      <c r="H174" s="15" t="s">
        <v>198</v>
      </c>
      <c r="I174" s="15">
        <v>4.13E-3</v>
      </c>
      <c r="J174" s="64">
        <f t="shared" si="64"/>
        <v>2.6555900000000002E-3</v>
      </c>
      <c r="K174" s="54"/>
      <c r="P174" s="78"/>
    </row>
    <row r="175" spans="2:20">
      <c r="B175" s="198"/>
      <c r="C175" s="188"/>
      <c r="D175" s="188"/>
      <c r="E175" s="188"/>
      <c r="F175" s="189"/>
      <c r="G175" s="15" t="s">
        <v>233</v>
      </c>
      <c r="H175" s="15" t="s">
        <v>240</v>
      </c>
      <c r="I175" s="15">
        <v>32.4</v>
      </c>
      <c r="J175" s="64">
        <f t="shared" si="64"/>
        <v>20.833199999999998</v>
      </c>
      <c r="K175" s="54"/>
      <c r="P175" s="78"/>
    </row>
    <row r="176" spans="2:20">
      <c r="B176" s="198"/>
      <c r="C176" s="188"/>
      <c r="D176" s="188"/>
      <c r="E176" s="188"/>
      <c r="F176" s="189"/>
      <c r="G176" s="15" t="s">
        <v>234</v>
      </c>
      <c r="H176" s="15" t="s">
        <v>227</v>
      </c>
      <c r="I176" s="15">
        <v>37.5</v>
      </c>
      <c r="J176" s="64">
        <f t="shared" si="64"/>
        <v>24.112500000000001</v>
      </c>
      <c r="K176" s="54"/>
      <c r="P176" s="78"/>
    </row>
    <row r="177" spans="2:20">
      <c r="B177" s="198"/>
      <c r="C177" s="188"/>
      <c r="D177" s="188"/>
      <c r="E177" s="188"/>
      <c r="F177" s="189"/>
      <c r="G177" s="15" t="s">
        <v>235</v>
      </c>
      <c r="H177" s="15" t="s">
        <v>241</v>
      </c>
      <c r="I177" s="15">
        <v>0</v>
      </c>
      <c r="J177" s="64">
        <f t="shared" si="64"/>
        <v>0</v>
      </c>
      <c r="K177" s="54"/>
      <c r="P177" s="78"/>
    </row>
    <row r="178" spans="2:20" ht="78.75">
      <c r="B178" s="198"/>
      <c r="C178" s="188"/>
      <c r="D178" s="188"/>
      <c r="E178" s="188"/>
      <c r="F178" s="189"/>
      <c r="G178" s="15" t="s">
        <v>236</v>
      </c>
      <c r="H178" s="15" t="s">
        <v>194</v>
      </c>
      <c r="I178" s="75">
        <v>0.08</v>
      </c>
      <c r="J178" s="64">
        <f t="shared" si="64"/>
        <v>5.144E-2</v>
      </c>
      <c r="K178" s="54"/>
      <c r="P178" s="78"/>
    </row>
    <row r="179" spans="2:20">
      <c r="B179" s="198"/>
      <c r="C179" s="188"/>
      <c r="D179" s="188"/>
      <c r="E179" s="188"/>
      <c r="F179" s="189"/>
      <c r="G179" s="15" t="s">
        <v>237</v>
      </c>
      <c r="H179" s="15" t="s">
        <v>200</v>
      </c>
      <c r="I179" s="75">
        <v>100</v>
      </c>
      <c r="J179" s="64">
        <f t="shared" si="64"/>
        <v>64.3</v>
      </c>
      <c r="K179" s="54"/>
      <c r="P179" s="78"/>
    </row>
    <row r="180" spans="2:20" ht="47.25">
      <c r="B180" s="198"/>
      <c r="C180" s="188"/>
      <c r="D180" s="188"/>
      <c r="E180" s="188"/>
      <c r="F180" s="189"/>
      <c r="G180" s="15" t="s">
        <v>238</v>
      </c>
      <c r="H180" s="75" t="s">
        <v>192</v>
      </c>
      <c r="I180" s="75">
        <v>0.105</v>
      </c>
      <c r="J180" s="64">
        <f t="shared" si="64"/>
        <v>6.7515000000000006E-2</v>
      </c>
      <c r="K180" s="54"/>
      <c r="P180" s="78"/>
    </row>
    <row r="181" spans="2:20" ht="31.5">
      <c r="B181" s="198"/>
      <c r="C181" s="188"/>
      <c r="D181" s="188"/>
      <c r="E181" s="188"/>
      <c r="F181" s="189"/>
      <c r="G181" s="15" t="s">
        <v>239</v>
      </c>
      <c r="H181" s="15" t="s">
        <v>198</v>
      </c>
      <c r="I181" s="15">
        <v>1.6E-2</v>
      </c>
      <c r="J181" s="64">
        <f t="shared" si="64"/>
        <v>1.0288E-2</v>
      </c>
      <c r="K181" s="54"/>
      <c r="P181" s="78"/>
      <c r="T181" s="65"/>
    </row>
    <row r="182" spans="2:20" ht="47.25">
      <c r="B182" s="198">
        <v>10</v>
      </c>
      <c r="C182" s="188" t="s">
        <v>76</v>
      </c>
      <c r="D182" s="188" t="s">
        <v>60</v>
      </c>
      <c r="E182" s="188">
        <v>0.99199999999999999</v>
      </c>
      <c r="F182" s="189" t="s">
        <v>77</v>
      </c>
      <c r="G182" s="15" t="s">
        <v>242</v>
      </c>
      <c r="H182" s="15" t="s">
        <v>198</v>
      </c>
      <c r="I182" s="75">
        <v>3.8E-3</v>
      </c>
      <c r="J182" s="64">
        <f>I182*E$76</f>
        <v>3.4656000000000001E-3</v>
      </c>
      <c r="K182" s="54"/>
      <c r="L182" s="68"/>
      <c r="M182" s="56"/>
      <c r="N182" s="56"/>
      <c r="O182" s="56"/>
      <c r="P182" s="78"/>
      <c r="Q182" s="66"/>
      <c r="R182" s="56"/>
      <c r="S182" s="56"/>
      <c r="T182" s="67"/>
    </row>
    <row r="183" spans="2:20">
      <c r="B183" s="198"/>
      <c r="C183" s="188"/>
      <c r="D183" s="188"/>
      <c r="E183" s="188"/>
      <c r="F183" s="189"/>
      <c r="G183" s="15" t="s">
        <v>243</v>
      </c>
      <c r="H183" s="15" t="s">
        <v>241</v>
      </c>
      <c r="I183" s="75">
        <v>100</v>
      </c>
      <c r="J183" s="64">
        <f t="shared" ref="J183:J184" si="65">I183*E$76</f>
        <v>91.2</v>
      </c>
      <c r="K183" s="54"/>
      <c r="L183" s="54"/>
      <c r="M183" s="56"/>
      <c r="N183" s="56"/>
      <c r="O183" s="56"/>
      <c r="P183" s="78"/>
      <c r="Q183" s="66"/>
      <c r="R183" s="56"/>
      <c r="S183" s="56"/>
      <c r="T183" s="67"/>
    </row>
    <row r="184" spans="2:20" ht="31.5">
      <c r="B184" s="198"/>
      <c r="C184" s="188"/>
      <c r="D184" s="188"/>
      <c r="E184" s="188"/>
      <c r="F184" s="189"/>
      <c r="G184" s="15" t="s">
        <v>244</v>
      </c>
      <c r="H184" s="15" t="s">
        <v>200</v>
      </c>
      <c r="I184" s="75">
        <v>0</v>
      </c>
      <c r="J184" s="64">
        <f t="shared" si="65"/>
        <v>0</v>
      </c>
      <c r="K184" s="54"/>
      <c r="L184" s="54"/>
      <c r="M184" s="56"/>
      <c r="N184" s="56"/>
      <c r="O184" s="56"/>
      <c r="P184" s="78"/>
      <c r="Q184" s="66"/>
      <c r="R184" s="56"/>
      <c r="S184" s="56"/>
      <c r="T184" s="67"/>
    </row>
    <row r="185" spans="2:20" ht="31.5">
      <c r="B185" s="198">
        <v>11</v>
      </c>
      <c r="C185" s="188" t="s">
        <v>80</v>
      </c>
      <c r="D185" s="188" t="s">
        <v>60</v>
      </c>
      <c r="E185" s="188">
        <v>6.7320000000000002</v>
      </c>
      <c r="F185" s="189" t="s">
        <v>81</v>
      </c>
      <c r="G185" s="15" t="s">
        <v>245</v>
      </c>
      <c r="H185" s="15" t="s">
        <v>198</v>
      </c>
      <c r="I185" s="15">
        <v>6.9999999999999994E-5</v>
      </c>
      <c r="J185" s="64">
        <f>I185*E$79</f>
        <v>4.7123999999999999E-4</v>
      </c>
      <c r="K185" s="54"/>
      <c r="L185" s="54"/>
      <c r="M185" s="56"/>
      <c r="N185" s="56"/>
      <c r="O185" s="56"/>
      <c r="P185" s="78"/>
      <c r="Q185" s="66"/>
      <c r="R185" s="56"/>
      <c r="S185" s="56"/>
      <c r="T185" s="67"/>
    </row>
    <row r="186" spans="2:20" ht="31.5">
      <c r="B186" s="198"/>
      <c r="C186" s="188"/>
      <c r="D186" s="188"/>
      <c r="E186" s="188"/>
      <c r="F186" s="189"/>
      <c r="G186" s="15" t="s">
        <v>246</v>
      </c>
      <c r="H186" s="15" t="s">
        <v>200</v>
      </c>
      <c r="I186" s="15">
        <v>2.64</v>
      </c>
      <c r="J186" s="64">
        <f t="shared" ref="J186:J188" si="66">I186*E$79</f>
        <v>17.772480000000002</v>
      </c>
      <c r="K186" s="54"/>
      <c r="L186" s="54"/>
      <c r="M186" s="56"/>
      <c r="N186" s="56"/>
      <c r="O186" s="56"/>
      <c r="P186" s="78"/>
      <c r="Q186" s="66"/>
      <c r="R186" s="56"/>
      <c r="S186" s="56"/>
      <c r="T186" s="67"/>
    </row>
    <row r="187" spans="2:20" ht="63">
      <c r="B187" s="198"/>
      <c r="C187" s="188"/>
      <c r="D187" s="188"/>
      <c r="E187" s="188"/>
      <c r="F187" s="189"/>
      <c r="G187" s="15" t="s">
        <v>247</v>
      </c>
      <c r="H187" s="15" t="s">
        <v>194</v>
      </c>
      <c r="I187" s="15">
        <v>0.04</v>
      </c>
      <c r="J187" s="64">
        <f t="shared" si="66"/>
        <v>0.26928000000000002</v>
      </c>
      <c r="K187" s="54"/>
      <c r="P187" s="78"/>
    </row>
    <row r="188" spans="2:20" ht="47.25">
      <c r="B188" s="198"/>
      <c r="C188" s="188"/>
      <c r="D188" s="188"/>
      <c r="E188" s="188"/>
      <c r="F188" s="189"/>
      <c r="G188" s="15" t="s">
        <v>248</v>
      </c>
      <c r="H188" s="15" t="s">
        <v>194</v>
      </c>
      <c r="I188" s="15">
        <v>1.4</v>
      </c>
      <c r="J188" s="64">
        <f t="shared" si="66"/>
        <v>9.4247999999999994</v>
      </c>
      <c r="K188" s="54"/>
      <c r="P188" s="78"/>
    </row>
    <row r="189" spans="2:20" ht="47.25">
      <c r="B189" s="198">
        <v>12</v>
      </c>
      <c r="C189" s="188" t="s">
        <v>84</v>
      </c>
      <c r="D189" s="188" t="s">
        <v>60</v>
      </c>
      <c r="E189" s="188">
        <v>6.7320000000000002</v>
      </c>
      <c r="F189" s="189" t="s">
        <v>85</v>
      </c>
      <c r="G189" s="15" t="s">
        <v>249</v>
      </c>
      <c r="H189" s="15" t="s">
        <v>200</v>
      </c>
      <c r="I189" s="15">
        <v>0.3</v>
      </c>
      <c r="J189" s="64">
        <f>I189*E$83</f>
        <v>2.0196000000000001</v>
      </c>
      <c r="K189" s="54"/>
      <c r="P189" s="78"/>
    </row>
    <row r="190" spans="2:20">
      <c r="B190" s="198"/>
      <c r="C190" s="188"/>
      <c r="D190" s="188"/>
      <c r="E190" s="188"/>
      <c r="F190" s="189"/>
      <c r="G190" s="15" t="s">
        <v>250</v>
      </c>
      <c r="H190" s="15" t="s">
        <v>198</v>
      </c>
      <c r="I190" s="15">
        <v>5.0000000000000001E-3</v>
      </c>
      <c r="J190" s="64">
        <f t="shared" ref="J190:J192" si="67">I190*E$83</f>
        <v>3.3660000000000002E-2</v>
      </c>
      <c r="K190" s="54"/>
      <c r="P190" s="78"/>
    </row>
    <row r="191" spans="2:20">
      <c r="B191" s="198"/>
      <c r="C191" s="188"/>
      <c r="D191" s="188"/>
      <c r="E191" s="188"/>
      <c r="F191" s="189"/>
      <c r="G191" s="15" t="s">
        <v>251</v>
      </c>
      <c r="H191" s="15" t="s">
        <v>227</v>
      </c>
      <c r="I191" s="75">
        <v>0.1</v>
      </c>
      <c r="J191" s="64">
        <f t="shared" si="67"/>
        <v>0.67320000000000002</v>
      </c>
      <c r="K191" s="54"/>
      <c r="P191" s="78"/>
    </row>
    <row r="192" spans="2:20">
      <c r="B192" s="198"/>
      <c r="C192" s="188"/>
      <c r="D192" s="188"/>
      <c r="E192" s="188"/>
      <c r="F192" s="189"/>
      <c r="G192" s="15" t="s">
        <v>252</v>
      </c>
      <c r="H192" s="15" t="s">
        <v>198</v>
      </c>
      <c r="I192" s="15">
        <v>5.1999999999999998E-2</v>
      </c>
      <c r="J192" s="64">
        <f t="shared" si="67"/>
        <v>0.35006399999999999</v>
      </c>
      <c r="K192" s="54"/>
      <c r="P192" s="78"/>
    </row>
    <row r="193" spans="2:20" ht="31.5">
      <c r="B193" s="198">
        <v>13</v>
      </c>
      <c r="C193" s="188" t="s">
        <v>86</v>
      </c>
      <c r="D193" s="188" t="s">
        <v>60</v>
      </c>
      <c r="E193" s="188">
        <v>6.7320000000000002</v>
      </c>
      <c r="F193" s="189" t="s">
        <v>87</v>
      </c>
      <c r="G193" s="15" t="s">
        <v>253</v>
      </c>
      <c r="H193" s="15" t="s">
        <v>198</v>
      </c>
      <c r="I193" s="15">
        <v>6.9999999999999994E-5</v>
      </c>
      <c r="J193" s="64">
        <f>I193*E$87</f>
        <v>4.7123999999999999E-4</v>
      </c>
      <c r="K193" s="54"/>
      <c r="P193" s="78"/>
      <c r="T193" s="65"/>
    </row>
    <row r="194" spans="2:20" ht="31.5">
      <c r="B194" s="198"/>
      <c r="C194" s="188"/>
      <c r="D194" s="188"/>
      <c r="E194" s="188"/>
      <c r="F194" s="189"/>
      <c r="G194" s="15" t="s">
        <v>254</v>
      </c>
      <c r="H194" s="75" t="s">
        <v>256</v>
      </c>
      <c r="I194" s="75">
        <v>2.64</v>
      </c>
      <c r="J194" s="64">
        <f t="shared" ref="J194:J195" si="68">I194*E$87</f>
        <v>17.772480000000002</v>
      </c>
      <c r="K194" s="54"/>
      <c r="P194" s="78"/>
    </row>
    <row r="195" spans="2:20" ht="47.25">
      <c r="B195" s="198"/>
      <c r="C195" s="188"/>
      <c r="D195" s="188"/>
      <c r="E195" s="188"/>
      <c r="F195" s="189"/>
      <c r="G195" s="15" t="s">
        <v>255</v>
      </c>
      <c r="H195" s="15" t="s">
        <v>194</v>
      </c>
      <c r="I195" s="15">
        <v>1.43</v>
      </c>
      <c r="J195" s="64">
        <f t="shared" si="68"/>
        <v>9.6267599999999991</v>
      </c>
      <c r="K195" s="54"/>
      <c r="P195" s="78"/>
    </row>
    <row r="196" spans="2:20" ht="47.25">
      <c r="B196" s="198">
        <v>14</v>
      </c>
      <c r="C196" s="188" t="s">
        <v>88</v>
      </c>
      <c r="D196" s="188" t="s">
        <v>60</v>
      </c>
      <c r="E196" s="188">
        <v>6.7320000000000002</v>
      </c>
      <c r="F196" s="189" t="s">
        <v>89</v>
      </c>
      <c r="G196" s="15" t="s">
        <v>249</v>
      </c>
      <c r="H196" s="15" t="s">
        <v>200</v>
      </c>
      <c r="I196" s="15">
        <v>0.33</v>
      </c>
      <c r="J196" s="64">
        <f>I196*E$90</f>
        <v>2.2215600000000002</v>
      </c>
      <c r="K196" s="54"/>
      <c r="P196" s="78"/>
    </row>
    <row r="197" spans="2:20">
      <c r="B197" s="198"/>
      <c r="C197" s="188"/>
      <c r="D197" s="188"/>
      <c r="E197" s="188"/>
      <c r="F197" s="189"/>
      <c r="G197" s="15" t="s">
        <v>250</v>
      </c>
      <c r="H197" s="15" t="s">
        <v>198</v>
      </c>
      <c r="I197" s="15">
        <v>5.4999999999999997E-3</v>
      </c>
      <c r="J197" s="64">
        <f t="shared" ref="J197:J199" si="69">I197*E$90</f>
        <v>3.7025999999999996E-2</v>
      </c>
      <c r="K197" s="54"/>
      <c r="P197" s="78"/>
    </row>
    <row r="198" spans="2:20">
      <c r="B198" s="198"/>
      <c r="C198" s="188"/>
      <c r="D198" s="188"/>
      <c r="E198" s="188"/>
      <c r="F198" s="189"/>
      <c r="G198" s="15" t="s">
        <v>251</v>
      </c>
      <c r="H198" s="15" t="s">
        <v>227</v>
      </c>
      <c r="I198" s="75">
        <v>0.11</v>
      </c>
      <c r="J198" s="64">
        <f t="shared" si="69"/>
        <v>0.74052000000000007</v>
      </c>
      <c r="K198" s="54"/>
      <c r="P198" s="78"/>
    </row>
    <row r="199" spans="2:20">
      <c r="B199" s="198"/>
      <c r="C199" s="188"/>
      <c r="D199" s="188"/>
      <c r="E199" s="188"/>
      <c r="F199" s="189"/>
      <c r="G199" s="15" t="s">
        <v>257</v>
      </c>
      <c r="H199" s="15" t="s">
        <v>198</v>
      </c>
      <c r="I199" s="75">
        <v>5.7000000000000002E-2</v>
      </c>
      <c r="J199" s="64">
        <f t="shared" si="69"/>
        <v>0.38372400000000001</v>
      </c>
      <c r="K199" s="54"/>
      <c r="P199" s="78"/>
    </row>
    <row r="200" spans="2:20">
      <c r="B200" s="198">
        <v>15</v>
      </c>
      <c r="C200" s="188" t="s">
        <v>90</v>
      </c>
      <c r="D200" s="188" t="s">
        <v>60</v>
      </c>
      <c r="E200" s="188">
        <v>0.7056</v>
      </c>
      <c r="F200" s="189" t="s">
        <v>91</v>
      </c>
      <c r="G200" s="15" t="s">
        <v>258</v>
      </c>
      <c r="H200" s="15" t="s">
        <v>198</v>
      </c>
      <c r="I200" s="15">
        <v>3.5999999999999997E-2</v>
      </c>
      <c r="J200" s="64">
        <f>I200*E$94</f>
        <v>2.7215999999999997E-2</v>
      </c>
      <c r="K200" s="54"/>
      <c r="P200" s="78"/>
    </row>
    <row r="201" spans="2:20" ht="31.5">
      <c r="B201" s="198"/>
      <c r="C201" s="188"/>
      <c r="D201" s="188"/>
      <c r="E201" s="188"/>
      <c r="F201" s="189"/>
      <c r="G201" s="15" t="s">
        <v>259</v>
      </c>
      <c r="H201" s="15" t="s">
        <v>196</v>
      </c>
      <c r="I201" s="15">
        <v>1</v>
      </c>
      <c r="J201" s="64">
        <f t="shared" ref="J201:J204" si="70">I201*E$94</f>
        <v>0.75600000000000001</v>
      </c>
      <c r="K201" s="54"/>
      <c r="L201" s="54"/>
      <c r="M201" s="56"/>
      <c r="N201" s="56"/>
      <c r="O201" s="56"/>
      <c r="P201" s="78"/>
      <c r="Q201" s="66"/>
      <c r="R201" s="56"/>
      <c r="S201" s="56"/>
      <c r="T201" s="67"/>
    </row>
    <row r="202" spans="2:20" ht="47.25">
      <c r="B202" s="198"/>
      <c r="C202" s="188"/>
      <c r="D202" s="188"/>
      <c r="E202" s="188"/>
      <c r="F202" s="189"/>
      <c r="G202" s="15" t="s">
        <v>260</v>
      </c>
      <c r="H202" s="15" t="s">
        <v>198</v>
      </c>
      <c r="I202" s="75">
        <v>1.5E-3</v>
      </c>
      <c r="J202" s="64">
        <f t="shared" si="70"/>
        <v>1.134E-3</v>
      </c>
      <c r="K202" s="54"/>
      <c r="L202" s="54"/>
      <c r="M202" s="56"/>
      <c r="N202" s="56"/>
      <c r="O202" s="56"/>
      <c r="P202" s="78"/>
      <c r="Q202" s="66"/>
      <c r="R202" s="56"/>
      <c r="S202" s="56"/>
      <c r="T202" s="67"/>
    </row>
    <row r="203" spans="2:20">
      <c r="B203" s="198"/>
      <c r="C203" s="188"/>
      <c r="D203" s="188"/>
      <c r="E203" s="188"/>
      <c r="F203" s="189"/>
      <c r="G203" s="15" t="s">
        <v>251</v>
      </c>
      <c r="H203" s="15" t="s">
        <v>227</v>
      </c>
      <c r="I203" s="75">
        <v>0.2</v>
      </c>
      <c r="J203" s="64">
        <f t="shared" si="70"/>
        <v>0.1512</v>
      </c>
      <c r="K203" s="54"/>
      <c r="L203" s="54"/>
      <c r="M203" s="56"/>
      <c r="N203" s="56"/>
      <c r="O203" s="56"/>
      <c r="P203" s="78"/>
      <c r="Q203" s="66"/>
      <c r="R203" s="56"/>
      <c r="S203" s="56"/>
      <c r="T203" s="67"/>
    </row>
    <row r="204" spans="2:20">
      <c r="B204" s="198"/>
      <c r="C204" s="188"/>
      <c r="D204" s="188"/>
      <c r="E204" s="188"/>
      <c r="F204" s="189"/>
      <c r="G204" s="15" t="s">
        <v>261</v>
      </c>
      <c r="H204" s="15" t="s">
        <v>200</v>
      </c>
      <c r="I204" s="75">
        <v>78</v>
      </c>
      <c r="J204" s="64">
        <f t="shared" si="70"/>
        <v>58.968000000000004</v>
      </c>
      <c r="K204" s="54"/>
      <c r="L204" s="54"/>
      <c r="M204" s="56"/>
      <c r="N204" s="56"/>
      <c r="O204" s="56"/>
      <c r="P204" s="78"/>
      <c r="Q204" s="56"/>
      <c r="R204" s="56"/>
      <c r="S204" s="56"/>
      <c r="T204" s="67"/>
    </row>
    <row r="205" spans="2:20" ht="31.5">
      <c r="B205" s="198">
        <v>16</v>
      </c>
      <c r="C205" s="188" t="s">
        <v>94</v>
      </c>
      <c r="D205" s="188" t="s">
        <v>60</v>
      </c>
      <c r="E205" s="188">
        <v>0.09</v>
      </c>
      <c r="F205" s="189" t="s">
        <v>95</v>
      </c>
      <c r="G205" s="15" t="s">
        <v>262</v>
      </c>
      <c r="H205" s="15" t="s">
        <v>198</v>
      </c>
      <c r="I205" s="15">
        <v>6.0000000000000001E-3</v>
      </c>
      <c r="J205" s="64">
        <f>I205*E$99</f>
        <v>4.6799999999999999E-4</v>
      </c>
      <c r="K205" s="54"/>
      <c r="L205" s="54"/>
      <c r="M205" s="56"/>
      <c r="N205" s="56"/>
      <c r="O205" s="56"/>
      <c r="P205" s="78"/>
      <c r="Q205" s="66"/>
      <c r="R205" s="56"/>
      <c r="S205" s="56"/>
      <c r="T205" s="67"/>
    </row>
    <row r="206" spans="2:20">
      <c r="B206" s="198"/>
      <c r="C206" s="188"/>
      <c r="D206" s="188"/>
      <c r="E206" s="188"/>
      <c r="F206" s="189"/>
      <c r="G206" s="15" t="s">
        <v>263</v>
      </c>
      <c r="H206" s="15" t="s">
        <v>198</v>
      </c>
      <c r="I206" s="75">
        <v>5.1999999999999998E-2</v>
      </c>
      <c r="J206" s="64">
        <f t="shared" ref="J206:J213" si="71">I206*E$99</f>
        <v>4.0559999999999997E-3</v>
      </c>
      <c r="K206" s="54"/>
      <c r="L206" s="54"/>
      <c r="M206" s="110"/>
      <c r="N206" s="56"/>
      <c r="O206" s="56"/>
      <c r="P206" s="78"/>
      <c r="Q206" s="66"/>
      <c r="R206" s="56"/>
      <c r="S206" s="56"/>
      <c r="T206" s="67"/>
    </row>
    <row r="207" spans="2:20" ht="47.25">
      <c r="B207" s="198"/>
      <c r="C207" s="188"/>
      <c r="D207" s="188"/>
      <c r="E207" s="188"/>
      <c r="F207" s="189"/>
      <c r="G207" s="15" t="s">
        <v>264</v>
      </c>
      <c r="H207" s="15" t="s">
        <v>200</v>
      </c>
      <c r="I207" s="15">
        <v>5.58</v>
      </c>
      <c r="J207" s="64">
        <f t="shared" si="71"/>
        <v>0.43524000000000002</v>
      </c>
      <c r="K207" s="54"/>
      <c r="P207" s="78"/>
    </row>
    <row r="208" spans="2:20">
      <c r="B208" s="198"/>
      <c r="C208" s="188"/>
      <c r="D208" s="188"/>
      <c r="E208" s="188"/>
      <c r="F208" s="189"/>
      <c r="G208" s="15" t="s">
        <v>232</v>
      </c>
      <c r="H208" s="15" t="s">
        <v>198</v>
      </c>
      <c r="I208" s="75">
        <v>5.5999999999999999E-3</v>
      </c>
      <c r="J208" s="64">
        <f t="shared" si="71"/>
        <v>4.3679999999999999E-4</v>
      </c>
      <c r="K208" s="54"/>
      <c r="P208" s="78"/>
    </row>
    <row r="209" spans="2:16" ht="47.25">
      <c r="B209" s="198"/>
      <c r="C209" s="188"/>
      <c r="D209" s="188"/>
      <c r="E209" s="188"/>
      <c r="F209" s="189"/>
      <c r="G209" s="15" t="s">
        <v>265</v>
      </c>
      <c r="H209" s="15" t="s">
        <v>198</v>
      </c>
      <c r="I209" s="75">
        <v>6.9999999999999999E-4</v>
      </c>
      <c r="J209" s="64">
        <f t="shared" si="71"/>
        <v>5.4599999999999999E-5</v>
      </c>
      <c r="K209" s="54"/>
      <c r="P209" s="78"/>
    </row>
    <row r="210" spans="2:16" ht="31.5">
      <c r="B210" s="198"/>
      <c r="C210" s="188"/>
      <c r="D210" s="188"/>
      <c r="E210" s="188"/>
      <c r="F210" s="189"/>
      <c r="G210" s="15" t="s">
        <v>266</v>
      </c>
      <c r="H210" s="15" t="s">
        <v>269</v>
      </c>
      <c r="I210" s="75">
        <v>74</v>
      </c>
      <c r="J210" s="64">
        <f t="shared" si="71"/>
        <v>5.7720000000000002</v>
      </c>
      <c r="K210" s="54"/>
      <c r="P210" s="78"/>
    </row>
    <row r="211" spans="2:16" ht="47.25">
      <c r="B211" s="198"/>
      <c r="C211" s="188"/>
      <c r="D211" s="188"/>
      <c r="E211" s="188"/>
      <c r="F211" s="189"/>
      <c r="G211" s="15" t="s">
        <v>267</v>
      </c>
      <c r="H211" s="75" t="s">
        <v>192</v>
      </c>
      <c r="I211" s="75">
        <v>0.34</v>
      </c>
      <c r="J211" s="64">
        <f t="shared" si="71"/>
        <v>2.6520000000000002E-2</v>
      </c>
      <c r="K211" s="54"/>
      <c r="P211" s="78"/>
    </row>
    <row r="212" spans="2:16" ht="31.5">
      <c r="B212" s="198"/>
      <c r="C212" s="188"/>
      <c r="D212" s="188"/>
      <c r="E212" s="188"/>
      <c r="F212" s="189"/>
      <c r="G212" s="15" t="s">
        <v>268</v>
      </c>
      <c r="H212" s="15" t="s">
        <v>198</v>
      </c>
      <c r="I212" s="75">
        <v>0.3</v>
      </c>
      <c r="J212" s="64">
        <f t="shared" si="71"/>
        <v>2.3400000000000001E-2</v>
      </c>
      <c r="K212" s="54"/>
      <c r="P212" s="78"/>
    </row>
    <row r="213" spans="2:16">
      <c r="B213" s="198"/>
      <c r="C213" s="188"/>
      <c r="D213" s="188"/>
      <c r="E213" s="188"/>
      <c r="F213" s="189"/>
      <c r="G213" s="15" t="s">
        <v>222</v>
      </c>
      <c r="H213" s="75" t="s">
        <v>192</v>
      </c>
      <c r="I213" s="15">
        <v>0.6</v>
      </c>
      <c r="J213" s="64">
        <f t="shared" si="71"/>
        <v>4.6800000000000001E-2</v>
      </c>
      <c r="K213" s="54"/>
      <c r="P213" s="78"/>
    </row>
    <row r="214" spans="2:16" ht="63">
      <c r="B214" s="198">
        <v>17</v>
      </c>
      <c r="C214" s="188" t="s">
        <v>98</v>
      </c>
      <c r="D214" s="188" t="s">
        <v>60</v>
      </c>
      <c r="E214" s="188">
        <v>4.2767999999999997</v>
      </c>
      <c r="F214" s="189" t="s">
        <v>99</v>
      </c>
      <c r="G214" s="15" t="s">
        <v>270</v>
      </c>
      <c r="H214" s="15" t="s">
        <v>200</v>
      </c>
      <c r="I214" s="15">
        <v>100</v>
      </c>
      <c r="J214" s="64">
        <f>I214*E$108</f>
        <v>427.67999999999995</v>
      </c>
      <c r="K214" s="54"/>
      <c r="P214" s="78"/>
    </row>
    <row r="215" spans="2:16" ht="63">
      <c r="B215" s="198"/>
      <c r="C215" s="188"/>
      <c r="D215" s="188"/>
      <c r="E215" s="188"/>
      <c r="F215" s="189"/>
      <c r="G215" s="15" t="s">
        <v>271</v>
      </c>
      <c r="H215" s="15" t="s">
        <v>198</v>
      </c>
      <c r="I215" s="15">
        <v>0.04</v>
      </c>
      <c r="J215" s="64">
        <f t="shared" ref="J215:J217" si="72">I215*E$108</f>
        <v>0.171072</v>
      </c>
      <c r="K215" s="54"/>
      <c r="P215" s="78"/>
    </row>
    <row r="216" spans="2:16">
      <c r="B216" s="198"/>
      <c r="C216" s="188"/>
      <c r="D216" s="188"/>
      <c r="E216" s="188"/>
      <c r="F216" s="189"/>
      <c r="G216" s="15" t="s">
        <v>251</v>
      </c>
      <c r="H216" s="15" t="s">
        <v>227</v>
      </c>
      <c r="I216" s="75">
        <v>0.5</v>
      </c>
      <c r="J216" s="64">
        <f t="shared" si="72"/>
        <v>2.1383999999999999</v>
      </c>
      <c r="K216" s="54"/>
      <c r="P216" s="78"/>
    </row>
    <row r="217" spans="2:16" ht="47.25">
      <c r="B217" s="198"/>
      <c r="C217" s="188"/>
      <c r="D217" s="188"/>
      <c r="E217" s="188"/>
      <c r="F217" s="189"/>
      <c r="G217" s="15" t="s">
        <v>272</v>
      </c>
      <c r="H217" s="15" t="s">
        <v>194</v>
      </c>
      <c r="I217" s="75">
        <v>2</v>
      </c>
      <c r="J217" s="64">
        <f t="shared" si="72"/>
        <v>8.5535999999999994</v>
      </c>
      <c r="K217" s="54"/>
      <c r="P217" s="78"/>
    </row>
    <row r="218" spans="2:16">
      <c r="B218" s="198">
        <v>18</v>
      </c>
      <c r="C218" s="188" t="s">
        <v>101</v>
      </c>
      <c r="D218" s="188" t="s">
        <v>60</v>
      </c>
      <c r="E218" s="188">
        <v>2.052</v>
      </c>
      <c r="F218" s="189" t="s">
        <v>102</v>
      </c>
      <c r="G218" s="15" t="s">
        <v>273</v>
      </c>
      <c r="H218" s="15" t="s">
        <v>275</v>
      </c>
      <c r="I218" s="15">
        <v>0.68</v>
      </c>
      <c r="J218" s="64">
        <f>I218*E$112</f>
        <v>1.3953600000000002</v>
      </c>
      <c r="K218" s="54"/>
      <c r="P218" s="78"/>
    </row>
    <row r="219" spans="2:16" ht="47.25">
      <c r="B219" s="198"/>
      <c r="C219" s="188"/>
      <c r="D219" s="188"/>
      <c r="E219" s="188"/>
      <c r="F219" s="189"/>
      <c r="G219" s="15" t="s">
        <v>274</v>
      </c>
      <c r="H219" s="15" t="s">
        <v>200</v>
      </c>
      <c r="I219" s="75">
        <v>102</v>
      </c>
      <c r="J219" s="64">
        <f>I219*E$112</f>
        <v>209.304</v>
      </c>
      <c r="K219" s="54"/>
      <c r="P219" s="78"/>
    </row>
    <row r="220" spans="2:16" ht="31.5">
      <c r="B220" s="198">
        <v>19</v>
      </c>
      <c r="C220" s="188" t="s">
        <v>106</v>
      </c>
      <c r="D220" s="188" t="s">
        <v>60</v>
      </c>
      <c r="E220" s="188">
        <v>3.24</v>
      </c>
      <c r="F220" s="189" t="s">
        <v>107</v>
      </c>
      <c r="G220" s="15" t="s">
        <v>276</v>
      </c>
      <c r="H220" s="15" t="s">
        <v>198</v>
      </c>
      <c r="I220" s="15">
        <v>0.77</v>
      </c>
      <c r="J220" s="64">
        <f>I220*E$114</f>
        <v>2.4948000000000001</v>
      </c>
      <c r="K220" s="54"/>
      <c r="P220" s="78"/>
    </row>
    <row r="221" spans="2:16" ht="31.5">
      <c r="B221" s="198"/>
      <c r="C221" s="188"/>
      <c r="D221" s="188"/>
      <c r="E221" s="188"/>
      <c r="F221" s="189"/>
      <c r="G221" s="15" t="s">
        <v>277</v>
      </c>
      <c r="H221" s="75" t="s">
        <v>256</v>
      </c>
      <c r="I221" s="75">
        <v>126</v>
      </c>
      <c r="J221" s="64">
        <f t="shared" ref="J221:J222" si="73">I221*E$114</f>
        <v>408.24</v>
      </c>
      <c r="K221" s="54"/>
      <c r="P221" s="78"/>
    </row>
    <row r="222" spans="2:16" ht="47.25">
      <c r="B222" s="198"/>
      <c r="C222" s="188"/>
      <c r="D222" s="188"/>
      <c r="E222" s="188"/>
      <c r="F222" s="189"/>
      <c r="G222" s="15" t="s">
        <v>278</v>
      </c>
      <c r="H222" s="75" t="s">
        <v>256</v>
      </c>
      <c r="I222" s="15">
        <v>250</v>
      </c>
      <c r="J222" s="64">
        <f t="shared" si="73"/>
        <v>810</v>
      </c>
      <c r="K222" s="54"/>
      <c r="P222" s="78"/>
    </row>
    <row r="223" spans="2:16" ht="31.5">
      <c r="B223" s="198">
        <v>20</v>
      </c>
      <c r="C223" s="196" t="s">
        <v>108</v>
      </c>
      <c r="D223" s="188" t="s">
        <v>60</v>
      </c>
      <c r="E223" s="188">
        <v>0.32</v>
      </c>
      <c r="F223" s="197" t="s">
        <v>109</v>
      </c>
      <c r="G223" s="15" t="s">
        <v>229</v>
      </c>
      <c r="H223" s="15" t="s">
        <v>198</v>
      </c>
      <c r="I223" s="15">
        <v>4.1999999999999997E-3</v>
      </c>
      <c r="J223" s="64">
        <f>I223*E$117</f>
        <v>1.3439999999999999E-3</v>
      </c>
      <c r="K223" s="54"/>
      <c r="P223" s="78"/>
    </row>
    <row r="224" spans="2:16" ht="31.5">
      <c r="B224" s="198"/>
      <c r="C224" s="196"/>
      <c r="D224" s="188"/>
      <c r="E224" s="188"/>
      <c r="F224" s="197"/>
      <c r="G224" s="15" t="s">
        <v>279</v>
      </c>
      <c r="H224" s="15" t="s">
        <v>198</v>
      </c>
      <c r="I224" s="15">
        <v>5.1900000000000002E-2</v>
      </c>
      <c r="J224" s="64">
        <f t="shared" ref="J224:J232" si="74">I224*E$117</f>
        <v>1.6608000000000001E-2</v>
      </c>
      <c r="K224" s="54"/>
      <c r="P224" s="78"/>
    </row>
    <row r="225" spans="2:16" ht="47.25">
      <c r="B225" s="198"/>
      <c r="C225" s="196"/>
      <c r="D225" s="188"/>
      <c r="E225" s="188"/>
      <c r="F225" s="197"/>
      <c r="G225" s="15" t="s">
        <v>264</v>
      </c>
      <c r="H225" s="15" t="s">
        <v>200</v>
      </c>
      <c r="I225" s="15">
        <v>176</v>
      </c>
      <c r="J225" s="64">
        <f t="shared" si="74"/>
        <v>56.32</v>
      </c>
      <c r="K225" s="54"/>
      <c r="P225" s="78"/>
    </row>
    <row r="226" spans="2:16">
      <c r="B226" s="198"/>
      <c r="C226" s="196"/>
      <c r="D226" s="188"/>
      <c r="E226" s="188"/>
      <c r="F226" s="197"/>
      <c r="G226" s="15" t="s">
        <v>232</v>
      </c>
      <c r="H226" s="15" t="s">
        <v>198</v>
      </c>
      <c r="I226" s="75">
        <v>2.96E-3</v>
      </c>
      <c r="J226" s="64">
        <f t="shared" si="74"/>
        <v>9.4720000000000004E-4</v>
      </c>
      <c r="K226" s="54"/>
      <c r="P226" s="78"/>
    </row>
    <row r="227" spans="2:16">
      <c r="B227" s="198"/>
      <c r="C227" s="196"/>
      <c r="D227" s="188"/>
      <c r="E227" s="188"/>
      <c r="F227" s="197"/>
      <c r="G227" s="15" t="s">
        <v>280</v>
      </c>
      <c r="H227" s="15" t="s">
        <v>240</v>
      </c>
      <c r="I227" s="15">
        <v>78</v>
      </c>
      <c r="J227" s="64">
        <f t="shared" si="74"/>
        <v>24.96</v>
      </c>
      <c r="K227" s="54"/>
      <c r="P227" s="78"/>
    </row>
    <row r="228" spans="2:16">
      <c r="B228" s="198"/>
      <c r="C228" s="196"/>
      <c r="D228" s="188"/>
      <c r="E228" s="188"/>
      <c r="F228" s="197"/>
      <c r="G228" s="15" t="s">
        <v>281</v>
      </c>
      <c r="H228" s="15" t="s">
        <v>241</v>
      </c>
      <c r="I228" s="75">
        <v>0</v>
      </c>
      <c r="J228" s="64">
        <f t="shared" si="74"/>
        <v>0</v>
      </c>
      <c r="K228" s="54"/>
      <c r="P228" s="78"/>
    </row>
    <row r="229" spans="2:16">
      <c r="B229" s="198"/>
      <c r="C229" s="196"/>
      <c r="D229" s="188"/>
      <c r="E229" s="188"/>
      <c r="F229" s="197"/>
      <c r="G229" s="15" t="s">
        <v>282</v>
      </c>
      <c r="H229" s="15" t="s">
        <v>198</v>
      </c>
      <c r="I229" s="75">
        <v>1.14E-2</v>
      </c>
      <c r="J229" s="64">
        <f t="shared" si="74"/>
        <v>3.6480000000000002E-3</v>
      </c>
      <c r="K229" s="54"/>
      <c r="P229" s="78"/>
    </row>
    <row r="230" spans="2:16">
      <c r="B230" s="198"/>
      <c r="C230" s="196"/>
      <c r="D230" s="188"/>
      <c r="E230" s="188"/>
      <c r="F230" s="197"/>
      <c r="G230" s="15" t="s">
        <v>283</v>
      </c>
      <c r="H230" s="15" t="s">
        <v>200</v>
      </c>
      <c r="I230" s="75">
        <v>100</v>
      </c>
      <c r="J230" s="64">
        <f t="shared" si="74"/>
        <v>32</v>
      </c>
      <c r="K230" s="54"/>
      <c r="P230" s="78"/>
    </row>
    <row r="231" spans="2:16" ht="47.25">
      <c r="B231" s="198"/>
      <c r="C231" s="196"/>
      <c r="D231" s="188"/>
      <c r="E231" s="188"/>
      <c r="F231" s="197"/>
      <c r="G231" s="15" t="s">
        <v>284</v>
      </c>
      <c r="H231" s="75" t="s">
        <v>192</v>
      </c>
      <c r="I231" s="15">
        <v>0.13800000000000001</v>
      </c>
      <c r="J231" s="64">
        <f t="shared" si="74"/>
        <v>4.4160000000000005E-2</v>
      </c>
      <c r="K231" s="54"/>
      <c r="P231" s="78"/>
    </row>
    <row r="232" spans="2:16" ht="31.5">
      <c r="B232" s="198"/>
      <c r="C232" s="196"/>
      <c r="D232" s="188"/>
      <c r="E232" s="188"/>
      <c r="F232" s="197"/>
      <c r="G232" s="15" t="s">
        <v>285</v>
      </c>
      <c r="H232" s="15" t="s">
        <v>198</v>
      </c>
      <c r="I232" s="75">
        <v>4.36E-2</v>
      </c>
      <c r="J232" s="64">
        <f t="shared" si="74"/>
        <v>1.3952000000000001E-2</v>
      </c>
      <c r="K232" s="54"/>
      <c r="P232" s="78"/>
    </row>
  </sheetData>
  <mergeCells count="233">
    <mergeCell ref="AF21:AF22"/>
    <mergeCell ref="AG21:AG22"/>
    <mergeCell ref="AH21:AH22"/>
    <mergeCell ref="B218:B219"/>
    <mergeCell ref="B220:B222"/>
    <mergeCell ref="B223:B232"/>
    <mergeCell ref="B193:B195"/>
    <mergeCell ref="B196:B199"/>
    <mergeCell ref="B200:B204"/>
    <mergeCell ref="B205:B213"/>
    <mergeCell ref="B214:B217"/>
    <mergeCell ref="C223:C232"/>
    <mergeCell ref="D223:D232"/>
    <mergeCell ref="E223:E232"/>
    <mergeCell ref="F223:F232"/>
    <mergeCell ref="B128:B130"/>
    <mergeCell ref="B131:B139"/>
    <mergeCell ref="B140:B147"/>
    <mergeCell ref="B148:B153"/>
    <mergeCell ref="B154:B159"/>
    <mergeCell ref="B160:B161"/>
    <mergeCell ref="B162:B166"/>
    <mergeCell ref="B167:B170"/>
    <mergeCell ref="B171:B181"/>
    <mergeCell ref="B182:B184"/>
    <mergeCell ref="B185:B188"/>
    <mergeCell ref="B189:B192"/>
    <mergeCell ref="C218:C219"/>
    <mergeCell ref="D218:D219"/>
    <mergeCell ref="E218:E219"/>
    <mergeCell ref="F218:F219"/>
    <mergeCell ref="C220:C222"/>
    <mergeCell ref="D220:D222"/>
    <mergeCell ref="E220:E222"/>
    <mergeCell ref="F220:F222"/>
    <mergeCell ref="C205:C213"/>
    <mergeCell ref="D205:D213"/>
    <mergeCell ref="E205:E213"/>
    <mergeCell ref="F205:F213"/>
    <mergeCell ref="C214:C217"/>
    <mergeCell ref="D214:D217"/>
    <mergeCell ref="E214:E217"/>
    <mergeCell ref="F214:F217"/>
    <mergeCell ref="C196:C199"/>
    <mergeCell ref="D196:D199"/>
    <mergeCell ref="E196:E199"/>
    <mergeCell ref="F196:F199"/>
    <mergeCell ref="C200:C204"/>
    <mergeCell ref="D200:D204"/>
    <mergeCell ref="E200:E204"/>
    <mergeCell ref="F200:F204"/>
    <mergeCell ref="C189:C192"/>
    <mergeCell ref="D189:D192"/>
    <mergeCell ref="E189:E192"/>
    <mergeCell ref="F189:F192"/>
    <mergeCell ref="C193:C195"/>
    <mergeCell ref="D193:D195"/>
    <mergeCell ref="E193:E195"/>
    <mergeCell ref="F193:F195"/>
    <mergeCell ref="C182:C184"/>
    <mergeCell ref="D182:D184"/>
    <mergeCell ref="E182:E184"/>
    <mergeCell ref="F182:F184"/>
    <mergeCell ref="C185:C188"/>
    <mergeCell ref="D185:D188"/>
    <mergeCell ref="E185:E188"/>
    <mergeCell ref="F185:F188"/>
    <mergeCell ref="C167:C170"/>
    <mergeCell ref="D167:D170"/>
    <mergeCell ref="E167:E170"/>
    <mergeCell ref="F167:F170"/>
    <mergeCell ref="C171:C181"/>
    <mergeCell ref="D171:D181"/>
    <mergeCell ref="E171:E181"/>
    <mergeCell ref="F171:F181"/>
    <mergeCell ref="C160:C161"/>
    <mergeCell ref="D160:D161"/>
    <mergeCell ref="E160:E161"/>
    <mergeCell ref="F160:F161"/>
    <mergeCell ref="C162:C166"/>
    <mergeCell ref="D162:D166"/>
    <mergeCell ref="E162:E166"/>
    <mergeCell ref="F162:F166"/>
    <mergeCell ref="C148:C153"/>
    <mergeCell ref="D148:D153"/>
    <mergeCell ref="E148:E153"/>
    <mergeCell ref="F148:F153"/>
    <mergeCell ref="C154:C159"/>
    <mergeCell ref="D154:D159"/>
    <mergeCell ref="E154:E159"/>
    <mergeCell ref="F154:F159"/>
    <mergeCell ref="C131:C139"/>
    <mergeCell ref="D131:D139"/>
    <mergeCell ref="E131:E139"/>
    <mergeCell ref="F131:F139"/>
    <mergeCell ref="C140:C147"/>
    <mergeCell ref="D140:D147"/>
    <mergeCell ref="E140:E147"/>
    <mergeCell ref="F140:F147"/>
    <mergeCell ref="B127:J127"/>
    <mergeCell ref="C128:C130"/>
    <mergeCell ref="D128:D130"/>
    <mergeCell ref="E128:E130"/>
    <mergeCell ref="F128:F130"/>
    <mergeCell ref="B117:B126"/>
    <mergeCell ref="C117:C126"/>
    <mergeCell ref="D117:D126"/>
    <mergeCell ref="E117:E126"/>
    <mergeCell ref="F117:F126"/>
    <mergeCell ref="B114:B116"/>
    <mergeCell ref="D114:D116"/>
    <mergeCell ref="E114:E116"/>
    <mergeCell ref="F114:F116"/>
    <mergeCell ref="C114:C116"/>
    <mergeCell ref="B112:B113"/>
    <mergeCell ref="C112:C113"/>
    <mergeCell ref="D112:D113"/>
    <mergeCell ref="E112:E113"/>
    <mergeCell ref="F112:F113"/>
    <mergeCell ref="B108:B111"/>
    <mergeCell ref="C108:C111"/>
    <mergeCell ref="D108:D111"/>
    <mergeCell ref="E108:E111"/>
    <mergeCell ref="F108:F111"/>
    <mergeCell ref="B99:B107"/>
    <mergeCell ref="C99:C107"/>
    <mergeCell ref="D99:D107"/>
    <mergeCell ref="F99:F107"/>
    <mergeCell ref="E99:E107"/>
    <mergeCell ref="B94:B98"/>
    <mergeCell ref="C94:C98"/>
    <mergeCell ref="D94:D98"/>
    <mergeCell ref="E94:E98"/>
    <mergeCell ref="F94:F98"/>
    <mergeCell ref="B90:B93"/>
    <mergeCell ref="C90:C93"/>
    <mergeCell ref="D90:D93"/>
    <mergeCell ref="E90:E93"/>
    <mergeCell ref="F90:F93"/>
    <mergeCell ref="B87:B89"/>
    <mergeCell ref="C87:C89"/>
    <mergeCell ref="D87:D89"/>
    <mergeCell ref="E87:E89"/>
    <mergeCell ref="F87:F89"/>
    <mergeCell ref="B83:B86"/>
    <mergeCell ref="C83:C86"/>
    <mergeCell ref="D83:D86"/>
    <mergeCell ref="E83:E86"/>
    <mergeCell ref="F83:F86"/>
    <mergeCell ref="B79:B82"/>
    <mergeCell ref="C79:C82"/>
    <mergeCell ref="D79:D82"/>
    <mergeCell ref="E79:E82"/>
    <mergeCell ref="F79:F82"/>
    <mergeCell ref="F76:F78"/>
    <mergeCell ref="E76:E78"/>
    <mergeCell ref="D76:D78"/>
    <mergeCell ref="C76:C78"/>
    <mergeCell ref="B76:B78"/>
    <mergeCell ref="B65:B75"/>
    <mergeCell ref="C65:C75"/>
    <mergeCell ref="D65:D75"/>
    <mergeCell ref="E65:E75"/>
    <mergeCell ref="F65:F75"/>
    <mergeCell ref="F61:F64"/>
    <mergeCell ref="E61:E64"/>
    <mergeCell ref="D61:D64"/>
    <mergeCell ref="C61:C64"/>
    <mergeCell ref="B61:B64"/>
    <mergeCell ref="F56:F60"/>
    <mergeCell ref="E56:E60"/>
    <mergeCell ref="D56:D60"/>
    <mergeCell ref="C56:C60"/>
    <mergeCell ref="B56:B60"/>
    <mergeCell ref="B54:B55"/>
    <mergeCell ref="C54:C55"/>
    <mergeCell ref="D54:D55"/>
    <mergeCell ref="E54:E55"/>
    <mergeCell ref="F54:F55"/>
    <mergeCell ref="B48:B53"/>
    <mergeCell ref="F48:F53"/>
    <mergeCell ref="E48:E53"/>
    <mergeCell ref="D48:D53"/>
    <mergeCell ref="C48:C53"/>
    <mergeCell ref="F42:F47"/>
    <mergeCell ref="E42:E47"/>
    <mergeCell ref="D42:D47"/>
    <mergeCell ref="C42:C47"/>
    <mergeCell ref="B42:B47"/>
    <mergeCell ref="F34:F41"/>
    <mergeCell ref="E34:E41"/>
    <mergeCell ref="D34:D41"/>
    <mergeCell ref="B34:B41"/>
    <mergeCell ref="C34:C41"/>
    <mergeCell ref="B25:B33"/>
    <mergeCell ref="C25:C33"/>
    <mergeCell ref="E25:E33"/>
    <mergeCell ref="D25:D33"/>
    <mergeCell ref="F25:F33"/>
    <mergeCell ref="S19:S20"/>
    <mergeCell ref="P19:P20"/>
    <mergeCell ref="Q19:Q20"/>
    <mergeCell ref="R19:R20"/>
    <mergeCell ref="B19:B20"/>
    <mergeCell ref="C19:C20"/>
    <mergeCell ref="F19:F20"/>
    <mergeCell ref="O19:O20"/>
    <mergeCell ref="E22:E24"/>
    <mergeCell ref="F22:F24"/>
    <mergeCell ref="D22:D24"/>
    <mergeCell ref="C22:C24"/>
    <mergeCell ref="B22:B24"/>
    <mergeCell ref="B21:J21"/>
    <mergeCell ref="B4:B5"/>
    <mergeCell ref="C4:C5"/>
    <mergeCell ref="D4:E4"/>
    <mergeCell ref="F4:F5"/>
    <mergeCell ref="G4:G5"/>
    <mergeCell ref="H4:H5"/>
    <mergeCell ref="I4:J4"/>
    <mergeCell ref="M19:M20"/>
    <mergeCell ref="N19:N20"/>
    <mergeCell ref="L19:L20"/>
    <mergeCell ref="H13:H14"/>
    <mergeCell ref="I13:J13"/>
    <mergeCell ref="B16:J16"/>
    <mergeCell ref="B13:B14"/>
    <mergeCell ref="C13:C14"/>
    <mergeCell ref="D13:E13"/>
    <mergeCell ref="F13:F14"/>
    <mergeCell ref="G13:G14"/>
    <mergeCell ref="E19:E20"/>
    <mergeCell ref="D19:D20"/>
  </mergeCells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A105-4D21-499D-9FC0-F30926034621}">
  <dimension ref="B2:U24"/>
  <sheetViews>
    <sheetView zoomScale="40" zoomScaleNormal="40" workbookViewId="0">
      <selection activeCell="B2" sqref="B2:K19"/>
    </sheetView>
  </sheetViews>
  <sheetFormatPr defaultRowHeight="15"/>
  <cols>
    <col min="2" max="2" width="23" customWidth="1"/>
    <col min="4" max="4" width="22.28515625" customWidth="1"/>
    <col min="5" max="5" width="14.42578125" customWidth="1"/>
    <col min="6" max="6" width="15.5703125" customWidth="1"/>
    <col min="7" max="7" width="14.28515625" customWidth="1"/>
    <col min="8" max="8" width="18.85546875" customWidth="1"/>
    <col min="9" max="9" width="16.85546875" customWidth="1"/>
    <col min="10" max="10" width="12" bestFit="1" customWidth="1"/>
    <col min="11" max="11" width="14.28515625" customWidth="1"/>
    <col min="12" max="12" width="16.28515625" customWidth="1"/>
    <col min="13" max="13" width="15.28515625" customWidth="1"/>
    <col min="19" max="19" width="14.7109375" bestFit="1" customWidth="1"/>
  </cols>
  <sheetData>
    <row r="2" spans="2:21" ht="18">
      <c r="B2" s="200" t="s">
        <v>366</v>
      </c>
      <c r="C2" s="201"/>
      <c r="D2" s="201"/>
      <c r="E2" s="201"/>
      <c r="F2" s="201"/>
      <c r="G2" s="201"/>
      <c r="H2" s="201"/>
      <c r="I2" s="201"/>
      <c r="J2" s="201"/>
      <c r="K2" s="202"/>
      <c r="L2" s="137"/>
      <c r="M2" s="117"/>
      <c r="R2" s="120"/>
      <c r="S2" s="199" t="s">
        <v>64</v>
      </c>
      <c r="T2" s="199"/>
      <c r="U2" s="199"/>
    </row>
    <row r="3" spans="2:21" ht="63" customHeight="1">
      <c r="B3" s="118" t="s">
        <v>367</v>
      </c>
      <c r="C3" s="118" t="s">
        <v>189</v>
      </c>
      <c r="D3" s="118" t="s">
        <v>368</v>
      </c>
      <c r="E3" s="118" t="s">
        <v>369</v>
      </c>
      <c r="F3" s="118" t="s">
        <v>370</v>
      </c>
      <c r="G3" s="118" t="s">
        <v>371</v>
      </c>
      <c r="H3" s="118" t="s">
        <v>372</v>
      </c>
      <c r="I3" s="118" t="s">
        <v>373</v>
      </c>
      <c r="J3" s="118" t="s">
        <v>374</v>
      </c>
      <c r="K3" s="118" t="s">
        <v>438</v>
      </c>
      <c r="L3" s="118" t="s">
        <v>433</v>
      </c>
      <c r="M3" s="118" t="s">
        <v>434</v>
      </c>
      <c r="N3" s="118" t="s">
        <v>435</v>
      </c>
      <c r="S3" s="118" t="s">
        <v>433</v>
      </c>
      <c r="T3" s="118" t="s">
        <v>434</v>
      </c>
      <c r="U3" s="118" t="s">
        <v>435</v>
      </c>
    </row>
    <row r="4" spans="2:21">
      <c r="B4" s="97" t="s">
        <v>375</v>
      </c>
      <c r="C4" s="1">
        <v>128.6</v>
      </c>
      <c r="D4" s="1">
        <v>4</v>
      </c>
      <c r="E4" s="1">
        <f>C4/D4</f>
        <v>32.15</v>
      </c>
      <c r="F4" s="1">
        <v>1</v>
      </c>
      <c r="G4" s="1">
        <f t="shared" ref="G4:G19" si="0">E4*F4*$G$23*$G$24</f>
        <v>45.974500000000006</v>
      </c>
      <c r="H4" s="1">
        <v>1</v>
      </c>
      <c r="I4" s="1">
        <v>1</v>
      </c>
      <c r="J4" s="1">
        <f>G4*H4*I4</f>
        <v>45.974500000000006</v>
      </c>
      <c r="K4" s="117">
        <f>_xlfn.CEILING.MATH(J4)</f>
        <v>46</v>
      </c>
      <c r="L4" s="119" t="s">
        <v>436</v>
      </c>
      <c r="M4" s="119"/>
      <c r="N4" s="117"/>
      <c r="O4">
        <f>IF(L4="+",$K4,"")</f>
        <v>46</v>
      </c>
      <c r="P4" t="str">
        <f t="shared" ref="P4:Q4" si="1">IF(M4="+",$K4,"")</f>
        <v/>
      </c>
      <c r="Q4" t="str">
        <f t="shared" si="1"/>
        <v/>
      </c>
      <c r="S4" s="117">
        <f>SUM(O4:O19)</f>
        <v>386</v>
      </c>
      <c r="T4" s="117">
        <f t="shared" ref="T4:U4" si="2">SUM(P4:P19)</f>
        <v>59</v>
      </c>
      <c r="U4" s="117">
        <f t="shared" si="2"/>
        <v>104</v>
      </c>
    </row>
    <row r="5" spans="2:21">
      <c r="B5" s="97" t="s">
        <v>376</v>
      </c>
      <c r="C5" s="1">
        <v>58.968000000000004</v>
      </c>
      <c r="D5" s="1">
        <v>8</v>
      </c>
      <c r="E5" s="1">
        <f t="shared" ref="E5:E17" si="3">C5/D5</f>
        <v>7.3710000000000004</v>
      </c>
      <c r="F5" s="1">
        <v>3</v>
      </c>
      <c r="G5" s="1">
        <f t="shared" si="0"/>
        <v>31.621590000000001</v>
      </c>
      <c r="H5" s="1">
        <v>1</v>
      </c>
      <c r="I5" s="1">
        <v>1</v>
      </c>
      <c r="J5" s="1">
        <f t="shared" ref="J5:J18" si="4">G5*H5*I5</f>
        <v>31.621590000000001</v>
      </c>
      <c r="K5" s="117">
        <f>_xlfn.CEILING.MATH(J5)</f>
        <v>32</v>
      </c>
      <c r="L5" s="119" t="s">
        <v>436</v>
      </c>
      <c r="M5" s="119"/>
      <c r="N5" s="117"/>
      <c r="O5">
        <f t="shared" ref="O5:O19" si="5">IF(L5="+",$K5,"")</f>
        <v>32</v>
      </c>
      <c r="P5" t="str">
        <f t="shared" ref="P5:P19" si="6">IF(M5="+",$K5,"")</f>
        <v/>
      </c>
      <c r="Q5" t="str">
        <f t="shared" ref="Q5:Q19" si="7">IF(N5="+",$K5,"")</f>
        <v/>
      </c>
      <c r="R5" t="s">
        <v>440</v>
      </c>
      <c r="S5" s="128">
        <v>420</v>
      </c>
      <c r="T5" s="128">
        <v>360</v>
      </c>
      <c r="U5" s="128">
        <v>110</v>
      </c>
    </row>
    <row r="6" spans="2:21">
      <c r="B6" s="97" t="s">
        <v>377</v>
      </c>
      <c r="C6" s="1">
        <v>58.968000000000004</v>
      </c>
      <c r="D6" s="1">
        <v>8</v>
      </c>
      <c r="E6" s="1">
        <f>C6/D6</f>
        <v>7.3710000000000004</v>
      </c>
      <c r="F6" s="1">
        <v>2</v>
      </c>
      <c r="G6" s="1">
        <f t="shared" si="0"/>
        <v>21.081060000000001</v>
      </c>
      <c r="H6" s="1">
        <v>6</v>
      </c>
      <c r="I6" s="1">
        <v>0.6</v>
      </c>
      <c r="J6" s="1">
        <f>G6*H6*I6</f>
        <v>75.891816000000006</v>
      </c>
      <c r="K6" s="117">
        <f t="shared" ref="K6:K19" si="8">_xlfn.CEILING.MATH(J6)</f>
        <v>76</v>
      </c>
      <c r="L6" s="119" t="s">
        <v>436</v>
      </c>
      <c r="M6" s="119"/>
      <c r="N6" s="117"/>
      <c r="O6">
        <f t="shared" si="5"/>
        <v>76</v>
      </c>
      <c r="P6" t="str">
        <f t="shared" si="6"/>
        <v/>
      </c>
      <c r="Q6" t="str">
        <f t="shared" si="7"/>
        <v/>
      </c>
      <c r="S6" t="s">
        <v>433</v>
      </c>
      <c r="T6" s="121" t="s">
        <v>439</v>
      </c>
    </row>
    <row r="7" spans="2:21">
      <c r="B7" s="97" t="s">
        <v>378</v>
      </c>
      <c r="C7" s="1">
        <v>11.544</v>
      </c>
      <c r="D7" s="1">
        <v>4</v>
      </c>
      <c r="E7" s="1">
        <f t="shared" si="3"/>
        <v>2.8860000000000001</v>
      </c>
      <c r="F7" s="1">
        <v>4</v>
      </c>
      <c r="G7" s="1">
        <f t="shared" si="0"/>
        <v>16.507920000000002</v>
      </c>
      <c r="H7" s="1">
        <v>1.2</v>
      </c>
      <c r="I7" s="1">
        <v>0.6</v>
      </c>
      <c r="J7" s="1">
        <f t="shared" si="4"/>
        <v>11.8857024</v>
      </c>
      <c r="K7" s="117">
        <f t="shared" si="8"/>
        <v>12</v>
      </c>
      <c r="L7" s="119"/>
      <c r="M7" s="119" t="s">
        <v>436</v>
      </c>
      <c r="N7" s="117"/>
      <c r="O7" t="str">
        <f t="shared" si="5"/>
        <v/>
      </c>
      <c r="P7">
        <f t="shared" si="6"/>
        <v>12</v>
      </c>
      <c r="Q7" t="str">
        <f t="shared" si="7"/>
        <v/>
      </c>
      <c r="S7" t="s">
        <v>441</v>
      </c>
      <c r="T7" s="121" t="s">
        <v>442</v>
      </c>
    </row>
    <row r="8" spans="2:21" ht="30">
      <c r="B8" s="97" t="s">
        <v>379</v>
      </c>
      <c r="C8" s="1">
        <v>45</v>
      </c>
      <c r="D8" s="1">
        <v>10</v>
      </c>
      <c r="E8" s="1">
        <f>C8/D8</f>
        <v>4.5</v>
      </c>
      <c r="F8" s="1">
        <v>5</v>
      </c>
      <c r="G8" s="1">
        <f t="shared" si="0"/>
        <v>32.175000000000004</v>
      </c>
      <c r="H8" s="1">
        <v>0.5</v>
      </c>
      <c r="I8" s="1">
        <v>1</v>
      </c>
      <c r="J8" s="1">
        <f>G8*H8*I8</f>
        <v>16.087500000000002</v>
      </c>
      <c r="K8" s="117">
        <f t="shared" si="8"/>
        <v>17</v>
      </c>
      <c r="L8" s="119"/>
      <c r="M8" s="119" t="s">
        <v>436</v>
      </c>
      <c r="N8" s="117"/>
      <c r="O8" t="str">
        <f t="shared" si="5"/>
        <v/>
      </c>
      <c r="P8">
        <f t="shared" si="6"/>
        <v>17</v>
      </c>
      <c r="Q8" t="str">
        <f t="shared" si="7"/>
        <v/>
      </c>
      <c r="S8">
        <v>12</v>
      </c>
      <c r="T8">
        <v>12</v>
      </c>
    </row>
    <row r="9" spans="2:21" ht="30">
      <c r="B9" s="97" t="s">
        <v>380</v>
      </c>
      <c r="C9" s="1">
        <v>147</v>
      </c>
      <c r="D9" s="1">
        <v>21</v>
      </c>
      <c r="E9" s="1">
        <f t="shared" si="3"/>
        <v>7</v>
      </c>
      <c r="F9" s="1">
        <v>3</v>
      </c>
      <c r="G9" s="1">
        <f t="shared" si="0"/>
        <v>30.03</v>
      </c>
      <c r="H9" s="1">
        <v>0.8</v>
      </c>
      <c r="I9" s="1">
        <v>0.8</v>
      </c>
      <c r="J9" s="1">
        <f t="shared" si="4"/>
        <v>19.219200000000001</v>
      </c>
      <c r="K9" s="117">
        <f t="shared" si="8"/>
        <v>20</v>
      </c>
      <c r="L9" s="119"/>
      <c r="M9" s="119"/>
      <c r="N9" s="119" t="s">
        <v>436</v>
      </c>
      <c r="O9" t="str">
        <f t="shared" si="5"/>
        <v/>
      </c>
      <c r="P9" t="str">
        <f t="shared" si="6"/>
        <v/>
      </c>
      <c r="Q9">
        <f t="shared" si="7"/>
        <v>20</v>
      </c>
      <c r="S9">
        <v>35</v>
      </c>
      <c r="T9">
        <v>30</v>
      </c>
    </row>
    <row r="10" spans="2:21" ht="30">
      <c r="B10" s="97" t="s">
        <v>391</v>
      </c>
      <c r="C10" s="1">
        <v>346.5</v>
      </c>
      <c r="D10" s="1">
        <v>15</v>
      </c>
      <c r="E10" s="1">
        <f t="shared" si="3"/>
        <v>23.1</v>
      </c>
      <c r="F10" s="1">
        <v>3</v>
      </c>
      <c r="G10" s="1">
        <f t="shared" si="0"/>
        <v>99.099000000000032</v>
      </c>
      <c r="H10" s="1">
        <v>0.8</v>
      </c>
      <c r="I10" s="1">
        <v>0.8</v>
      </c>
      <c r="J10" s="1">
        <f t="shared" si="4"/>
        <v>63.423360000000031</v>
      </c>
      <c r="K10" s="117">
        <f t="shared" si="8"/>
        <v>64</v>
      </c>
      <c r="L10" s="119"/>
      <c r="M10" s="119"/>
      <c r="N10" s="119" t="s">
        <v>436</v>
      </c>
      <c r="O10" t="str">
        <f t="shared" si="5"/>
        <v/>
      </c>
      <c r="P10" t="str">
        <f t="shared" si="6"/>
        <v/>
      </c>
      <c r="Q10">
        <f t="shared" si="7"/>
        <v>64</v>
      </c>
    </row>
    <row r="11" spans="2:21" ht="45">
      <c r="B11" s="97" t="s">
        <v>390</v>
      </c>
      <c r="C11" s="1">
        <v>0.24959999999999999</v>
      </c>
      <c r="D11" s="1">
        <v>6</v>
      </c>
      <c r="E11" s="1">
        <f t="shared" si="3"/>
        <v>4.1599999999999998E-2</v>
      </c>
      <c r="F11" s="1">
        <v>1</v>
      </c>
      <c r="G11" s="1">
        <f t="shared" si="0"/>
        <v>5.9488000000000006E-2</v>
      </c>
      <c r="H11" s="1">
        <v>1</v>
      </c>
      <c r="I11" s="1">
        <v>0.6</v>
      </c>
      <c r="J11" s="1">
        <f t="shared" si="4"/>
        <v>3.5692800000000004E-2</v>
      </c>
      <c r="K11" s="117">
        <f t="shared" si="8"/>
        <v>1</v>
      </c>
      <c r="L11" s="119"/>
      <c r="M11" s="119"/>
      <c r="N11" s="119" t="s">
        <v>436</v>
      </c>
      <c r="O11" t="str">
        <f t="shared" si="5"/>
        <v/>
      </c>
      <c r="P11" t="str">
        <f t="shared" si="6"/>
        <v/>
      </c>
      <c r="Q11">
        <f t="shared" si="7"/>
        <v>1</v>
      </c>
    </row>
    <row r="12" spans="2:21">
      <c r="B12" s="97" t="s">
        <v>381</v>
      </c>
      <c r="C12" s="1">
        <v>1304.7840000000001</v>
      </c>
      <c r="D12" s="1">
        <v>26</v>
      </c>
      <c r="E12" s="1">
        <f t="shared" si="3"/>
        <v>50.184000000000005</v>
      </c>
      <c r="F12" s="1">
        <v>3</v>
      </c>
      <c r="G12" s="1">
        <f t="shared" si="0"/>
        <v>215.28936000000004</v>
      </c>
      <c r="H12" s="1">
        <v>1</v>
      </c>
      <c r="I12" s="1">
        <v>1</v>
      </c>
      <c r="J12" s="1">
        <f t="shared" si="4"/>
        <v>215.28936000000004</v>
      </c>
      <c r="K12" s="117">
        <f t="shared" si="8"/>
        <v>216</v>
      </c>
      <c r="L12" s="119" t="s">
        <v>436</v>
      </c>
      <c r="M12" s="119"/>
      <c r="N12" s="117"/>
      <c r="O12">
        <f t="shared" si="5"/>
        <v>216</v>
      </c>
      <c r="P12" t="str">
        <f t="shared" si="6"/>
        <v/>
      </c>
      <c r="Q12" t="str">
        <f t="shared" si="7"/>
        <v/>
      </c>
    </row>
    <row r="13" spans="2:21" ht="30">
      <c r="B13" s="97" t="s">
        <v>382</v>
      </c>
      <c r="C13" s="1">
        <v>73.337999999999994</v>
      </c>
      <c r="D13" s="1">
        <v>11</v>
      </c>
      <c r="E13" s="1">
        <f t="shared" si="3"/>
        <v>6.6670909090909083</v>
      </c>
      <c r="F13" s="1">
        <v>2</v>
      </c>
      <c r="G13" s="1">
        <f t="shared" si="0"/>
        <v>19.067880000000002</v>
      </c>
      <c r="H13" s="1">
        <v>0.5</v>
      </c>
      <c r="I13" s="1">
        <v>1</v>
      </c>
      <c r="J13" s="1">
        <f t="shared" si="4"/>
        <v>9.5339400000000012</v>
      </c>
      <c r="K13" s="117">
        <f t="shared" si="8"/>
        <v>10</v>
      </c>
      <c r="L13" s="119" t="s">
        <v>436</v>
      </c>
      <c r="M13" s="119"/>
      <c r="N13" s="117"/>
      <c r="O13">
        <f t="shared" si="5"/>
        <v>10</v>
      </c>
      <c r="P13" t="str">
        <f t="shared" si="6"/>
        <v/>
      </c>
      <c r="Q13" t="str">
        <f t="shared" si="7"/>
        <v/>
      </c>
    </row>
    <row r="14" spans="2:21">
      <c r="B14" s="97" t="s">
        <v>437</v>
      </c>
      <c r="C14" s="1">
        <v>64</v>
      </c>
      <c r="D14" s="1">
        <v>10</v>
      </c>
      <c r="E14" s="1">
        <f>C14/D14</f>
        <v>6.4</v>
      </c>
      <c r="F14" s="1">
        <v>1</v>
      </c>
      <c r="G14" s="1">
        <f t="shared" si="0"/>
        <v>9.152000000000001</v>
      </c>
      <c r="H14" s="1">
        <v>0.5</v>
      </c>
      <c r="I14" s="1">
        <v>1</v>
      </c>
      <c r="J14" s="1">
        <f>G14*H14*I14</f>
        <v>4.5760000000000005</v>
      </c>
      <c r="K14" s="117">
        <f t="shared" si="8"/>
        <v>5</v>
      </c>
      <c r="L14" s="119" t="s">
        <v>436</v>
      </c>
      <c r="M14" s="119"/>
      <c r="N14" s="117"/>
      <c r="O14">
        <f t="shared" si="5"/>
        <v>5</v>
      </c>
      <c r="P14" t="str">
        <f t="shared" si="6"/>
        <v/>
      </c>
      <c r="Q14" t="str">
        <f t="shared" si="7"/>
        <v/>
      </c>
    </row>
    <row r="15" spans="2:21" ht="30">
      <c r="B15" s="97" t="s">
        <v>383</v>
      </c>
      <c r="C15" s="1">
        <v>0.7</v>
      </c>
      <c r="D15" s="1">
        <v>10</v>
      </c>
      <c r="E15" s="1">
        <f>C15/D15</f>
        <v>6.9999999999999993E-2</v>
      </c>
      <c r="F15" s="1">
        <v>1</v>
      </c>
      <c r="G15" s="1">
        <f t="shared" si="0"/>
        <v>0.10010000000000001</v>
      </c>
      <c r="H15" s="1">
        <v>1</v>
      </c>
      <c r="I15" s="1">
        <v>1</v>
      </c>
      <c r="J15" s="1">
        <f>G15*H15*I15</f>
        <v>0.10010000000000001</v>
      </c>
      <c r="K15" s="117">
        <f t="shared" si="8"/>
        <v>1</v>
      </c>
      <c r="L15" s="119" t="s">
        <v>436</v>
      </c>
      <c r="M15" s="119"/>
      <c r="N15" s="117"/>
      <c r="O15">
        <f t="shared" si="5"/>
        <v>1</v>
      </c>
      <c r="P15" t="str">
        <f t="shared" si="6"/>
        <v/>
      </c>
      <c r="Q15" t="str">
        <f t="shared" si="7"/>
        <v/>
      </c>
    </row>
    <row r="16" spans="2:21" ht="30">
      <c r="B16" s="97" t="s">
        <v>384</v>
      </c>
      <c r="C16" s="1">
        <v>68.28</v>
      </c>
      <c r="D16" s="1">
        <v>16</v>
      </c>
      <c r="E16" s="1">
        <f t="shared" si="3"/>
        <v>4.2675000000000001</v>
      </c>
      <c r="F16" s="1">
        <v>3</v>
      </c>
      <c r="G16" s="1">
        <f t="shared" si="0"/>
        <v>18.307575</v>
      </c>
      <c r="H16" s="1">
        <v>1</v>
      </c>
      <c r="I16" s="1">
        <v>1</v>
      </c>
      <c r="J16" s="1">
        <f t="shared" si="4"/>
        <v>18.307575</v>
      </c>
      <c r="K16" s="117">
        <f t="shared" si="8"/>
        <v>19</v>
      </c>
      <c r="L16" s="119"/>
      <c r="M16" s="119"/>
      <c r="N16" s="119" t="s">
        <v>436</v>
      </c>
      <c r="O16" t="str">
        <f t="shared" si="5"/>
        <v/>
      </c>
      <c r="P16" t="str">
        <f t="shared" si="6"/>
        <v/>
      </c>
      <c r="Q16">
        <f t="shared" si="7"/>
        <v>19</v>
      </c>
    </row>
    <row r="17" spans="2:17" ht="30">
      <c r="B17" s="97" t="s">
        <v>385</v>
      </c>
      <c r="C17" s="1">
        <v>19.25</v>
      </c>
      <c r="D17" s="1">
        <v>9</v>
      </c>
      <c r="E17" s="1">
        <f t="shared" si="3"/>
        <v>2.1388888888888888</v>
      </c>
      <c r="F17" s="1">
        <v>6</v>
      </c>
      <c r="G17" s="1">
        <f t="shared" si="0"/>
        <v>18.351666666666667</v>
      </c>
      <c r="H17" s="1">
        <v>1</v>
      </c>
      <c r="I17" s="1">
        <v>1</v>
      </c>
      <c r="J17" s="1">
        <f t="shared" si="4"/>
        <v>18.351666666666667</v>
      </c>
      <c r="K17" s="117">
        <f t="shared" si="8"/>
        <v>19</v>
      </c>
      <c r="L17" s="119"/>
      <c r="M17" s="119" t="s">
        <v>436</v>
      </c>
      <c r="N17" s="117"/>
      <c r="O17" t="str">
        <f t="shared" si="5"/>
        <v/>
      </c>
      <c r="P17">
        <f t="shared" si="6"/>
        <v>19</v>
      </c>
      <c r="Q17" t="str">
        <f t="shared" si="7"/>
        <v/>
      </c>
    </row>
    <row r="18" spans="2:17" ht="30">
      <c r="B18" s="97" t="s">
        <v>386</v>
      </c>
      <c r="C18" s="1">
        <v>5.3849999999999998</v>
      </c>
      <c r="D18" s="1">
        <v>9</v>
      </c>
      <c r="E18" s="1">
        <f>C18/D18</f>
        <v>0.59833333333333327</v>
      </c>
      <c r="F18" s="1">
        <v>6</v>
      </c>
      <c r="G18" s="1">
        <f t="shared" si="0"/>
        <v>5.1337000000000002</v>
      </c>
      <c r="H18" s="1">
        <v>1</v>
      </c>
      <c r="I18" s="1">
        <v>1</v>
      </c>
      <c r="J18" s="1">
        <f t="shared" si="4"/>
        <v>5.1337000000000002</v>
      </c>
      <c r="K18" s="117">
        <f t="shared" si="8"/>
        <v>6</v>
      </c>
      <c r="L18" s="119"/>
      <c r="M18" s="119" t="s">
        <v>436</v>
      </c>
      <c r="N18" s="117"/>
      <c r="O18" t="str">
        <f t="shared" si="5"/>
        <v/>
      </c>
      <c r="P18">
        <f t="shared" si="6"/>
        <v>6</v>
      </c>
      <c r="Q18" t="str">
        <f t="shared" si="7"/>
        <v/>
      </c>
    </row>
    <row r="19" spans="2:17">
      <c r="B19" s="97" t="s">
        <v>387</v>
      </c>
      <c r="C19" s="1">
        <v>114.3</v>
      </c>
      <c r="D19" s="1">
        <v>40</v>
      </c>
      <c r="E19" s="1">
        <f>C19/D19</f>
        <v>2.8574999999999999</v>
      </c>
      <c r="F19" s="1">
        <v>2</v>
      </c>
      <c r="G19" s="1">
        <f t="shared" si="0"/>
        <v>8.1724500000000013</v>
      </c>
      <c r="H19" s="1">
        <v>0.5</v>
      </c>
      <c r="I19" s="1">
        <v>1</v>
      </c>
      <c r="J19" s="1">
        <f>G19*H19*I19</f>
        <v>4.0862250000000007</v>
      </c>
      <c r="K19" s="117">
        <f t="shared" si="8"/>
        <v>5</v>
      </c>
      <c r="L19" s="119"/>
      <c r="M19" s="119" t="s">
        <v>436</v>
      </c>
      <c r="N19" s="117"/>
      <c r="O19" t="str">
        <f t="shared" si="5"/>
        <v/>
      </c>
      <c r="P19">
        <f t="shared" si="6"/>
        <v>5</v>
      </c>
      <c r="Q19" t="str">
        <f t="shared" si="7"/>
        <v/>
      </c>
    </row>
    <row r="23" spans="2:17" ht="15.75">
      <c r="F23" s="98" t="s">
        <v>388</v>
      </c>
      <c r="G23" s="72">
        <v>1.1000000000000001</v>
      </c>
    </row>
    <row r="24" spans="2:17" ht="15.75">
      <c r="F24" s="98" t="s">
        <v>389</v>
      </c>
      <c r="G24" s="72">
        <v>1.3</v>
      </c>
    </row>
  </sheetData>
  <mergeCells count="2">
    <mergeCell ref="S2:U2"/>
    <mergeCell ref="B2:K2"/>
  </mergeCells>
  <hyperlinks>
    <hyperlink ref="T6" r:id="rId1" xr:uid="{73589BE3-7A45-496C-A529-5B58B84644CF}"/>
    <hyperlink ref="T7" r:id="rId2" xr:uid="{04DCC737-9640-45B7-980F-A9D9550CF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813B-7163-427F-AE85-C0CA7841D8D4}">
  <sheetPr codeName="Лист5"/>
  <dimension ref="A17:I51"/>
  <sheetViews>
    <sheetView topLeftCell="A28" zoomScale="130" zoomScaleNormal="130" workbookViewId="0">
      <selection activeCell="A41" sqref="A41"/>
    </sheetView>
  </sheetViews>
  <sheetFormatPr defaultRowHeight="15"/>
  <cols>
    <col min="1" max="1" width="27.5703125" customWidth="1"/>
  </cols>
  <sheetData>
    <row r="17" spans="1:4">
      <c r="A17" s="25">
        <v>4.0999999999999996</v>
      </c>
    </row>
    <row r="18" spans="1:4" ht="15.75">
      <c r="A18" s="83"/>
    </row>
    <row r="19" spans="1:4" ht="18.75">
      <c r="A19" s="5" t="s">
        <v>316</v>
      </c>
      <c r="B19" t="s">
        <v>317</v>
      </c>
      <c r="C19" s="5">
        <v>13.6</v>
      </c>
    </row>
    <row r="20" spans="1:4" ht="18.75">
      <c r="A20" s="5" t="s">
        <v>318</v>
      </c>
      <c r="B20" t="s">
        <v>317</v>
      </c>
      <c r="C20" s="5">
        <v>3.3</v>
      </c>
    </row>
    <row r="21" spans="1:4" ht="18.75">
      <c r="A21" s="5" t="s">
        <v>319</v>
      </c>
      <c r="B21" t="s">
        <v>317</v>
      </c>
      <c r="C21" s="5">
        <v>0.5</v>
      </c>
    </row>
    <row r="22" spans="1:4" ht="18.75">
      <c r="A22" s="5" t="s">
        <v>320</v>
      </c>
      <c r="B22" t="s">
        <v>317</v>
      </c>
      <c r="C22" s="5">
        <v>2.8</v>
      </c>
    </row>
    <row r="24" spans="1:4" ht="15.75">
      <c r="A24" s="84" t="s">
        <v>321</v>
      </c>
      <c r="B24" t="s">
        <v>317</v>
      </c>
      <c r="C24">
        <f>C19+C20+C21+C22</f>
        <v>20.2</v>
      </c>
      <c r="D24" s="85" t="s">
        <v>322</v>
      </c>
    </row>
    <row r="27" spans="1:4" ht="15.75">
      <c r="A27" s="5" t="s">
        <v>323</v>
      </c>
      <c r="B27" t="s">
        <v>317</v>
      </c>
      <c r="C27" s="5">
        <v>6</v>
      </c>
    </row>
    <row r="28" spans="1:4" ht="15.75">
      <c r="A28" s="5" t="s">
        <v>324</v>
      </c>
      <c r="B28" t="s">
        <v>317</v>
      </c>
      <c r="C28" s="5">
        <v>8</v>
      </c>
    </row>
    <row r="29" spans="1:4" ht="15.75">
      <c r="A29" s="5" t="s">
        <v>325</v>
      </c>
      <c r="B29" t="s">
        <v>317</v>
      </c>
      <c r="C29" s="5">
        <v>27</v>
      </c>
    </row>
    <row r="31" spans="1:4" ht="18.75">
      <c r="A31" s="86" t="s">
        <v>326</v>
      </c>
      <c r="B31" t="s">
        <v>317</v>
      </c>
      <c r="C31">
        <f>C27/2+C28+C29</f>
        <v>38</v>
      </c>
      <c r="D31" s="5" t="s">
        <v>327</v>
      </c>
    </row>
    <row r="34" spans="1:9" ht="18.75">
      <c r="A34" s="5" t="s">
        <v>328</v>
      </c>
      <c r="B34" t="s">
        <v>317</v>
      </c>
      <c r="C34" s="5">
        <v>3.17</v>
      </c>
    </row>
    <row r="35" spans="1:9" ht="18.75">
      <c r="A35" s="5" t="s">
        <v>329</v>
      </c>
      <c r="B35" t="s">
        <v>317</v>
      </c>
      <c r="C35" s="5">
        <v>0.32</v>
      </c>
    </row>
    <row r="37" spans="1:9" ht="18.75">
      <c r="A37" s="86" t="s">
        <v>330</v>
      </c>
      <c r="B37" t="s">
        <v>317</v>
      </c>
      <c r="C37">
        <f>C34+C35</f>
        <v>3.4899999999999998</v>
      </c>
      <c r="D37" s="5" t="s">
        <v>331</v>
      </c>
    </row>
    <row r="40" spans="1:9" ht="15.75">
      <c r="A40" s="87" t="s">
        <v>332</v>
      </c>
      <c r="B40" s="87"/>
      <c r="C40" s="87"/>
      <c r="D40" s="87"/>
      <c r="E40" s="87"/>
      <c r="F40" s="87"/>
      <c r="G40" s="87"/>
      <c r="H40" s="87"/>
      <c r="I40" s="87"/>
    </row>
    <row r="41" spans="1:9" ht="15.75">
      <c r="A41" s="88" t="s">
        <v>333</v>
      </c>
      <c r="B41" s="87"/>
      <c r="C41" s="87"/>
      <c r="D41" s="87"/>
      <c r="E41" s="87"/>
      <c r="F41" s="87"/>
      <c r="G41" s="87"/>
      <c r="H41" s="87"/>
      <c r="I41" s="87"/>
    </row>
    <row r="42" spans="1:9" ht="15.75">
      <c r="A42" s="87" t="s">
        <v>334</v>
      </c>
      <c r="B42" s="87"/>
      <c r="C42" s="87"/>
      <c r="D42" s="87"/>
      <c r="E42" s="87"/>
      <c r="F42" s="87"/>
      <c r="G42" s="87"/>
      <c r="H42" s="87"/>
      <c r="I42" s="87"/>
    </row>
    <row r="43" spans="1:9" ht="15.75">
      <c r="A43" s="87" t="s">
        <v>335</v>
      </c>
      <c r="B43" s="87"/>
      <c r="C43" s="87"/>
      <c r="D43" s="87"/>
      <c r="E43" s="87"/>
      <c r="F43" s="87"/>
      <c r="G43" s="87"/>
      <c r="H43" s="87"/>
      <c r="I43" s="87"/>
    </row>
    <row r="44" spans="1:9" ht="15.75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.75">
      <c r="A45" s="89">
        <v>4.2</v>
      </c>
      <c r="B45" s="87"/>
      <c r="C45" s="87"/>
      <c r="D45" s="87"/>
      <c r="E45" s="87"/>
      <c r="F45" s="87"/>
      <c r="G45" s="87"/>
      <c r="H45" s="87"/>
      <c r="I45" s="87"/>
    </row>
    <row r="46" spans="1:9" ht="15.75">
      <c r="A46" s="87"/>
      <c r="B46" s="87"/>
      <c r="C46" s="87"/>
      <c r="D46" s="87"/>
      <c r="E46" s="87"/>
      <c r="F46" s="87"/>
      <c r="G46" s="87"/>
      <c r="H46" s="87"/>
      <c r="I46" s="87"/>
    </row>
    <row r="47" spans="1:9" ht="15.75">
      <c r="A47" s="87" t="s">
        <v>336</v>
      </c>
      <c r="C47" s="25">
        <f>C31</f>
        <v>38</v>
      </c>
    </row>
    <row r="48" spans="1:9" ht="15.75">
      <c r="A48" s="87"/>
    </row>
    <row r="49" spans="1:4" ht="15.75">
      <c r="A49" s="87" t="s">
        <v>337</v>
      </c>
      <c r="D49" s="25">
        <f>C47+0.5*3</f>
        <v>39.5</v>
      </c>
    </row>
    <row r="51" spans="1:4" ht="15.75">
      <c r="A51" s="87" t="s">
        <v>338</v>
      </c>
      <c r="C51" s="25">
        <f>C47+0.5*0.75+4+3</f>
        <v>45.375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4A0-8FE0-464A-B6B9-B6195D13FB3F}">
  <sheetPr codeName="Лист6"/>
  <dimension ref="B2:L22"/>
  <sheetViews>
    <sheetView topLeftCell="A16" zoomScale="70" zoomScaleNormal="70" workbookViewId="0">
      <selection activeCell="C6" sqref="C6"/>
    </sheetView>
  </sheetViews>
  <sheetFormatPr defaultRowHeight="15"/>
  <cols>
    <col min="3" max="3" width="29.7109375" bestFit="1" customWidth="1"/>
    <col min="4" max="4" width="31.42578125" bestFit="1" customWidth="1"/>
    <col min="5" max="5" width="17.7109375" bestFit="1" customWidth="1"/>
    <col min="7" max="7" width="17.28515625" customWidth="1"/>
  </cols>
  <sheetData>
    <row r="2" spans="2:12" ht="31.5">
      <c r="B2" s="75" t="s">
        <v>15</v>
      </c>
      <c r="C2" s="75" t="s">
        <v>339</v>
      </c>
      <c r="D2" s="15" t="s">
        <v>340</v>
      </c>
      <c r="E2" s="75" t="s">
        <v>341</v>
      </c>
    </row>
    <row r="3" spans="2:12" ht="47.25">
      <c r="B3" s="75">
        <v>1</v>
      </c>
      <c r="C3" s="15" t="s">
        <v>342</v>
      </c>
      <c r="D3" s="10" t="s">
        <v>359</v>
      </c>
      <c r="E3" s="75">
        <v>1</v>
      </c>
      <c r="G3" s="138"/>
    </row>
    <row r="4" spans="2:12" ht="78.75">
      <c r="B4" s="75">
        <f>B3+1</f>
        <v>2</v>
      </c>
      <c r="C4" s="15" t="s">
        <v>343</v>
      </c>
      <c r="D4" s="10" t="s">
        <v>360</v>
      </c>
      <c r="E4" s="75">
        <v>1</v>
      </c>
      <c r="G4" s="56"/>
    </row>
    <row r="5" spans="2:12" ht="31.5">
      <c r="B5" s="75">
        <f t="shared" ref="B5:B18" si="0">B4+1</f>
        <v>3</v>
      </c>
      <c r="C5" s="15" t="s">
        <v>345</v>
      </c>
      <c r="D5" s="6" t="s">
        <v>12</v>
      </c>
      <c r="E5" s="75">
        <v>1</v>
      </c>
      <c r="G5" s="56"/>
    </row>
    <row r="6" spans="2:12" ht="15.75">
      <c r="B6" s="75">
        <f t="shared" si="0"/>
        <v>4</v>
      </c>
      <c r="C6" s="93" t="s">
        <v>361</v>
      </c>
      <c r="D6" s="6" t="s">
        <v>43</v>
      </c>
      <c r="E6" s="75">
        <v>1</v>
      </c>
      <c r="G6" s="74"/>
    </row>
    <row r="7" spans="2:12" ht="31.5">
      <c r="B7" s="75">
        <f t="shared" si="0"/>
        <v>5</v>
      </c>
      <c r="C7" s="15" t="s">
        <v>352</v>
      </c>
      <c r="D7" s="6" t="s">
        <v>48</v>
      </c>
      <c r="E7" s="75">
        <v>1</v>
      </c>
      <c r="G7" s="56"/>
    </row>
    <row r="8" spans="2:12" ht="94.5">
      <c r="B8" s="75">
        <f t="shared" si="0"/>
        <v>6</v>
      </c>
      <c r="C8" s="94" t="s">
        <v>363</v>
      </c>
      <c r="D8" s="68" t="s">
        <v>355</v>
      </c>
      <c r="E8" s="75">
        <v>1</v>
      </c>
      <c r="G8" s="138"/>
    </row>
    <row r="9" spans="2:12" ht="47.25">
      <c r="B9" s="75">
        <f t="shared" si="0"/>
        <v>7</v>
      </c>
      <c r="C9" s="15" t="s">
        <v>346</v>
      </c>
      <c r="D9" s="6" t="s">
        <v>62</v>
      </c>
      <c r="E9" s="75">
        <v>1</v>
      </c>
      <c r="G9" s="138"/>
    </row>
    <row r="10" spans="2:12" ht="63">
      <c r="B10" s="75">
        <f t="shared" si="0"/>
        <v>8</v>
      </c>
      <c r="C10" s="68" t="s">
        <v>362</v>
      </c>
      <c r="D10" s="6" t="s">
        <v>67</v>
      </c>
      <c r="E10" s="75">
        <v>1</v>
      </c>
      <c r="G10" s="139"/>
    </row>
    <row r="11" spans="2:12" ht="63">
      <c r="B11" s="75">
        <f t="shared" si="0"/>
        <v>9</v>
      </c>
      <c r="C11" s="15" t="s">
        <v>348</v>
      </c>
      <c r="D11" s="68" t="s">
        <v>353</v>
      </c>
      <c r="E11" s="75">
        <v>3</v>
      </c>
      <c r="G11" s="56"/>
    </row>
    <row r="12" spans="2:12" ht="31.5">
      <c r="B12" s="75">
        <f t="shared" si="0"/>
        <v>10</v>
      </c>
      <c r="C12" s="15" t="s">
        <v>344</v>
      </c>
      <c r="D12" s="6" t="s">
        <v>57</v>
      </c>
      <c r="E12" s="75">
        <v>2</v>
      </c>
      <c r="G12" s="68"/>
      <c r="L12" s="91"/>
    </row>
    <row r="13" spans="2:12" ht="15.75">
      <c r="B13" s="75">
        <f t="shared" si="0"/>
        <v>11</v>
      </c>
      <c r="C13" s="68" t="s">
        <v>364</v>
      </c>
      <c r="D13" s="68" t="s">
        <v>357</v>
      </c>
      <c r="E13" s="75">
        <v>2</v>
      </c>
      <c r="G13" s="140"/>
    </row>
    <row r="14" spans="2:12" ht="31.5">
      <c r="B14" s="75">
        <f t="shared" si="0"/>
        <v>12</v>
      </c>
      <c r="C14" s="15" t="s">
        <v>347</v>
      </c>
      <c r="D14" s="10" t="s">
        <v>356</v>
      </c>
      <c r="E14" s="75">
        <v>1</v>
      </c>
      <c r="G14" s="141"/>
    </row>
    <row r="15" spans="2:12" ht="47.25">
      <c r="B15" s="75">
        <f t="shared" si="0"/>
        <v>13</v>
      </c>
      <c r="C15" s="15" t="s">
        <v>350</v>
      </c>
      <c r="D15" s="10" t="s">
        <v>354</v>
      </c>
      <c r="E15" s="75">
        <v>2</v>
      </c>
      <c r="G15" s="140"/>
    </row>
    <row r="16" spans="2:12" ht="47.25">
      <c r="B16" s="75">
        <f t="shared" si="0"/>
        <v>14</v>
      </c>
      <c r="C16" s="95" t="s">
        <v>365</v>
      </c>
      <c r="D16" s="6" t="s">
        <v>103</v>
      </c>
      <c r="E16" s="75">
        <v>1</v>
      </c>
      <c r="G16" s="141"/>
    </row>
    <row r="17" spans="2:7" ht="78.75">
      <c r="B17" s="75">
        <f t="shared" si="0"/>
        <v>15</v>
      </c>
      <c r="C17" s="15" t="s">
        <v>349</v>
      </c>
      <c r="D17" s="68" t="s">
        <v>358</v>
      </c>
      <c r="E17" s="75">
        <v>2</v>
      </c>
      <c r="G17" s="141"/>
    </row>
    <row r="18" spans="2:7" ht="47.25">
      <c r="B18" s="75">
        <f t="shared" si="0"/>
        <v>16</v>
      </c>
      <c r="C18" s="15" t="s">
        <v>351</v>
      </c>
      <c r="D18" s="6" t="s">
        <v>110</v>
      </c>
      <c r="E18" s="75">
        <v>3</v>
      </c>
      <c r="G18" s="90"/>
    </row>
    <row r="19" spans="2:7" ht="15.75">
      <c r="C19" s="92"/>
      <c r="G19" s="68"/>
    </row>
    <row r="20" spans="2:7" ht="15.75">
      <c r="C20" s="91"/>
      <c r="G20" s="56"/>
    </row>
    <row r="21" spans="2:7">
      <c r="C21" s="91"/>
      <c r="G21" s="90"/>
    </row>
    <row r="22" spans="2:7" ht="15.75">
      <c r="G22" s="5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5887-555D-44A6-93FE-D71A58447D6E}">
  <dimension ref="B2:J28"/>
  <sheetViews>
    <sheetView zoomScaleNormal="100" workbookViewId="0">
      <selection activeCell="C19" sqref="C19"/>
    </sheetView>
  </sheetViews>
  <sheetFormatPr defaultRowHeight="15"/>
  <cols>
    <col min="2" max="2" width="26.85546875" bestFit="1" customWidth="1"/>
    <col min="3" max="3" width="16.42578125" customWidth="1"/>
    <col min="4" max="4" width="25" customWidth="1"/>
    <col min="5" max="5" width="15" customWidth="1"/>
    <col min="6" max="6" width="18.85546875" customWidth="1"/>
    <col min="7" max="7" width="13.7109375" customWidth="1"/>
    <col min="8" max="8" width="8.7109375" bestFit="1" customWidth="1"/>
    <col min="9" max="9" width="65.5703125" bestFit="1" customWidth="1"/>
  </cols>
  <sheetData>
    <row r="2" spans="2:10">
      <c r="B2" s="203" t="s">
        <v>392</v>
      </c>
      <c r="C2" s="203"/>
      <c r="D2" s="203"/>
      <c r="E2" s="203"/>
      <c r="F2" s="203"/>
      <c r="G2" s="203"/>
      <c r="H2" s="203"/>
      <c r="I2" s="203"/>
      <c r="J2" s="112"/>
    </row>
    <row r="3" spans="2:10" ht="34.5">
      <c r="B3" s="96" t="s">
        <v>393</v>
      </c>
      <c r="C3" s="96" t="s">
        <v>394</v>
      </c>
      <c r="D3" s="96" t="s">
        <v>395</v>
      </c>
      <c r="E3" s="96" t="s">
        <v>396</v>
      </c>
      <c r="F3" s="96" t="s">
        <v>397</v>
      </c>
      <c r="G3" s="96" t="s">
        <v>398</v>
      </c>
      <c r="H3" s="96" t="s">
        <v>399</v>
      </c>
      <c r="I3" s="113" t="s">
        <v>400</v>
      </c>
    </row>
    <row r="4" spans="2:10" ht="15.75">
      <c r="B4" s="15" t="s">
        <v>401</v>
      </c>
      <c r="C4" s="15">
        <f>D23</f>
        <v>2</v>
      </c>
      <c r="D4" s="15">
        <v>3</v>
      </c>
      <c r="E4" s="15">
        <f>C4*D4</f>
        <v>6</v>
      </c>
      <c r="F4" s="6">
        <f>5.85*2.45*H4</f>
        <v>14.3325</v>
      </c>
      <c r="G4" s="15" t="s">
        <v>404</v>
      </c>
      <c r="H4" s="15">
        <v>1</v>
      </c>
      <c r="I4" s="116" t="s">
        <v>402</v>
      </c>
    </row>
    <row r="5" spans="2:10" ht="15.75">
      <c r="B5" s="15" t="s">
        <v>403</v>
      </c>
      <c r="C5" s="15">
        <f>D19</f>
        <v>13</v>
      </c>
      <c r="D5" s="15">
        <v>0.6</v>
      </c>
      <c r="E5" s="15">
        <f t="shared" ref="E5:E6" si="0">C5*D5</f>
        <v>7.8</v>
      </c>
      <c r="F5" s="4">
        <f>6*4.9*H5</f>
        <v>29.400000000000002</v>
      </c>
      <c r="G5" s="98" t="s">
        <v>430</v>
      </c>
      <c r="H5" s="15">
        <v>1</v>
      </c>
      <c r="I5" s="116" t="s">
        <v>504</v>
      </c>
    </row>
    <row r="6" spans="2:10" ht="15.75">
      <c r="B6" s="15" t="s">
        <v>405</v>
      </c>
      <c r="C6" s="15">
        <f>C22</f>
        <v>10</v>
      </c>
      <c r="D6" s="15">
        <v>0.43</v>
      </c>
      <c r="E6" s="15">
        <f t="shared" si="0"/>
        <v>4.3</v>
      </c>
      <c r="F6" s="6">
        <f t="shared" ref="F6" si="1">5.85*2.45*H6</f>
        <v>28.664999999999999</v>
      </c>
      <c r="G6" s="15" t="s">
        <v>404</v>
      </c>
      <c r="H6" s="15">
        <v>2</v>
      </c>
      <c r="I6" s="116" t="s">
        <v>503</v>
      </c>
    </row>
    <row r="7" spans="2:10" ht="15.75">
      <c r="B7" s="15" t="s">
        <v>406</v>
      </c>
      <c r="C7" s="15">
        <f>D19</f>
        <v>13</v>
      </c>
      <c r="D7" s="15">
        <v>0.05</v>
      </c>
      <c r="E7" s="15">
        <f>C7*D7</f>
        <v>0.65</v>
      </c>
      <c r="F7" s="188">
        <f>6*2.45*H7</f>
        <v>29.400000000000002</v>
      </c>
      <c r="G7" s="195" t="s">
        <v>431</v>
      </c>
      <c r="H7" s="195">
        <v>2</v>
      </c>
      <c r="I7" s="204" t="s">
        <v>502</v>
      </c>
    </row>
    <row r="8" spans="2:10" ht="15.75">
      <c r="B8" s="195" t="s">
        <v>407</v>
      </c>
      <c r="C8" s="15">
        <f>D27</f>
        <v>4</v>
      </c>
      <c r="D8" s="15">
        <v>1</v>
      </c>
      <c r="E8" s="195">
        <f>(C8*D8)+(C9*D9)</f>
        <v>22</v>
      </c>
      <c r="F8" s="188"/>
      <c r="G8" s="195"/>
      <c r="H8" s="195"/>
      <c r="I8" s="204"/>
    </row>
    <row r="9" spans="2:10" ht="15.75">
      <c r="B9" s="195"/>
      <c r="C9" s="15">
        <f>D28</f>
        <v>9</v>
      </c>
      <c r="D9" s="15">
        <v>2</v>
      </c>
      <c r="E9" s="195"/>
      <c r="F9" s="188"/>
      <c r="G9" s="195"/>
      <c r="H9" s="195"/>
      <c r="I9" s="204"/>
    </row>
    <row r="10" spans="2:10" ht="15.75">
      <c r="B10" s="15" t="s">
        <v>408</v>
      </c>
      <c r="C10" s="15">
        <f>C22</f>
        <v>10</v>
      </c>
      <c r="D10" s="15">
        <v>0.2</v>
      </c>
      <c r="E10" s="15">
        <f>C10*D10</f>
        <v>2</v>
      </c>
      <c r="F10" s="115">
        <f>5*2.3*H10</f>
        <v>23</v>
      </c>
      <c r="G10" s="15" t="s">
        <v>409</v>
      </c>
      <c r="H10" s="15">
        <v>2</v>
      </c>
      <c r="I10" s="114" t="s">
        <v>410</v>
      </c>
    </row>
    <row r="11" spans="2:10" ht="31.5">
      <c r="B11" s="15" t="s">
        <v>411</v>
      </c>
      <c r="C11" s="15">
        <f>C22</f>
        <v>10</v>
      </c>
      <c r="D11" s="15">
        <v>0.9</v>
      </c>
      <c r="E11" s="15">
        <f t="shared" ref="E11:E13" si="2">C11*D11</f>
        <v>9</v>
      </c>
      <c r="F11" s="115">
        <f>5.85*2.45*H11</f>
        <v>14.3325</v>
      </c>
      <c r="G11" s="15" t="s">
        <v>404</v>
      </c>
      <c r="H11" s="15">
        <v>1</v>
      </c>
      <c r="I11" s="116" t="s">
        <v>501</v>
      </c>
    </row>
    <row r="12" spans="2:10" ht="15.75">
      <c r="B12" s="15" t="s">
        <v>412</v>
      </c>
      <c r="C12" s="15">
        <f>D19</f>
        <v>13</v>
      </c>
      <c r="D12" s="15">
        <v>1</v>
      </c>
      <c r="E12" s="15">
        <f t="shared" si="2"/>
        <v>13</v>
      </c>
      <c r="F12" s="115">
        <f>5.85*2.45*H12</f>
        <v>14.3325</v>
      </c>
      <c r="G12" s="15" t="s">
        <v>404</v>
      </c>
      <c r="H12" s="15">
        <v>1</v>
      </c>
      <c r="I12" s="116" t="s">
        <v>506</v>
      </c>
    </row>
    <row r="13" spans="2:10" ht="15.75">
      <c r="B13" s="15" t="s">
        <v>414</v>
      </c>
      <c r="C13" s="15">
        <f>D19</f>
        <v>13</v>
      </c>
      <c r="D13" s="15">
        <v>0.6</v>
      </c>
      <c r="E13" s="15">
        <f t="shared" si="2"/>
        <v>7.8</v>
      </c>
      <c r="F13" s="115">
        <f>8*2.45*H13</f>
        <v>19.600000000000001</v>
      </c>
      <c r="G13" s="15" t="s">
        <v>413</v>
      </c>
      <c r="H13" s="15">
        <v>1</v>
      </c>
      <c r="I13" s="116" t="s">
        <v>505</v>
      </c>
    </row>
    <row r="14" spans="2:10" ht="15.75">
      <c r="B14" s="15" t="s">
        <v>415</v>
      </c>
      <c r="C14" s="15">
        <f>C22</f>
        <v>10</v>
      </c>
      <c r="D14" s="15">
        <v>0.6</v>
      </c>
      <c r="E14" s="15" t="s">
        <v>416</v>
      </c>
      <c r="F14" s="4">
        <f>2.45*5.85*H14</f>
        <v>28.664999999999999</v>
      </c>
      <c r="G14" s="15" t="s">
        <v>432</v>
      </c>
      <c r="H14" s="15">
        <v>2</v>
      </c>
      <c r="I14" s="116" t="s">
        <v>507</v>
      </c>
    </row>
    <row r="15" spans="2:10" ht="31.5">
      <c r="B15" s="15" t="s">
        <v>417</v>
      </c>
      <c r="C15" s="15">
        <f>C22</f>
        <v>10</v>
      </c>
      <c r="D15" s="15">
        <v>0.6</v>
      </c>
      <c r="E15" s="15" t="s">
        <v>418</v>
      </c>
      <c r="F15" s="4">
        <f>2.45*5.85*H15</f>
        <v>71.662499999999994</v>
      </c>
      <c r="G15" s="15" t="s">
        <v>432</v>
      </c>
      <c r="H15" s="15">
        <v>5</v>
      </c>
      <c r="I15" s="116" t="s">
        <v>507</v>
      </c>
    </row>
    <row r="16" spans="2:10">
      <c r="F16" s="136">
        <f>SUM(F4:F15)</f>
        <v>273.39</v>
      </c>
    </row>
    <row r="18" spans="2:8" ht="15.75">
      <c r="B18" s="109"/>
      <c r="C18" s="109" t="s">
        <v>419</v>
      </c>
      <c r="D18" s="109" t="s">
        <v>420</v>
      </c>
    </row>
    <row r="19" spans="2:8" ht="31.5">
      <c r="B19" s="103" t="s">
        <v>421</v>
      </c>
      <c r="C19" s="109">
        <f>C22*C20*C21</f>
        <v>12.992000000000001</v>
      </c>
      <c r="D19" s="109">
        <f>ROUNDUP(C19,0)</f>
        <v>13</v>
      </c>
      <c r="F19" s="93"/>
      <c r="G19" s="98"/>
      <c r="H19" s="98"/>
    </row>
    <row r="20" spans="2:8" ht="15.75">
      <c r="B20" s="109" t="s">
        <v>422</v>
      </c>
      <c r="C20" s="109">
        <v>1.1599999999999999</v>
      </c>
      <c r="D20" s="109"/>
      <c r="F20" s="98"/>
      <c r="G20" s="98"/>
      <c r="H20" s="98"/>
    </row>
    <row r="21" spans="2:8" ht="15.75">
      <c r="B21" s="109"/>
      <c r="C21" s="109">
        <v>1.1200000000000001</v>
      </c>
      <c r="D21" s="109"/>
      <c r="F21" s="98"/>
      <c r="G21" s="98"/>
      <c r="H21" s="98"/>
    </row>
    <row r="22" spans="2:8" ht="15.75">
      <c r="B22" s="109" t="s">
        <v>423</v>
      </c>
      <c r="C22" s="109">
        <v>10</v>
      </c>
      <c r="D22" s="109"/>
      <c r="F22" s="93"/>
      <c r="G22" s="98"/>
      <c r="H22" s="98"/>
    </row>
    <row r="23" spans="2:8" ht="15.75">
      <c r="B23" s="109" t="s">
        <v>424</v>
      </c>
      <c r="C23" s="109">
        <f>D19*0.08</f>
        <v>1.04</v>
      </c>
      <c r="D23" s="109">
        <f>ROUNDUP(C23,0)</f>
        <v>2</v>
      </c>
      <c r="F23" s="98"/>
      <c r="G23" s="98"/>
      <c r="H23" s="98"/>
    </row>
    <row r="24" spans="2:8" ht="15.75">
      <c r="B24" s="109" t="s">
        <v>425</v>
      </c>
      <c r="C24" s="109">
        <f>D19*0.05</f>
        <v>0.65</v>
      </c>
      <c r="D24" s="109">
        <f t="shared" ref="D24:D28" si="3">ROUNDUP(C24,0)</f>
        <v>1</v>
      </c>
      <c r="F24" s="98"/>
      <c r="G24" s="98"/>
      <c r="H24" s="98"/>
    </row>
    <row r="25" spans="2:8" ht="15.75">
      <c r="B25" s="109" t="s">
        <v>426</v>
      </c>
      <c r="C25" s="109">
        <f>D19*0.03</f>
        <v>0.39</v>
      </c>
      <c r="D25" s="109">
        <f t="shared" si="3"/>
        <v>1</v>
      </c>
      <c r="F25" s="98"/>
      <c r="G25" s="98"/>
      <c r="H25" s="98"/>
    </row>
    <row r="26" spans="2:8" ht="47.25">
      <c r="B26" s="103" t="s">
        <v>427</v>
      </c>
      <c r="C26" s="109">
        <f>C19*0.85</f>
        <v>11.043200000000001</v>
      </c>
      <c r="D26" s="109">
        <f>ROUNDUP(C26,0)</f>
        <v>12</v>
      </c>
    </row>
    <row r="27" spans="2:8" ht="15.75">
      <c r="B27" s="109" t="s">
        <v>428</v>
      </c>
      <c r="C27" s="109">
        <f>D26*0.3</f>
        <v>3.5999999999999996</v>
      </c>
      <c r="D27" s="109">
        <f t="shared" si="3"/>
        <v>4</v>
      </c>
    </row>
    <row r="28" spans="2:8" ht="15.75">
      <c r="B28" s="109" t="s">
        <v>429</v>
      </c>
      <c r="C28" s="109">
        <f>D26*0.7</f>
        <v>8.3999999999999986</v>
      </c>
      <c r="D28" s="109">
        <f t="shared" si="3"/>
        <v>9</v>
      </c>
    </row>
  </sheetData>
  <mergeCells count="7">
    <mergeCell ref="B2:I2"/>
    <mergeCell ref="F7:F9"/>
    <mergeCell ref="G7:G9"/>
    <mergeCell ref="H7:H9"/>
    <mergeCell ref="I7:I9"/>
    <mergeCell ref="B8:B9"/>
    <mergeCell ref="E8:E9"/>
  </mergeCells>
  <phoneticPr fontId="19" type="noConversion"/>
  <hyperlinks>
    <hyperlink ref="I4" r:id="rId1" xr:uid="{315AF053-47BA-4332-AB6B-032061B0E4CE}"/>
    <hyperlink ref="I10" r:id="rId2" xr:uid="{84CE5B0D-F2C3-4147-BEFB-5D78E8070CA3}"/>
    <hyperlink ref="I11" r:id="rId3" xr:uid="{661CD92A-C156-4745-A291-FCCB579A26D0}"/>
    <hyperlink ref="I7:I9" r:id="rId4" display="Сантехнический модуль" xr:uid="{079FF246-5EE8-443C-B651-FD86028A8CCD}"/>
    <hyperlink ref="I6" r:id="rId5" xr:uid="{CC0CD4B5-DC53-41BC-99C7-4B1A1D959E47}"/>
    <hyperlink ref="I5" r:id="rId6" xr:uid="{E42FEE6A-3944-4BD9-97FF-DE9124CF5AFD}"/>
    <hyperlink ref="I13" r:id="rId7" xr:uid="{BAF005AC-59AB-4966-9BE3-940F5D308CD4}"/>
    <hyperlink ref="I12" r:id="rId8" xr:uid="{6805A12E-DB67-492E-98EF-92A9AF084C61}"/>
    <hyperlink ref="I14" r:id="rId9" xr:uid="{E08D7F28-34F4-4F91-A6F4-E386127E4420}"/>
    <hyperlink ref="I15" r:id="rId10" xr:uid="{A05CA62E-2AAD-4013-9303-AF96173B37F3}"/>
  </hyperlinks>
  <pageMargins left="0.7" right="0.7" top="0.75" bottom="0.75" header="0.3" footer="0.3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D1F3-56E0-4CEA-BF52-54BE48085A32}">
  <dimension ref="B2:N25"/>
  <sheetViews>
    <sheetView topLeftCell="E1" zoomScale="85" zoomScaleNormal="85" workbookViewId="0">
      <selection activeCell="H2" sqref="H2"/>
    </sheetView>
  </sheetViews>
  <sheetFormatPr defaultRowHeight="15"/>
  <cols>
    <col min="2" max="2" width="24" bestFit="1" customWidth="1"/>
    <col min="6" max="6" width="15.140625" customWidth="1"/>
    <col min="7" max="7" width="16.28515625" customWidth="1"/>
    <col min="12" max="12" width="18.7109375" customWidth="1"/>
  </cols>
  <sheetData>
    <row r="2" spans="2:14" ht="47.25">
      <c r="B2" s="125" t="s">
        <v>443</v>
      </c>
      <c r="C2" s="103">
        <f>((C3*C5*C8)/(C9*3600))+((C4*C6)/(C7*60))</f>
        <v>7.9687499999999994E-2</v>
      </c>
      <c r="D2" s="103" t="s">
        <v>444</v>
      </c>
      <c r="E2" s="93"/>
      <c r="G2" s="126" t="s">
        <v>445</v>
      </c>
      <c r="H2" s="129">
        <f>C2+M2+M9</f>
        <v>10.3921875</v>
      </c>
      <c r="I2" s="122"/>
      <c r="J2" s="88"/>
      <c r="L2" s="125" t="s">
        <v>464</v>
      </c>
      <c r="M2" s="103">
        <f>M7*(M3*M4*M5)/(M6*3600)</f>
        <v>0.3125</v>
      </c>
      <c r="N2" s="103" t="s">
        <v>444</v>
      </c>
    </row>
    <row r="3" spans="2:14" ht="31.5">
      <c r="B3" s="103" t="s">
        <v>446</v>
      </c>
      <c r="C3" s="103">
        <v>25</v>
      </c>
      <c r="D3" s="103" t="s">
        <v>447</v>
      </c>
      <c r="E3" s="93"/>
      <c r="G3" s="93"/>
      <c r="H3" s="93"/>
      <c r="I3" s="93"/>
      <c r="J3" s="93"/>
      <c r="L3" s="103" t="s">
        <v>465</v>
      </c>
      <c r="M3" s="103">
        <v>500</v>
      </c>
      <c r="N3" s="103" t="s">
        <v>447</v>
      </c>
    </row>
    <row r="4" spans="2:14" ht="47.25">
      <c r="B4" s="103" t="s">
        <v>448</v>
      </c>
      <c r="C4" s="103">
        <v>30</v>
      </c>
      <c r="D4" s="103" t="s">
        <v>447</v>
      </c>
      <c r="E4" s="93"/>
      <c r="G4" s="103" t="s">
        <v>449</v>
      </c>
      <c r="H4" s="103">
        <f>2*SQRT((H5*1000)/(3.14*H6))</f>
        <v>93.944861182904305</v>
      </c>
      <c r="I4" s="103" t="s">
        <v>450</v>
      </c>
      <c r="J4" s="98"/>
      <c r="L4" s="103" t="s">
        <v>466</v>
      </c>
      <c r="M4" s="103">
        <v>10</v>
      </c>
      <c r="N4" s="103" t="s">
        <v>467</v>
      </c>
    </row>
    <row r="5" spans="2:14" ht="31.5">
      <c r="B5" s="103" t="s">
        <v>451</v>
      </c>
      <c r="C5" s="103">
        <v>10</v>
      </c>
      <c r="D5" s="103" t="s">
        <v>452</v>
      </c>
      <c r="E5" s="93"/>
      <c r="G5" s="103" t="s">
        <v>453</v>
      </c>
      <c r="H5" s="103">
        <f>H2</f>
        <v>10.3921875</v>
      </c>
      <c r="I5" s="103" t="s">
        <v>447</v>
      </c>
      <c r="J5" s="98"/>
      <c r="L5" s="103" t="s">
        <v>468</v>
      </c>
      <c r="M5" s="103">
        <v>1.5</v>
      </c>
      <c r="N5" s="103"/>
    </row>
    <row r="6" spans="2:14" ht="31.5">
      <c r="B6" s="103" t="s">
        <v>454</v>
      </c>
      <c r="C6" s="103">
        <f>ROUNDUP(C5*0.4,0)</f>
        <v>4</v>
      </c>
      <c r="D6" s="103" t="s">
        <v>452</v>
      </c>
      <c r="E6" s="93"/>
      <c r="G6" s="103" t="s">
        <v>455</v>
      </c>
      <c r="H6" s="103">
        <v>1.5</v>
      </c>
      <c r="I6" s="103" t="s">
        <v>456</v>
      </c>
      <c r="J6" s="98"/>
      <c r="L6" s="103" t="s">
        <v>469</v>
      </c>
      <c r="M6" s="103">
        <v>8</v>
      </c>
      <c r="N6" s="103" t="s">
        <v>462</v>
      </c>
    </row>
    <row r="7" spans="2:14" ht="47.25">
      <c r="B7" s="103" t="s">
        <v>457</v>
      </c>
      <c r="C7" s="103">
        <v>30</v>
      </c>
      <c r="D7" s="103" t="s">
        <v>458</v>
      </c>
      <c r="E7" s="93"/>
      <c r="G7" s="123"/>
      <c r="H7" s="123"/>
      <c r="I7" s="123"/>
      <c r="J7" s="98"/>
      <c r="L7" s="103" t="s">
        <v>470</v>
      </c>
      <c r="M7" s="103">
        <v>1.2</v>
      </c>
      <c r="N7" s="103"/>
    </row>
    <row r="8" spans="2:14" ht="15.75">
      <c r="B8" s="103" t="s">
        <v>459</v>
      </c>
      <c r="C8" s="103">
        <v>1.5</v>
      </c>
      <c r="D8" s="103"/>
      <c r="E8" s="93"/>
      <c r="G8" s="93" t="s">
        <v>460</v>
      </c>
      <c r="H8" s="93"/>
      <c r="I8" s="93"/>
      <c r="J8" s="98"/>
      <c r="L8" s="93"/>
      <c r="M8" s="93"/>
      <c r="N8" s="93"/>
    </row>
    <row r="9" spans="2:14" ht="47.25">
      <c r="B9" s="103" t="s">
        <v>461</v>
      </c>
      <c r="C9" s="103">
        <v>8</v>
      </c>
      <c r="D9" s="103" t="s">
        <v>462</v>
      </c>
      <c r="E9" s="93"/>
      <c r="G9" s="93" t="s">
        <v>463</v>
      </c>
      <c r="H9" s="93"/>
      <c r="I9" s="127">
        <v>101.3</v>
      </c>
      <c r="J9" s="98" t="s">
        <v>450</v>
      </c>
      <c r="L9" s="125" t="s">
        <v>471</v>
      </c>
      <c r="M9" s="103">
        <v>10</v>
      </c>
      <c r="N9" s="103" t="s">
        <v>444</v>
      </c>
    </row>
    <row r="10" spans="2:14" ht="47.25">
      <c r="B10" s="93"/>
      <c r="C10" s="93"/>
      <c r="D10" s="93"/>
      <c r="E10" s="93"/>
      <c r="G10" s="93"/>
      <c r="H10" s="93"/>
      <c r="I10" s="93"/>
      <c r="J10" s="98"/>
      <c r="L10" s="93" t="s">
        <v>472</v>
      </c>
      <c r="M10" s="93"/>
      <c r="N10" s="93"/>
    </row>
    <row r="11" spans="2:14" ht="15.75">
      <c r="B11" s="93"/>
      <c r="C11" s="93"/>
      <c r="D11" s="93"/>
      <c r="E11" s="93"/>
      <c r="F11" s="93"/>
      <c r="G11" s="93"/>
      <c r="H11" s="93"/>
      <c r="I11" s="98"/>
      <c r="N11" s="98"/>
    </row>
    <row r="12" spans="2:14" ht="15.75">
      <c r="E12" s="122"/>
      <c r="F12" s="122"/>
      <c r="G12" s="93"/>
      <c r="H12" s="93"/>
      <c r="I12" s="98"/>
    </row>
    <row r="13" spans="2:14" ht="15.75">
      <c r="E13" s="93"/>
      <c r="F13" s="93"/>
      <c r="G13" s="93"/>
      <c r="H13" s="93"/>
      <c r="I13" s="98"/>
      <c r="N13" s="98"/>
    </row>
    <row r="14" spans="2:14" ht="15.75">
      <c r="E14" s="93"/>
      <c r="F14" s="93"/>
      <c r="G14" s="93"/>
      <c r="H14" s="93"/>
      <c r="I14" s="98"/>
      <c r="N14" s="98"/>
    </row>
    <row r="15" spans="2:14" ht="15.75">
      <c r="E15" s="93"/>
      <c r="F15" s="93"/>
      <c r="G15" s="93"/>
      <c r="H15" s="93"/>
      <c r="I15" s="98"/>
      <c r="N15" s="93"/>
    </row>
    <row r="16" spans="2:14" ht="15.75">
      <c r="E16" s="93"/>
      <c r="F16" s="93"/>
      <c r="G16" s="93"/>
      <c r="H16" s="93"/>
      <c r="I16" s="98"/>
      <c r="N16" s="93"/>
    </row>
    <row r="17" spans="2:14" ht="15.75">
      <c r="E17" s="93"/>
      <c r="F17" s="93"/>
      <c r="G17" s="93"/>
      <c r="H17" s="93"/>
      <c r="I17" s="98"/>
      <c r="N17" s="93"/>
    </row>
    <row r="18" spans="2:14" ht="15.75">
      <c r="E18" s="93"/>
      <c r="F18" s="93"/>
      <c r="G18" s="93"/>
      <c r="H18" s="93"/>
      <c r="I18" s="98"/>
      <c r="N18" s="93"/>
    </row>
    <row r="19" spans="2:14" ht="15.75">
      <c r="E19" s="93"/>
      <c r="F19" s="93"/>
      <c r="G19" s="93"/>
      <c r="H19" s="93"/>
      <c r="I19" s="98"/>
      <c r="N19" s="98"/>
    </row>
    <row r="20" spans="2:14" ht="15.75">
      <c r="E20" s="93"/>
      <c r="F20" s="93"/>
      <c r="G20" s="93"/>
      <c r="H20" s="93"/>
      <c r="I20" s="98"/>
      <c r="N20" s="98"/>
    </row>
    <row r="21" spans="2:14">
      <c r="B21" s="124"/>
      <c r="C21" s="124"/>
      <c r="D21" s="124"/>
      <c r="E21" s="124"/>
      <c r="F21" s="124"/>
      <c r="G21" s="124"/>
      <c r="H21" s="124"/>
      <c r="I21" s="11"/>
    </row>
    <row r="22" spans="2:14">
      <c r="B22" s="123"/>
      <c r="C22" s="123"/>
      <c r="D22" s="123"/>
      <c r="E22" s="123"/>
      <c r="F22" s="123"/>
      <c r="G22" s="123"/>
      <c r="H22" s="123"/>
    </row>
    <row r="23" spans="2:14">
      <c r="B23" s="123"/>
      <c r="C23" s="123"/>
      <c r="D23" s="123"/>
      <c r="E23" s="123"/>
      <c r="F23" s="123"/>
      <c r="G23" s="123"/>
      <c r="H23" s="123"/>
    </row>
    <row r="24" spans="2:14">
      <c r="B24" s="123"/>
      <c r="C24" s="123"/>
      <c r="D24" s="123"/>
      <c r="E24" s="123"/>
      <c r="F24" s="123"/>
      <c r="G24" s="123"/>
      <c r="H24" s="123"/>
    </row>
    <row r="25" spans="2:14">
      <c r="B25" s="123"/>
      <c r="C25" s="123"/>
      <c r="D25" s="123"/>
      <c r="E25" s="123"/>
      <c r="F25" s="123"/>
      <c r="G25" s="123"/>
      <c r="H25" s="1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Ведомость</vt:lpstr>
      <vt:lpstr>Спец работы</vt:lpstr>
      <vt:lpstr>Табличный метод</vt:lpstr>
      <vt:lpstr>Ресурсы</vt:lpstr>
      <vt:lpstr>Склады</vt:lpstr>
      <vt:lpstr>Выбор крана</vt:lpstr>
      <vt:lpstr>Строительные машины</vt:lpstr>
      <vt:lpstr>Временные здания</vt:lpstr>
      <vt:lpstr>Вода</vt:lpstr>
      <vt:lpstr>Элкектроснабжение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sofikakolina</dc:creator>
  <dc:description/>
  <cp:lastModifiedBy>Kireshnikof Petr</cp:lastModifiedBy>
  <cp:revision>12</cp:revision>
  <dcterms:created xsi:type="dcterms:W3CDTF">2015-06-05T18:17:20Z</dcterms:created>
  <dcterms:modified xsi:type="dcterms:W3CDTF">2024-11-10T17:36:08Z</dcterms:modified>
  <dc:language>ru-RU</dc:language>
</cp:coreProperties>
</file>