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k\Dropbox\Blog\Steinhart\"/>
    </mc:Choice>
  </mc:AlternateContent>
  <xr:revisionPtr revIDLastSave="0" documentId="13_ncr:1_{5231907F-3AE4-4D1D-A257-FE90AD340C71}" xr6:coauthVersionLast="45" xr6:coauthVersionMax="45" xr10:uidLastSave="{00000000-0000-0000-0000-000000000000}"/>
  <bookViews>
    <workbookView xWindow="-108" yWindow="-108" windowWidth="23256" windowHeight="12576" xr2:uid="{BF665EA9-59DC-4A7E-B09A-CC8F63DC286E}"/>
  </bookViews>
  <sheets>
    <sheet name="Example" sheetId="1" r:id="rId1"/>
  </sheets>
  <externalReferences>
    <externalReference r:id="rId2"/>
  </externalReferences>
  <definedNames>
    <definedName name="_A" localSheetId="0">Example!$D$15</definedName>
    <definedName name="_A">[1]TempParabolicCurveFit!$N$5</definedName>
    <definedName name="_B" localSheetId="0">Example!$D$16</definedName>
    <definedName name="_B">[1]TempParabolicCurveFit!$N$6</definedName>
    <definedName name="_Beta" localSheetId="0">Example!#REF!</definedName>
    <definedName name="_Beta">[1]TemperatureProject!$E$44</definedName>
    <definedName name="_C" localSheetId="0">Example!$D$17</definedName>
    <definedName name="_C">[1]TempParabolicCurveFit!$N$7</definedName>
    <definedName name="_convert">Example!$D$14</definedName>
    <definedName name="_d">[1]TempParabolicCurveFit!$N$4</definedName>
    <definedName name="_Importance" localSheetId="0">[1]!_Import[[#All],[Importance]]</definedName>
    <definedName name="_Importance">[1]!_Import[[#All],[Importance]]</definedName>
    <definedName name="_R0" localSheetId="0">Example!#REF!</definedName>
    <definedName name="_Urgency">[1]Daily_Tasks!$K$2:$K$4</definedName>
    <definedName name="_Used_Range">OFFSET(INDIRECT(Example!$K$17&amp;":"&amp;Example!$K$19),0,5)</definedName>
    <definedName name="ExternalData_1" localSheetId="0" hidden="1">Example!#REF!</definedName>
    <definedName name="solver_adj" localSheetId="0" hidden="1">Example!$D$15:$D$17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Example!$F$20:$F$37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Example!$H$13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Values1">[1]Data_Science_Stuff!$G$4:$G$8</definedName>
    <definedName name="Values2">[1]Data_Science_Stuff!$H$4:$H$10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K17" i="1"/>
  <c r="K18" i="1"/>
  <c r="K19" i="1"/>
  <c r="F37" i="1" l="1"/>
  <c r="G37" i="1" s="1"/>
  <c r="H37" i="1" s="1"/>
  <c r="D37" i="1"/>
  <c r="F36" i="1"/>
  <c r="G36" i="1" s="1"/>
  <c r="H36" i="1" s="1"/>
  <c r="D36" i="1"/>
  <c r="F35" i="1"/>
  <c r="G35" i="1" s="1"/>
  <c r="H35" i="1" s="1"/>
  <c r="D35" i="1"/>
  <c r="F34" i="1"/>
  <c r="G34" i="1" s="1"/>
  <c r="H34" i="1" s="1"/>
  <c r="D34" i="1"/>
  <c r="F33" i="1"/>
  <c r="G33" i="1" s="1"/>
  <c r="H33" i="1" s="1"/>
  <c r="D33" i="1"/>
  <c r="F32" i="1"/>
  <c r="G32" i="1" s="1"/>
  <c r="H32" i="1" s="1"/>
  <c r="D32" i="1"/>
  <c r="F31" i="1"/>
  <c r="G31" i="1" s="1"/>
  <c r="H31" i="1" s="1"/>
  <c r="D31" i="1"/>
  <c r="F30" i="1"/>
  <c r="G30" i="1" s="1"/>
  <c r="H30" i="1" s="1"/>
  <c r="D30" i="1"/>
  <c r="F29" i="1"/>
  <c r="G29" i="1" s="1"/>
  <c r="H29" i="1" s="1"/>
  <c r="D29" i="1"/>
  <c r="F28" i="1"/>
  <c r="G28" i="1" s="1"/>
  <c r="H28" i="1" s="1"/>
  <c r="D28" i="1"/>
  <c r="F27" i="1"/>
  <c r="G27" i="1" s="1"/>
  <c r="H27" i="1" s="1"/>
  <c r="D27" i="1"/>
  <c r="F26" i="1"/>
  <c r="G26" i="1" s="1"/>
  <c r="H26" i="1" s="1"/>
  <c r="D26" i="1"/>
  <c r="F25" i="1"/>
  <c r="G25" i="1" s="1"/>
  <c r="H25" i="1" s="1"/>
  <c r="D25" i="1"/>
  <c r="G24" i="1"/>
  <c r="H24" i="1" s="1"/>
  <c r="F24" i="1"/>
  <c r="D24" i="1"/>
  <c r="F23" i="1"/>
  <c r="G23" i="1" s="1"/>
  <c r="H23" i="1" s="1"/>
  <c r="D23" i="1"/>
  <c r="F22" i="1"/>
  <c r="G22" i="1" s="1"/>
  <c r="H22" i="1" s="1"/>
  <c r="D22" i="1"/>
  <c r="F21" i="1"/>
  <c r="G21" i="1" s="1"/>
  <c r="H21" i="1" s="1"/>
  <c r="D21" i="1"/>
  <c r="F20" i="1"/>
  <c r="G20" i="1" s="1"/>
  <c r="H20" i="1" s="1"/>
  <c r="D20" i="1"/>
  <c r="H13" i="1" a="1"/>
  <c r="H14" i="1" a="1"/>
  <c r="M24" i="1"/>
  <c r="M23" i="1"/>
  <c r="L22" i="1"/>
  <c r="K23" i="1"/>
  <c r="L23" i="1"/>
  <c r="K24" i="1"/>
  <c r="K22" i="1"/>
  <c r="M22" i="1"/>
  <c r="L24" i="1"/>
  <c r="H13" i="1" l="1"/>
  <c r="H14" i="1"/>
  <c r="N22" i="1" a="1"/>
  <c r="N24" i="1" l="1"/>
  <c r="E17" i="1" s="1"/>
  <c r="N23" i="1"/>
  <c r="E16" i="1" s="1"/>
  <c r="N22" i="1"/>
  <c r="E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C9" authorId="0" shapeId="0" xr:uid="{EB72B2CA-BF8C-413D-912D-1FB4A9E95C3F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<sst xmlns="http://schemas.openxmlformats.org/spreadsheetml/2006/main" count="33" uniqueCount="33">
  <si>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FROM:</t>
  </si>
  <si>
    <t>Mark Biegert</t>
  </si>
  <si>
    <t>SUBJECT:</t>
  </si>
  <si>
    <t>DATE:</t>
  </si>
  <si>
    <t>Links</t>
  </si>
  <si>
    <t>Ametherm DG103395</t>
  </si>
  <si>
    <t>Parameter Table</t>
  </si>
  <si>
    <t>Name</t>
  </si>
  <si>
    <t>Value</t>
  </si>
  <si>
    <t>Linear Solution</t>
  </si>
  <si>
    <t>_convert</t>
  </si>
  <si>
    <t>_A</t>
  </si>
  <si>
    <t>_B</t>
  </si>
  <si>
    <t>Ref Temps</t>
  </si>
  <si>
    <t>Cell Ref</t>
  </si>
  <si>
    <t>_C</t>
  </si>
  <si>
    <t>Temperature (°C)</t>
  </si>
  <si>
    <t>Temperature (K)</t>
  </si>
  <si>
    <t>Mfg Spec (Ω)</t>
  </si>
  <si>
    <t>Calculated (K)</t>
  </si>
  <si>
    <t>Calc Temp (°C)</t>
  </si>
  <si>
    <r>
      <t>A</t>
    </r>
    <r>
      <rPr>
        <b/>
        <sz val="10"/>
        <color theme="1"/>
        <rFont val="Consolas"/>
        <family val="3"/>
      </rPr>
      <t>·x</t>
    </r>
  </si>
  <si>
    <t>b</t>
  </si>
  <si>
    <t>Solution</t>
  </si>
  <si>
    <t>Steinhart-Hart Calculation Example</t>
  </si>
  <si>
    <t>Summary Statistics</t>
  </si>
  <si>
    <t>Residual (K)</t>
  </si>
  <si>
    <t>Max Abs Residual</t>
  </si>
  <si>
    <t>Sum Sq. Residuals</t>
  </si>
  <si>
    <t>Reference Project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</si>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</sst>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7" formatCode="0.0000"/>
  </numFmts>
  <fonts count="8" x14ac:knownFonts="1"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3"/>
    </font>
    <font>
      <i/>
      <sz val="10"/>
      <color theme="1"/>
      <name val="Consolas"/>
      <family val="3"/>
    </font>
    <font>
      <u/>
      <sz val="10"/>
      <color theme="10"/>
      <name val="Consolas"/>
      <family val="2"/>
      <scheme val="minor"/>
    </font>
    <font>
      <b/>
      <sz val="10"/>
      <color theme="1"/>
      <name val="Consolas"/>
      <family val="3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450666829432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4" borderId="0" applyNumberFormat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46">
    <xf numFmtId="0" fontId="0" fillId="0" borderId="0" xfId="0"/>
    <xf numFmtId="0" fontId="1" fillId="2" borderId="0" xfId="4"/>
    <xf numFmtId="0" fontId="2" fillId="3" borderId="0" xfId="5"/>
    <xf numFmtId="0" fontId="0" fillId="3" borderId="0" xfId="5" applyFont="1"/>
    <xf numFmtId="15" fontId="2" fillId="3" borderId="0" xfId="5" applyNumberFormat="1" applyAlignment="1">
      <alignment horizontal="left"/>
    </xf>
    <xf numFmtId="0" fontId="3" fillId="4" borderId="0" xfId="1"/>
    <xf numFmtId="0" fontId="4" fillId="0" borderId="0" xfId="2"/>
    <xf numFmtId="0" fontId="4" fillId="4" borderId="0" xfId="2" applyFill="1"/>
    <xf numFmtId="0" fontId="5" fillId="0" borderId="0" xfId="3"/>
    <xf numFmtId="0" fontId="6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4" fontId="0" fillId="0" borderId="0" xfId="0" applyNumberFormat="1" applyBorder="1"/>
    <xf numFmtId="0" fontId="6" fillId="5" borderId="9" xfId="0" applyFont="1" applyFill="1" applyBorder="1" applyAlignment="1">
      <alignment horizontal="centerContinuous"/>
    </xf>
    <xf numFmtId="0" fontId="6" fillId="5" borderId="10" xfId="0" applyFont="1" applyFill="1" applyBorder="1" applyAlignment="1">
      <alignment horizontal="centerContinuous"/>
    </xf>
    <xf numFmtId="0" fontId="6" fillId="5" borderId="11" xfId="0" applyFont="1" applyFill="1" applyBorder="1" applyAlignment="1">
      <alignment horizontal="centerContinuous"/>
    </xf>
    <xf numFmtId="164" fontId="0" fillId="0" borderId="0" xfId="0" applyNumberFormat="1" applyFill="1" applyBorder="1"/>
    <xf numFmtId="0" fontId="0" fillId="0" borderId="12" xfId="0" applyBorder="1"/>
    <xf numFmtId="2" fontId="0" fillId="0" borderId="13" xfId="0" applyNumberFormat="1" applyBorder="1"/>
    <xf numFmtId="2" fontId="0" fillId="0" borderId="14" xfId="0" applyNumberFormat="1" applyBorder="1"/>
    <xf numFmtId="11" fontId="0" fillId="0" borderId="3" xfId="0" applyNumberFormat="1" applyBorder="1"/>
    <xf numFmtId="11" fontId="0" fillId="3" borderId="2" xfId="0" applyNumberFormat="1" applyFill="1" applyBorder="1"/>
    <xf numFmtId="1" fontId="0" fillId="3" borderId="2" xfId="0" applyNumberFormat="1" applyFill="1" applyBorder="1"/>
    <xf numFmtId="164" fontId="0" fillId="3" borderId="2" xfId="0" applyNumberFormat="1" applyFill="1" applyBorder="1" applyAlignment="1">
      <alignment horizontal="right"/>
    </xf>
    <xf numFmtId="164" fontId="0" fillId="3" borderId="2" xfId="0" applyNumberFormat="1" applyFill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7" xfId="0" applyBorder="1"/>
    <xf numFmtId="167" fontId="0" fillId="0" borderId="0" xfId="0" applyNumberFormat="1" applyBorder="1"/>
    <xf numFmtId="167" fontId="0" fillId="0" borderId="0" xfId="0" applyNumberFormat="1"/>
  </cellXfs>
  <cellStyles count="6">
    <cellStyle name="Heading 1" xfId="1" builtinId="16"/>
    <cellStyle name="Heading 2" xfId="2" builtinId="17"/>
    <cellStyle name="Hyperlink" xfId="3" builtinId="8"/>
    <cellStyle name="Intro_HD" xfId="4" xr:uid="{3725CBE5-B59E-41D7-8665-423D4C630533}"/>
    <cellStyle name="Intro_VALUE" xfId="5" xr:uid="{DC6F6B08-E53F-4375-B3F1-2932793617C3}"/>
    <cellStyle name="Normal" xfId="0" builtinId="0"/>
  </cellStyles>
  <dxfs count="2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164" formatCode="0.000"/>
    </dxf>
    <dxf>
      <numFmt numFmtId="0" formatCode="General"/>
      <border diagonalUp="0" diagonalDown="0" outline="0">
        <left/>
        <right/>
        <top/>
        <bottom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66" formatCode="0.000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65" formatCode="0.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64" formatCode="0.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fill>
        <patternFill>
          <bgColor theme="7" tint="0.39994506668294322"/>
        </patternFill>
      </fill>
      <border>
        <bottom style="double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Biegert Standard" pivot="0" count="3" xr9:uid="{0F1FA9D3-81DD-40F6-ABB0-6F83B39BB2E5}">
      <tableStyleElement type="wholeTable" dxfId="25"/>
      <tableStyleElement type="headerRow" dxfId="24"/>
      <tableStyleElement type="first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</xdr:colOff>
          <xdr:row>5</xdr:row>
          <xdr:rowOff>129540</xdr:rowOff>
        </xdr:from>
        <xdr:to>
          <xdr:col>3</xdr:col>
          <xdr:colOff>1097280</xdr:colOff>
          <xdr:row>9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egertm/Documents/Excel_Tools/BiegertWorkNot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s"/>
      <sheetName val="Daily_Tasks"/>
      <sheetName val="Acronyms"/>
      <sheetName val="Acoustic_Processing"/>
      <sheetName val="BalanceTraining"/>
      <sheetName val="My_Projects"/>
      <sheetName val="TemperatureProject"/>
      <sheetName val="Alternate"/>
      <sheetName val="Alternate2"/>
      <sheetName val="TempParabolicCurveFit"/>
      <sheetName val="Data_Science_Stuff"/>
      <sheetName val="Power_Modeling"/>
      <sheetName val="BiegertWorkNotes"/>
    </sheetNames>
    <sheetDataSet>
      <sheetData sheetId="0"/>
      <sheetData sheetId="1">
        <row r="2">
          <cell r="K2" t="str">
            <v>Low</v>
          </cell>
        </row>
        <row r="3">
          <cell r="K3" t="str">
            <v>Med</v>
          </cell>
        </row>
        <row r="4">
          <cell r="K4" t="str">
            <v>High</v>
          </cell>
        </row>
      </sheetData>
      <sheetData sheetId="2"/>
      <sheetData sheetId="3"/>
      <sheetData sheetId="4"/>
      <sheetData sheetId="5"/>
      <sheetData sheetId="6">
        <row r="44">
          <cell r="E44">
            <v>3950</v>
          </cell>
        </row>
      </sheetData>
      <sheetData sheetId="7"/>
      <sheetData sheetId="8"/>
      <sheetData sheetId="9">
        <row r="4">
          <cell r="N4">
            <v>0.01</v>
          </cell>
        </row>
        <row r="5">
          <cell r="N5">
            <v>4</v>
          </cell>
        </row>
        <row r="6">
          <cell r="N6">
            <v>20</v>
          </cell>
        </row>
        <row r="7">
          <cell r="N7">
            <v>-6</v>
          </cell>
        </row>
      </sheetData>
      <sheetData sheetId="10">
        <row r="4">
          <cell r="G4">
            <v>10</v>
          </cell>
          <cell r="H4">
            <v>10</v>
          </cell>
        </row>
        <row r="5">
          <cell r="G5">
            <v>20</v>
          </cell>
          <cell r="H5">
            <v>20</v>
          </cell>
        </row>
        <row r="6">
          <cell r="G6">
            <v>30</v>
          </cell>
          <cell r="H6">
            <v>30</v>
          </cell>
        </row>
        <row r="7">
          <cell r="G7">
            <v>10</v>
          </cell>
          <cell r="H7">
            <v>40</v>
          </cell>
        </row>
        <row r="8">
          <cell r="G8">
            <v>60</v>
          </cell>
          <cell r="H8">
            <v>20</v>
          </cell>
        </row>
        <row r="9">
          <cell r="H9">
            <v>60</v>
          </cell>
        </row>
        <row r="10">
          <cell r="H10">
            <v>70</v>
          </cell>
        </row>
      </sheetData>
      <sheetData sheetId="1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37C9B-CDD2-482C-AA45-3A2607542797}" name="Table91316" displayName="Table91316" ref="C19:H37" headerRowDxfId="22">
  <autoFilter ref="C19:H37" xr:uid="{E2E10373-BB80-4F93-A5AD-1E02330EB5FE}"/>
  <tableColumns count="6">
    <tableColumn id="1" xr3:uid="{D140A849-14F9-4A70-9C37-83240CB7A289}" name="Temperature (°C)" dataDxfId="21" totalsRowDxfId="20"/>
    <tableColumn id="5" xr3:uid="{E742B443-2DA3-4EF6-9C22-BFC5BEE8DC0A}" name="Temperature (K)" dataDxfId="19" totalsRowDxfId="18">
      <calculatedColumnFormula>Table91316[[#This Row],[Temperature (°C)]]+273.15</calculatedColumnFormula>
    </tableColumn>
    <tableColumn id="2" xr3:uid="{837DB1A7-32B3-45B9-A2F4-B15D7C7F8238}" name="Mfg Spec (Ω)" dataDxfId="17" totalsRowDxfId="16"/>
    <tableColumn id="3" xr3:uid="{D95580CA-207C-47BF-9327-2D22C722660F}" name="Calculated (K)" dataDxfId="15" totalsRowDxfId="14">
      <calculatedColumnFormula>1/(_A+_B*LN(Table91316[[#This Row],[Mfg Spec (Ω)]])+_C*(LN(Table91316[[#This Row],[Mfg Spec (Ω)]]))^3)</calculatedColumnFormula>
    </tableColumn>
    <tableColumn id="6" xr3:uid="{3950FF49-BC0E-415E-9A40-1043ECE85EDD}" name="Calc Temp (°C)" dataDxfId="13" totalsRowDxfId="12">
      <calculatedColumnFormula>Table91316[[#This Row],[Calculated (K)]]-_convert</calculatedColumnFormula>
    </tableColumn>
    <tableColumn id="4" xr3:uid="{234369D5-6AAD-4EB5-AB52-1F943399E9CD}" name="Residual (K)" dataDxfId="7">
      <calculatedColumnFormula>Table91316[[#This Row],[Temperature (°C)]]-Table91316[[#This Row],[Calc Temp (°C)]]</calculatedColumnFormula>
    </tableColumn>
  </tableColumns>
  <tableStyleInfo name="Biegert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54A92-1BFC-4764-A34A-5FF124E10427}" name="Table17" displayName="Table17" ref="J16:K19" totalsRowShown="0" headerRowDxfId="11" headerRowBorderDxfId="10" tableBorderDxfId="9">
  <autoFilter ref="J16:K19" xr:uid="{3E7AAFE8-9ABF-4784-A47E-3032404E1548}"/>
  <tableColumns count="2">
    <tableColumn id="1" xr3:uid="{FE5B5D0E-0B10-4C01-A4F2-183802981A23}" name="Ref Temps" dataDxfId="8"/>
    <tableColumn id="2" xr3:uid="{060C97D9-3A30-4FAA-8D00-8B9B51205B1A}" name="Cell Ref" dataDxfId="6">
      <calculatedColumnFormula>ADDRESS(ROW($C$20)+MATCH(J17,Table91316[Temperature (°C)],0)-1,COLUMN($C$20))</calculatedColumnFormula>
    </tableColumn>
  </tableColumns>
  <tableStyleInfo name="Biegert Standard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drawing" Target="../drawings/drawing1.xml"/><Relationship Id="rId7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datasheet/2/600/Ametherm_09182017_DG103395-1214847.pdf" TargetMode="External"/><Relationship Id="rId6" Type="http://schemas.openxmlformats.org/officeDocument/2006/relationships/image" Target="../media/image3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C6B2-F977-4D3A-B027-15B679F160A2}">
  <sheetPr>
    <tabColor rgb="FF92D050"/>
  </sheetPr>
  <dimension ref="A1:O37"/>
  <sheetViews>
    <sheetView tabSelected="1" workbookViewId="0">
      <selection activeCell="F6" sqref="F6"/>
    </sheetView>
  </sheetViews>
  <sheetFormatPr defaultRowHeight="13.2" x14ac:dyDescent="0.25"/>
  <cols>
    <col min="2" max="2" width="7" customWidth="1"/>
    <col min="3" max="3" width="18.21875" customWidth="1"/>
    <col min="4" max="4" width="18.77734375" customWidth="1"/>
    <col min="5" max="5" width="16.88671875" customWidth="1"/>
    <col min="6" max="6" width="17.109375" customWidth="1"/>
    <col min="7" max="7" width="19.5546875" customWidth="1"/>
    <col min="8" max="8" width="16.44140625" customWidth="1"/>
    <col min="9" max="9" width="14.21875" customWidth="1"/>
    <col min="10" max="10" width="11.6640625" customWidth="1"/>
    <col min="11" max="11" width="13.6640625" customWidth="1"/>
    <col min="12" max="12" width="12.44140625" customWidth="1"/>
    <col min="13" max="13" width="11" customWidth="1"/>
    <col min="14" max="14" width="11.6640625" customWidth="1"/>
  </cols>
  <sheetData>
    <row r="1" spans="1:11" x14ac:dyDescent="0.25">
      <c r="A1" s="1" t="s">
        <v>0</v>
      </c>
      <c r="B1" s="2" t="s">
        <v>1</v>
      </c>
      <c r="C1" s="2"/>
      <c r="D1" s="2"/>
    </row>
    <row r="2" spans="1:11" x14ac:dyDescent="0.25">
      <c r="A2" s="1" t="s">
        <v>2</v>
      </c>
      <c r="B2" s="3" t="s">
        <v>24</v>
      </c>
      <c r="C2" s="2"/>
      <c r="D2" s="2"/>
    </row>
    <row r="3" spans="1:11" x14ac:dyDescent="0.25">
      <c r="A3" s="1" t="s">
        <v>3</v>
      </c>
      <c r="B3" s="4" t="str">
        <f>TEXT(DATE(2019,11,2),"dd-mmm-yyyy")</f>
        <v>02-Nov-2019</v>
      </c>
      <c r="C3" s="2"/>
      <c r="D3" s="2"/>
    </row>
    <row r="5" spans="1:11" x14ac:dyDescent="0.25">
      <c r="A5" s="5" t="s">
        <v>4</v>
      </c>
    </row>
    <row r="7" spans="1:11" x14ac:dyDescent="0.25">
      <c r="B7" s="6" t="s">
        <v>29</v>
      </c>
    </row>
    <row r="8" spans="1:11" x14ac:dyDescent="0.25">
      <c r="B8" s="6"/>
    </row>
    <row r="9" spans="1:11" x14ac:dyDescent="0.25">
      <c r="B9" s="7"/>
      <c r="C9" s="8" t="s">
        <v>5</v>
      </c>
    </row>
    <row r="10" spans="1:11" x14ac:dyDescent="0.25">
      <c r="B10" s="7"/>
      <c r="C10" s="8"/>
    </row>
    <row r="11" spans="1:11" x14ac:dyDescent="0.25">
      <c r="B11" s="6" t="s">
        <v>6</v>
      </c>
      <c r="G11" s="6" t="s">
        <v>25</v>
      </c>
    </row>
    <row r="12" spans="1:11" x14ac:dyDescent="0.25">
      <c r="B12" s="6"/>
    </row>
    <row r="13" spans="1:11" ht="13.8" thickBot="1" x14ac:dyDescent="0.3">
      <c r="C13" s="9" t="s">
        <v>7</v>
      </c>
      <c r="D13" s="9" t="s">
        <v>8</v>
      </c>
      <c r="E13" s="9" t="s">
        <v>9</v>
      </c>
      <c r="G13" t="s">
        <v>27</v>
      </c>
      <c r="H13" s="44" cm="1">
        <f t="array" aca="1" ref="H13" ca="1">MAX(ABS(_Used_Range))</f>
        <v>2.8555623847523748E-2</v>
      </c>
    </row>
    <row r="14" spans="1:11" ht="13.8" thickTop="1" x14ac:dyDescent="0.25">
      <c r="C14" s="10" t="s">
        <v>10</v>
      </c>
      <c r="D14" s="11">
        <v>273.14999999999998</v>
      </c>
      <c r="E14" s="12"/>
      <c r="G14" t="s">
        <v>28</v>
      </c>
      <c r="H14" s="45">
        <f t="array" aca="1" ref="H14" ca="1">SUMPRODUCT(_Used_Range,_Used_Range)</f>
        <v>4.0845943462839967E-3</v>
      </c>
    </row>
    <row r="15" spans="1:11" x14ac:dyDescent="0.25">
      <c r="C15" s="13" t="s">
        <v>11</v>
      </c>
      <c r="D15" s="14">
        <v>1.1567979736398781E-3</v>
      </c>
      <c r="E15" s="15">
        <f ca="1">N22</f>
        <v>1.1567979736398781E-3</v>
      </c>
    </row>
    <row r="16" spans="1:11" ht="13.8" thickBot="1" x14ac:dyDescent="0.3">
      <c r="C16" s="10" t="s">
        <v>12</v>
      </c>
      <c r="D16" s="11">
        <v>2.2781358460037364E-4</v>
      </c>
      <c r="E16" s="12">
        <f ca="1">N23</f>
        <v>2.2781358460037364E-4</v>
      </c>
      <c r="J16" s="16" t="s">
        <v>13</v>
      </c>
      <c r="K16" s="17" t="s">
        <v>14</v>
      </c>
    </row>
    <row r="17" spans="3:15" ht="13.8" thickTop="1" x14ac:dyDescent="0.25">
      <c r="C17" s="18" t="s">
        <v>15</v>
      </c>
      <c r="D17" s="19">
        <v>1.2634994363836931E-7</v>
      </c>
      <c r="E17" s="20">
        <f ca="1">N24</f>
        <v>1.2634994363836931E-7</v>
      </c>
      <c r="J17" s="15">
        <v>0</v>
      </c>
      <c r="K17" s="21" t="str">
        <f>ADDRESS(ROW($C$20)+MATCH(J17,Table91316[Temperature (°C)],0)-1,COLUMN($C$20))</f>
        <v>$C$23</v>
      </c>
    </row>
    <row r="18" spans="3:15" x14ac:dyDescent="0.25">
      <c r="J18" s="15">
        <v>50</v>
      </c>
      <c r="K18" s="21" t="str">
        <f>ADDRESS(ROW($C$20)+MATCH(J18,Table91316[Temperature (°C)],0)-1,COLUMN($C$20))</f>
        <v>$C$29</v>
      </c>
    </row>
    <row r="19" spans="3:15" x14ac:dyDescent="0.25">
      <c r="C19" s="22" t="s">
        <v>16</v>
      </c>
      <c r="D19" s="22" t="s">
        <v>17</v>
      </c>
      <c r="E19" s="22" t="s">
        <v>18</v>
      </c>
      <c r="F19" s="23" t="s">
        <v>19</v>
      </c>
      <c r="G19" s="23" t="s">
        <v>20</v>
      </c>
      <c r="H19" s="23" t="s">
        <v>26</v>
      </c>
      <c r="J19" s="15">
        <v>100</v>
      </c>
      <c r="K19" s="21" t="str">
        <f>ADDRESS(ROW($C$20)+MATCH(J19,Table91316[Temperature (°C)],0)-1,COLUMN($C$20))</f>
        <v>$C$34</v>
      </c>
    </row>
    <row r="20" spans="3:15" x14ac:dyDescent="0.25">
      <c r="C20" s="24">
        <v>-30</v>
      </c>
      <c r="D20" s="25">
        <f>Table91316[[#This Row],[Temperature (°C)]]+_convert</f>
        <v>243.14999999999998</v>
      </c>
      <c r="E20" s="26">
        <v>168344.30000000002</v>
      </c>
      <c r="F20" s="27">
        <f>1/(_A+_B*LN(Table91316[[#This Row],[Mfg Spec (Ω)]])+_C*(LN(Table91316[[#This Row],[Mfg Spec (Ω)]]))^3)</f>
        <v>242.81071164436239</v>
      </c>
      <c r="G20" s="27">
        <f>Table91316[[#This Row],[Calculated (K)]]-_convert</f>
        <v>-30.339288355637592</v>
      </c>
      <c r="H20" s="27">
        <f>Table91316[[#This Row],[Temperature (°C)]]-Table91316[[#This Row],[Calc Temp (°C)]]</f>
        <v>0.33928835563759208</v>
      </c>
    </row>
    <row r="21" spans="3:15" ht="13.8" thickBot="1" x14ac:dyDescent="0.3">
      <c r="C21" s="24">
        <v>-20</v>
      </c>
      <c r="D21" s="25">
        <f>Table91316[[#This Row],[Temperature (°C)]]+_convert</f>
        <v>253.14999999999998</v>
      </c>
      <c r="E21" s="26">
        <v>93627.599999999991</v>
      </c>
      <c r="F21" s="27">
        <f>1/(_A+_B*LN(Table91316[[#This Row],[Mfg Spec (Ω)]])+_C*(LN(Table91316[[#This Row],[Mfg Spec (Ω)]]))^3)</f>
        <v>252.90075569341954</v>
      </c>
      <c r="G21" s="27">
        <f>Table91316[[#This Row],[Calculated (K)]]-_convert</f>
        <v>-20.249244306580437</v>
      </c>
      <c r="H21" s="27">
        <f>Table91316[[#This Row],[Temperature (°C)]]-Table91316[[#This Row],[Calc Temp (°C)]]</f>
        <v>0.24924430658043661</v>
      </c>
      <c r="J21" s="28" t="s">
        <v>21</v>
      </c>
      <c r="K21" s="29"/>
      <c r="L21" s="30"/>
      <c r="M21" s="9" t="s">
        <v>22</v>
      </c>
      <c r="N21" s="9" t="s">
        <v>23</v>
      </c>
    </row>
    <row r="22" spans="3:15" ht="13.8" thickTop="1" x14ac:dyDescent="0.25">
      <c r="C22" s="24">
        <v>-10</v>
      </c>
      <c r="D22" s="25">
        <f>Table91316[[#This Row],[Temperature (°C)]]+_convert</f>
        <v>263.14999999999998</v>
      </c>
      <c r="E22" s="26">
        <v>53889.899999999994</v>
      </c>
      <c r="F22" s="31">
        <f>1/(_A+_B*LN(Table91316[[#This Row],[Mfg Spec (Ω)]])+_C*(LN(Table91316[[#This Row],[Mfg Spec (Ω)]]))^3)</f>
        <v>263.00933202779629</v>
      </c>
      <c r="G22" s="31">
        <f>Table91316[[#This Row],[Calculated (K)]]-_convert</f>
        <v>-10.140667972203687</v>
      </c>
      <c r="H22" s="31">
        <f>Table91316[[#This Row],[Temperature (°C)]]-Table91316[[#This Row],[Calc Temp (°C)]]</f>
        <v>0.14066797220368699</v>
      </c>
      <c r="J22" s="32">
        <v>1</v>
      </c>
      <c r="K22" s="33">
        <f ca="1">LN(OFFSET(INDIRECT(K17),0,2))</f>
        <v>10.373228647322708</v>
      </c>
      <c r="L22" s="34">
        <f ca="1">LN(OFFSET(INDIRECT(K17),0,2))^3</f>
        <v>1116.1995735022156</v>
      </c>
      <c r="M22" s="14">
        <f ca="1">1/(OFFSET(INDIRECT(K17),0,0)+_convert)</f>
        <v>3.6609921288669233E-3</v>
      </c>
      <c r="N22" s="35">
        <f t="array" aca="1" ref="N22:N24" ca="1">MMULT(MINVERSE(J22:L24),M22:M24)</f>
        <v>1.1567979736398781E-3</v>
      </c>
      <c r="O22" t="s">
        <v>30</v>
      </c>
    </row>
    <row r="23" spans="3:15" x14ac:dyDescent="0.25">
      <c r="C23" s="24">
        <v>0</v>
      </c>
      <c r="D23" s="25">
        <f>Table91316[[#This Row],[Temperature (°C)]]+_convert</f>
        <v>273.14999999999998</v>
      </c>
      <c r="E23" s="26">
        <v>31991.599999999999</v>
      </c>
      <c r="F23" s="31">
        <f>1/(_A+_B*LN(Table91316[[#This Row],[Mfg Spec (Ω)]])+_C*(LN(Table91316[[#This Row],[Mfg Spec (Ω)]]))^3)</f>
        <v>273.14999999999975</v>
      </c>
      <c r="G23" s="31">
        <f>Table91316[[#This Row],[Calculated (K)]]-_convert</f>
        <v>0</v>
      </c>
      <c r="H23" s="31">
        <f>Table91316[[#This Row],[Temperature (°C)]]-Table91316[[#This Row],[Calc Temp (°C)]]</f>
        <v>0</v>
      </c>
      <c r="J23" s="37">
        <v>1</v>
      </c>
      <c r="K23" s="38">
        <f ca="1">LN(OFFSET(INDIRECT(K18),0,2))</f>
        <v>8.2000136481754335</v>
      </c>
      <c r="L23" s="39">
        <f ca="1">LN(OFFSET(INDIRECT(K18),0,2))^3</f>
        <v>551.37075311453077</v>
      </c>
      <c r="M23" s="38">
        <f ca="1">1/(OFFSET(INDIRECT(K18),0,0)+_convert)</f>
        <v>3.0945381401825778E-3</v>
      </c>
      <c r="N23" s="36">
        <f ca="1"/>
        <v>2.2781358460037364E-4</v>
      </c>
      <c r="O23" t="s">
        <v>31</v>
      </c>
    </row>
    <row r="24" spans="3:15" x14ac:dyDescent="0.25">
      <c r="C24" s="24">
        <v>10</v>
      </c>
      <c r="D24" s="25">
        <f>Table91316[[#This Row],[Temperature (°C)]]+_convert</f>
        <v>283.14999999999998</v>
      </c>
      <c r="E24" s="26">
        <v>19679.899999999998</v>
      </c>
      <c r="F24" s="31">
        <f>1/(_A+_B*LN(Table91316[[#This Row],[Mfg Spec (Ω)]])+_C*(LN(Table91316[[#This Row],[Mfg Spec (Ω)]]))^3)</f>
        <v>283.17386775371727</v>
      </c>
      <c r="G24" s="31">
        <f>Table91316[[#This Row],[Calculated (K)]]-_convert</f>
        <v>10.023867753717298</v>
      </c>
      <c r="H24" s="31">
        <f>Table91316[[#This Row],[Temperature (°C)]]-Table91316[[#This Row],[Calc Temp (°C)]]</f>
        <v>-2.3867753717297546E-2</v>
      </c>
      <c r="J24" s="40">
        <v>1</v>
      </c>
      <c r="K24" s="41">
        <f ca="1">LN(OFFSET(INDIRECT(K19),0,2))</f>
        <v>6.5311691304243498</v>
      </c>
      <c r="L24" s="42">
        <f ca="1">LN(OFFSET(INDIRECT(K19),0,2))^3</f>
        <v>278.59466209903695</v>
      </c>
      <c r="M24" s="43">
        <f ca="1">1/(OFFSET(INDIRECT(K19),0,0)+_convert)</f>
        <v>2.6798874447273215E-3</v>
      </c>
      <c r="N24" s="19">
        <f ca="1"/>
        <v>1.2634994363836931E-7</v>
      </c>
      <c r="O24" t="s">
        <v>32</v>
      </c>
    </row>
    <row r="25" spans="3:15" x14ac:dyDescent="0.25">
      <c r="C25" s="24">
        <v>20</v>
      </c>
      <c r="D25" s="25">
        <f>Table91316[[#This Row],[Temperature (°C)]]+_convert</f>
        <v>293.14999999999998</v>
      </c>
      <c r="E25" s="26">
        <v>12450.9</v>
      </c>
      <c r="F25" s="31">
        <f>1/(_A+_B*LN(Table91316[[#This Row],[Mfg Spec (Ω)]])+_C*(LN(Table91316[[#This Row],[Mfg Spec (Ω)]]))^3)</f>
        <v>293.17653690708386</v>
      </c>
      <c r="G25" s="31">
        <f>Table91316[[#This Row],[Calculated (K)]]-_convert</f>
        <v>20.02653690708388</v>
      </c>
      <c r="H25" s="31">
        <f>Table91316[[#This Row],[Temperature (°C)]]-Table91316[[#This Row],[Calc Temp (°C)]]</f>
        <v>-2.6536907083880124E-2</v>
      </c>
    </row>
    <row r="26" spans="3:15" x14ac:dyDescent="0.25">
      <c r="C26" s="24">
        <v>25</v>
      </c>
      <c r="D26" s="25">
        <f>Table91316[[#This Row],[Temperature (°C)]]+273.15</f>
        <v>298.14999999999998</v>
      </c>
      <c r="E26" s="26">
        <v>10000</v>
      </c>
      <c r="F26" s="31">
        <f>1/(_A+_B*LN(Table91316[[#This Row],[Mfg Spec (Ω)]])+_C*(LN(Table91316[[#This Row],[Mfg Spec (Ω)]]))^3)</f>
        <v>298.17298069733533</v>
      </c>
      <c r="G26" s="31">
        <f>Table91316[[#This Row],[Calculated (K)]]-_convert</f>
        <v>25.022980697335356</v>
      </c>
      <c r="H26" s="31">
        <f>Table91316[[#This Row],[Temperature (°C)]]-Table91316[[#This Row],[Calc Temp (°C)]]</f>
        <v>-2.2980697335356126E-2</v>
      </c>
    </row>
    <row r="27" spans="3:15" x14ac:dyDescent="0.25">
      <c r="C27" s="24">
        <v>30</v>
      </c>
      <c r="D27" s="25">
        <f>Table91316[[#This Row],[Temperature (°C)]]+_convert</f>
        <v>303.14999999999998</v>
      </c>
      <c r="E27" s="26">
        <v>8080.4</v>
      </c>
      <c r="F27" s="31">
        <f>1/(_A+_B*LN(Table91316[[#This Row],[Mfg Spec (Ω)]])+_C*(LN(Table91316[[#This Row],[Mfg Spec (Ω)]]))^3)</f>
        <v>303.16767845252252</v>
      </c>
      <c r="G27" s="31">
        <f>Table91316[[#This Row],[Calculated (K)]]-_convert</f>
        <v>30.017678452522546</v>
      </c>
      <c r="H27" s="31">
        <f>Table91316[[#This Row],[Temperature (°C)]]-Table91316[[#This Row],[Calc Temp (°C)]]</f>
        <v>-1.767845252254574E-2</v>
      </c>
    </row>
    <row r="28" spans="3:15" x14ac:dyDescent="0.25">
      <c r="C28" s="24">
        <v>40</v>
      </c>
      <c r="D28" s="25">
        <f>Table91316[[#This Row],[Temperature (°C)]]+_convert</f>
        <v>313.14999999999998</v>
      </c>
      <c r="E28" s="26">
        <v>5367</v>
      </c>
      <c r="F28" s="31">
        <f>1/(_A+_B*LN(Table91316[[#This Row],[Mfg Spec (Ω)]])+_C*(LN(Table91316[[#This Row],[Mfg Spec (Ω)]]))^3)</f>
        <v>313.15596716816827</v>
      </c>
      <c r="G28" s="31">
        <f>Table91316[[#This Row],[Calculated (K)]]-_convert</f>
        <v>40.005967168168297</v>
      </c>
      <c r="H28" s="31">
        <f>Table91316[[#This Row],[Temperature (°C)]]-Table91316[[#This Row],[Calc Temp (°C)]]</f>
        <v>-5.9671681682971212E-3</v>
      </c>
    </row>
    <row r="29" spans="3:15" x14ac:dyDescent="0.25">
      <c r="C29" s="24">
        <v>50</v>
      </c>
      <c r="D29" s="25">
        <f>Table91316[[#This Row],[Temperature (°C)]]+_convert</f>
        <v>323.14999999999998</v>
      </c>
      <c r="E29" s="26">
        <v>3641</v>
      </c>
      <c r="F29" s="31">
        <f>1/(_A+_B*LN(Table91316[[#This Row],[Mfg Spec (Ω)]])+_C*(LN(Table91316[[#This Row],[Mfg Spec (Ω)]]))^3)</f>
        <v>323.15000000000003</v>
      </c>
      <c r="G29" s="31">
        <f>Table91316[[#This Row],[Calculated (K)]]-_convert</f>
        <v>50.000000000000057</v>
      </c>
      <c r="H29" s="31">
        <f>Table91316[[#This Row],[Temperature (°C)]]-Table91316[[#This Row],[Calc Temp (°C)]]</f>
        <v>-5.6843418860808015E-14</v>
      </c>
    </row>
    <row r="30" spans="3:15" x14ac:dyDescent="0.25">
      <c r="C30" s="24">
        <v>60</v>
      </c>
      <c r="D30" s="25">
        <f>Table91316[[#This Row],[Temperature (°C)]]+_convert</f>
        <v>333.15</v>
      </c>
      <c r="E30" s="26">
        <v>2520.1</v>
      </c>
      <c r="F30" s="31">
        <f>1/(_A+_B*LN(Table91316[[#This Row],[Mfg Spec (Ω)]])+_C*(LN(Table91316[[#This Row],[Mfg Spec (Ω)]]))^3)</f>
        <v>333.13921246800294</v>
      </c>
      <c r="G30" s="31">
        <f>Table91316[[#This Row],[Calculated (K)]]-_convert</f>
        <v>59.989212468002961</v>
      </c>
      <c r="H30" s="31">
        <f>Table91316[[#This Row],[Temperature (°C)]]-Table91316[[#This Row],[Calc Temp (°C)]]</f>
        <v>1.0787531997038968E-2</v>
      </c>
    </row>
    <row r="31" spans="3:15" x14ac:dyDescent="0.25">
      <c r="C31" s="24">
        <v>70</v>
      </c>
      <c r="D31" s="25">
        <f>Table91316[[#This Row],[Temperature (°C)]]+_convert</f>
        <v>343.15</v>
      </c>
      <c r="E31" s="26">
        <v>1776.8999999999999</v>
      </c>
      <c r="F31" s="31">
        <f>1/(_A+_B*LN(Table91316[[#This Row],[Mfg Spec (Ω)]])+_C*(LN(Table91316[[#This Row],[Mfg Spec (Ω)]]))^3)</f>
        <v>343.12662321760934</v>
      </c>
      <c r="G31" s="31">
        <f>Table91316[[#This Row],[Calculated (K)]]-_convert</f>
        <v>69.976623217609358</v>
      </c>
      <c r="H31" s="31">
        <f>Table91316[[#This Row],[Temperature (°C)]]-Table91316[[#This Row],[Calc Temp (°C)]]</f>
        <v>2.3376782390641893E-2</v>
      </c>
    </row>
    <row r="32" spans="3:15" x14ac:dyDescent="0.25">
      <c r="C32" s="24">
        <v>80</v>
      </c>
      <c r="D32" s="25">
        <f>Table91316[[#This Row],[Temperature (°C)]]+273.15</f>
        <v>353.15</v>
      </c>
      <c r="E32" s="26">
        <v>1274.3</v>
      </c>
      <c r="F32" s="31">
        <f>1/(_A+_B*LN(Table91316[[#This Row],[Mfg Spec (Ω)]])+_C*(LN(Table91316[[#This Row],[Mfg Spec (Ω)]]))^3)</f>
        <v>353.12144437615245</v>
      </c>
      <c r="G32" s="31">
        <f>Table91316[[#This Row],[Calculated (K)]]-_convert</f>
        <v>79.971444376152476</v>
      </c>
      <c r="H32" s="31">
        <f>Table91316[[#This Row],[Temperature (°C)]]-Table91316[[#This Row],[Calc Temp (°C)]]</f>
        <v>2.8555623847523748E-2</v>
      </c>
    </row>
    <row r="33" spans="3:8" x14ac:dyDescent="0.25">
      <c r="C33" s="24">
        <v>90</v>
      </c>
      <c r="D33" s="25">
        <f>Table91316[[#This Row],[Temperature (°C)]]+273.15</f>
        <v>363.15</v>
      </c>
      <c r="E33" s="26">
        <v>928.3</v>
      </c>
      <c r="F33" s="31">
        <f>1/(_A+_B*LN(Table91316[[#This Row],[Mfg Spec (Ω)]])+_C*(LN(Table91316[[#This Row],[Mfg Spec (Ω)]]))^3)</f>
        <v>363.1286411246366</v>
      </c>
      <c r="G33" s="31">
        <f>Table91316[[#This Row],[Calculated (K)]]-_convert</f>
        <v>89.978641124636624</v>
      </c>
      <c r="H33" s="31">
        <f>Table91316[[#This Row],[Temperature (°C)]]-Table91316[[#This Row],[Calc Temp (°C)]]</f>
        <v>2.1358875363375773E-2</v>
      </c>
    </row>
    <row r="34" spans="3:8" x14ac:dyDescent="0.25">
      <c r="C34" s="24">
        <v>100</v>
      </c>
      <c r="D34" s="25">
        <f>Table91316[[#This Row],[Temperature (°C)]]+_convert</f>
        <v>373.15</v>
      </c>
      <c r="E34" s="26">
        <v>686.2</v>
      </c>
      <c r="F34" s="31">
        <f>1/(_A+_B*LN(Table91316[[#This Row],[Mfg Spec (Ω)]])+_C*(LN(Table91316[[#This Row],[Mfg Spec (Ω)]]))^3)</f>
        <v>373.15000000000043</v>
      </c>
      <c r="G34" s="31">
        <f>Table91316[[#This Row],[Calculated (K)]]-_convert</f>
        <v>100.00000000000045</v>
      </c>
      <c r="H34" s="31">
        <f>Table91316[[#This Row],[Temperature (°C)]]-Table91316[[#This Row],[Calc Temp (°C)]]</f>
        <v>-4.5474735088646412E-13</v>
      </c>
    </row>
    <row r="35" spans="3:8" x14ac:dyDescent="0.25">
      <c r="C35" s="24">
        <v>110</v>
      </c>
      <c r="D35" s="25">
        <f>Table91316[[#This Row],[Temperature (°C)]]+273.15</f>
        <v>383.15</v>
      </c>
      <c r="E35" s="26">
        <v>514.29999999999995</v>
      </c>
      <c r="F35" s="31">
        <f>1/(_A+_B*LN(Table91316[[#This Row],[Mfg Spec (Ω)]])+_C*(LN(Table91316[[#This Row],[Mfg Spec (Ω)]]))^3)</f>
        <v>383.18067849869271</v>
      </c>
      <c r="G35" s="31">
        <f>Table91316[[#This Row],[Calculated (K)]]-_convert</f>
        <v>110.03067849869274</v>
      </c>
      <c r="H35" s="31">
        <f>Table91316[[#This Row],[Temperature (°C)]]-Table91316[[#This Row],[Calc Temp (°C)]]</f>
        <v>-3.0678498692736866E-2</v>
      </c>
    </row>
    <row r="36" spans="3:8" x14ac:dyDescent="0.25">
      <c r="C36" s="24">
        <v>120</v>
      </c>
      <c r="D36" s="25">
        <f>Table91316[[#This Row],[Temperature (°C)]]+273.15</f>
        <v>393.15</v>
      </c>
      <c r="E36" s="26">
        <v>390.7</v>
      </c>
      <c r="F36" s="31">
        <f>1/(_A+_B*LN(Table91316[[#This Row],[Mfg Spec (Ω)]])+_C*(LN(Table91316[[#This Row],[Mfg Spec (Ω)]]))^3)</f>
        <v>393.20042973828737</v>
      </c>
      <c r="G36" s="31">
        <f>Table91316[[#This Row],[Calculated (K)]]-_convert</f>
        <v>120.05042973828739</v>
      </c>
      <c r="H36" s="31">
        <f>Table91316[[#This Row],[Temperature (°C)]]-Table91316[[#This Row],[Calc Temp (°C)]]</f>
        <v>-5.0429738287391501E-2</v>
      </c>
    </row>
    <row r="37" spans="3:8" x14ac:dyDescent="0.25">
      <c r="C37" s="24">
        <v>130</v>
      </c>
      <c r="D37" s="25">
        <f>Table91316[[#This Row],[Temperature (°C)]]+273.15</f>
        <v>403.15</v>
      </c>
      <c r="E37" s="26">
        <v>300.40000000000003</v>
      </c>
      <c r="F37" s="31">
        <f>1/(_A+_B*LN(Table91316[[#This Row],[Mfg Spec (Ω)]])+_C*(LN(Table91316[[#This Row],[Mfg Spec (Ω)]]))^3)</f>
        <v>403.23185042982561</v>
      </c>
      <c r="G37" s="31">
        <f>Table91316[[#This Row],[Calculated (K)]]-_convert</f>
        <v>130.08185042982564</v>
      </c>
      <c r="H37" s="31">
        <f>Table91316[[#This Row],[Temperature (°C)]]-Table91316[[#This Row],[Calc Temp (°C)]]</f>
        <v>-8.1850429825635729E-2</v>
      </c>
    </row>
  </sheetData>
  <conditionalFormatting sqref="C20:H37">
    <cfRule type="expression" dxfId="2" priority="1">
      <formula>ADDRESS(ROW(),COLUMN(INDIRECT($K$17)))=$K$17</formula>
    </cfRule>
    <cfRule type="expression" dxfId="1" priority="2">
      <formula>ADDRESS(ROW(),COLUMN(INDIRECT($K$18)))=$K$18</formula>
    </cfRule>
    <cfRule type="expression" dxfId="0" priority="3">
      <formula>ADDRESS(ROW(),COLUMN(INDIRECT($K$19)))=$K$19</formula>
    </cfRule>
  </conditionalFormatting>
  <hyperlinks>
    <hyperlink ref="C9" r:id="rId1" xr:uid="{30A94CF5-D5E2-44D7-A8FA-3AD7C6BADEF8}"/>
  </hyperlinks>
  <pageMargins left="0.7" right="0.7" top="0.75" bottom="0.75" header="0.3" footer="0.3"/>
  <pageSetup orientation="portrait" horizontalDpi="300" verticalDpi="300" r:id="rId2"/>
  <drawing r:id="rId3"/>
  <legacyDrawing r:id="rId4"/>
  <oleObjects>
    <mc:AlternateContent xmlns:mc="http://schemas.openxmlformats.org/markup-compatibility/2006">
      <mc:Choice Requires="x14">
        <oleObject progId="Acrobat Document" dvAspect="DVASPECT_ICON" shapeId="1025" r:id="rId5">
          <objectPr defaultSize="0" r:id="rId6">
            <anchor moveWithCells="1">
              <from>
                <xdr:col>3</xdr:col>
                <xdr:colOff>182880</xdr:colOff>
                <xdr:row>5</xdr:row>
                <xdr:rowOff>129540</xdr:rowOff>
              </from>
              <to>
                <xdr:col>3</xdr:col>
                <xdr:colOff>1097280</xdr:colOff>
                <xdr:row>9</xdr:row>
                <xdr:rowOff>129540</xdr:rowOff>
              </to>
            </anchor>
          </objectPr>
        </oleObject>
      </mc:Choice>
      <mc:Fallback>
        <oleObject progId="Acrobat Document" dvAspect="DVASPECT_ICON" shapeId="1025" r:id="rId5"/>
      </mc:Fallback>
    </mc:AlternateContent>
  </oleObjects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Example</vt:lpstr>
      <vt:lpstr>Example!_A</vt:lpstr>
      <vt:lpstr>Example!_B</vt:lpstr>
      <vt:lpstr>Example!_C</vt:lpstr>
      <vt:lpstr>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2019-10-31T15:09:55Z</dcterms:created>
  <dcterms:modified xsi:type="dcterms:W3CDTF">2019-11-03T01:48:35Z</dcterms:modified>
</cp:coreProperties>
</file>