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Velocity Calculation" sheetId="1" r:id="rId4"/>
    <sheet name="Chopper Parameters" sheetId="2" r:id="rId5"/>
    <sheet name="Power Dissipation" sheetId="3" r:id="rId6"/>
    <sheet name="Rsense" sheetId="4" r:id="rId7"/>
    <sheet name="RDSonSense" sheetId="5" r:id="rId8"/>
    <sheet name="Datagram CRC calc" sheetId="6" r:id="rId9"/>
    <sheet name="Revision History" sheetId="7" r:id="rId10"/>
  </sheets>
</workbook>
</file>

<file path=xl/sharedStrings.xml><?xml version="1.0" encoding="utf-8"?>
<sst xmlns="http://schemas.openxmlformats.org/spreadsheetml/2006/main" uniqueCount="237">
  <si>
    <t>This spreadsheet allows the calculation of target velocity and TSTEP time for the internal pulse generator of the TMC220x/TMC222x</t>
  </si>
  <si>
    <t>Usage:</t>
  </si>
  <si>
    <t>1. First enter the highlighted values in Parameters and settings</t>
  </si>
  <si>
    <t>2. Now you can use one of the calculations (1. - 4.) by entering the known parameters (green)</t>
  </si>
  <si>
    <t>Parameters and settings</t>
  </si>
  <si>
    <t>RPM</t>
  </si>
  <si>
    <t>Desired Velocity</t>
  </si>
  <si>
    <t>t</t>
  </si>
  <si>
    <t>=</t>
  </si>
  <si>
    <t xml:space="preserve"> 2^24/fCLK</t>
  </si>
  <si>
    <t>[sec]</t>
  </si>
  <si>
    <t>µS/FS</t>
  </si>
  <si>
    <t>µStepresolution (256)</t>
  </si>
  <si>
    <t>VACTUAL</t>
  </si>
  <si>
    <t>0 … 2^23-512</t>
  </si>
  <si>
    <t>[µS/t]</t>
  </si>
  <si>
    <t>°</t>
  </si>
  <si>
    <t>Fullstep angel</t>
  </si>
  <si>
    <t>fCLK</t>
  </si>
  <si>
    <t>Hz</t>
  </si>
  <si>
    <t>FS/360°</t>
  </si>
  <si>
    <t>Fullsteps per revolution</t>
  </si>
  <si>
    <t>µS/360°</t>
  </si>
  <si>
    <t>µSteps per revolution</t>
  </si>
  <si>
    <t>:1</t>
  </si>
  <si>
    <t>gear ratio</t>
  </si>
  <si>
    <t>1. VACTUAL to real world units</t>
  </si>
  <si>
    <t>&lt;--Entry desired VMAX setting here!</t>
  </si>
  <si>
    <t>RPS</t>
  </si>
  <si>
    <t>motor shaft</t>
  </si>
  <si>
    <t>deg/sec</t>
  </si>
  <si>
    <t>gear box out</t>
  </si>
  <si>
    <t>[µSteps/s]</t>
  </si>
  <si>
    <t>2. real world units to VACTUAL</t>
  </si>
  <si>
    <t>&lt;--Entry desired rotations per second here!</t>
  </si>
  <si>
    <t>3. real world units (gearbox) to VACTUAL</t>
  </si>
  <si>
    <t>4. VACTUAL to TSTEP</t>
  </si>
  <si>
    <t>TSTEP</t>
  </si>
  <si>
    <t>TSTEP compare value for TPWMTHRS, TCOOLTHRS or THIGH</t>
  </si>
  <si>
    <t>This spreadsheet allows the calculation of spreadCycle chopper parameter settings and sense resistor values</t>
  </si>
  <si>
    <t>1. Enter the highlighted system parameters and settings like clock frequency and supply voltage as well as motor parameters.</t>
  </si>
  <si>
    <t>2. Check the resulting sense resistor value (C46 or C47) and modify the current scale setting (CS in C26) if you want to use a different sense resistor value</t>
  </si>
  <si>
    <t>3. Check that all hints fileds show OK and modify toff setting (C20) if desired.</t>
  </si>
  <si>
    <t>4. Use the resulting hysteresis values (F32, F33) as a start value for parameter optimization</t>
  </si>
  <si>
    <t>fCLK[MHz] :=</t>
  </si>
  <si>
    <t>System clock frequency</t>
  </si>
  <si>
    <t>tCLK[s] =</t>
  </si>
  <si>
    <t>VM[V] :=</t>
  </si>
  <si>
    <t>Driver power supply voltage</t>
  </si>
  <si>
    <t>TBL :=</t>
  </si>
  <si>
    <t>Blank time setting (0-3; default: 2)</t>
  </si>
  <si>
    <t>tBLANK[s] =</t>
  </si>
  <si>
    <t>duration of blank time as set by TBL (=0, 1, 2, 3) &lt;=&gt; 16, 24, 32, 40 tCLK</t>
  </si>
  <si>
    <t>Motor parameters</t>
  </si>
  <si>
    <t>L[H] :=</t>
  </si>
  <si>
    <t>Motor coil inductivity (1mH = 0.001H)</t>
  </si>
  <si>
    <t>Rcoil[Ohm] :=</t>
  </si>
  <si>
    <t>Icoil (peak)[A] :=</t>
  </si>
  <si>
    <t>determined by Rsense, CurrentScale (CS), Vsense</t>
  </si>
  <si>
    <t>Icoil (RMS)[A] =</t>
  </si>
  <si>
    <t>Additional settings</t>
  </si>
  <si>
    <t>toff setting :=</t>
  </si>
  <si>
    <t>Typical values are in the range 3 to 8</t>
  </si>
  <si>
    <t>tSD[s] =</t>
  </si>
  <si>
    <t>Duration of slow decay phase (twice per chopper cycle)</t>
  </si>
  <si>
    <t>dIcoilBBM[A] =</t>
  </si>
  <si>
    <t>Coil current drop during power stage BBM time (appr. 200ns)</t>
  </si>
  <si>
    <t>dIcoilblank[A] =</t>
  </si>
  <si>
    <t>Coil current drop during blank time</t>
  </si>
  <si>
    <t>dIcoilsd[A] =</t>
  </si>
  <si>
    <t>Coil current drop during slow decay time</t>
  </si>
  <si>
    <t>CS :=</t>
  </si>
  <si>
    <t>Current Scale Setting (0 to 31)</t>
  </si>
  <si>
    <t xml:space="preserve">Hint: </t>
  </si>
  <si>
    <t>OK</t>
  </si>
  <si>
    <t>Results</t>
  </si>
  <si>
    <t>HystStart_MIN =</t>
  </si>
  <si>
    <t>0 ... 5 fits for most stepper motor types as initial value</t>
  </si>
  <si>
    <t>((HSTR + HEND) &gt; HystStart_MIN)</t>
  </si>
  <si>
    <t>HEND = 0 or larger, if HystStart_MIN  &gt; 7</t>
  </si>
  <si>
    <t>Settings for HSTART and HEND</t>
  </si>
  <si>
    <t>Desired Value</t>
  </si>
  <si>
    <t>Register value for CHOPCONF register bits</t>
  </si>
  <si>
    <t>Sample values HSTRT</t>
  </si>
  <si>
    <t>(1...8)</t>
  </si>
  <si>
    <t>HSTRT setting</t>
  </si>
  <si>
    <t>&lt;-- This is the minimum value which should be considered for HSTRT, larger values can be used to yield lower chopper frequency</t>
  </si>
  <si>
    <t>Sample values HEND</t>
  </si>
  <si>
    <t>(-3...12)</t>
  </si>
  <si>
    <t>HEND setting</t>
  </si>
  <si>
    <t>&lt;-- This is the minimum value which should be considered for HEND, larger values can be used to yield lower chopper frequency</t>
  </si>
  <si>
    <t>chopper frequency limit [kHz]</t>
  </si>
  <si>
    <t>Theoretical maximum value - the actual chopper frequency will be 90% to 50% of this value depending on operation conditions or when higher hysteresis values are used</t>
  </si>
  <si>
    <t>Attention: Motor frequency might get quite high - work with increased hysteresis setting and measure actual frequency, or use ChopSync</t>
  </si>
  <si>
    <t>Umotnom[V] =</t>
  </si>
  <si>
    <t xml:space="preserve">Nominal motor voltage </t>
  </si>
  <si>
    <t>Derived motor specific limits for the supply voltage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</si>
  <si>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</si>
  <si>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</si>
  <si>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</si>
  <si>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</si>
  <si>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Automatic calculation of sense resistor values (based on CS and Icoil Peak)</t>
  </si>
  <si>
    <r>
      <rPr>
        <b val="1"/>
        <sz val="11"/>
        <color indexed="16"/>
        <rFont val="Calibri"/>
      </rPr>
      <t>Rsense</t>
    </r>
    <r>
      <rPr>
        <sz val="11"/>
        <color indexed="16"/>
        <rFont val="Calibri"/>
      </rPr>
      <t xml:space="preserve"> using VSENSE=0</t>
    </r>
  </si>
  <si>
    <t>Ohm</t>
  </si>
  <si>
    <t>Modify the current scale setting if a value near to this result (e.g. within a +/-3% range) is not available</t>
  </si>
  <si>
    <r>
      <rPr>
        <b val="1"/>
        <sz val="11"/>
        <color indexed="16"/>
        <rFont val="Calibri"/>
      </rPr>
      <t>Rsense</t>
    </r>
    <r>
      <rPr>
        <sz val="11"/>
        <color indexed="16"/>
        <rFont val="Calibri"/>
      </rPr>
      <t xml:space="preserve"> using VSENSE=1</t>
    </r>
  </si>
  <si>
    <t>This spreadsheet allows the calculation of the power dissipation of the driver IC and sense resistors</t>
  </si>
  <si>
    <t>The calculation sheet assumes operation with spread cycle chopper at medium motor velocity, which is a typical worst case scenario.</t>
  </si>
  <si>
    <t>1. Enter the system values like clock frequency and supply voltage as well as motor parameters into the fields highlighted yellow.</t>
  </si>
  <si>
    <t>2. Now you can read out the power dissipation for the IC and for the sense resistors</t>
  </si>
  <si>
    <t>Please enter Values higlighted according to your settings</t>
  </si>
  <si>
    <t>Driver supply voltage</t>
  </si>
  <si>
    <t>Motor data</t>
  </si>
  <si>
    <t>Motor current</t>
  </si>
  <si>
    <t>determined by Rsense, CurrentScale (CS), Vsense, this is typically the RMS motor coil current  *1.41</t>
  </si>
  <si>
    <t>Icoil (RMS)[A] :=</t>
  </si>
  <si>
    <t>RMS current required by motor</t>
  </si>
  <si>
    <t>Motor coil resistance</t>
  </si>
  <si>
    <t>Rcoil[Ohms] :=</t>
  </si>
  <si>
    <t>DC coil resistance</t>
  </si>
  <si>
    <t>Chopper parameters</t>
  </si>
  <si>
    <t>Slow decay time</t>
  </si>
  <si>
    <r>
      <rPr>
        <sz val="11"/>
        <color indexed="8"/>
        <rFont val="Calibri"/>
      </rPr>
      <t xml:space="preserve">Chopper frequency calculated for lowest good hysteresis setting using </t>
    </r>
    <r>
      <rPr>
        <i val="1"/>
        <sz val="11"/>
        <color indexed="8"/>
        <rFont val="Calibri"/>
      </rPr>
      <t>spreadCycle</t>
    </r>
  </si>
  <si>
    <t>fCHOP[kHz]=</t>
  </si>
  <si>
    <t>The chopper frequency depends on the toff setting and on the duty cycle, which is determined by many factors</t>
  </si>
  <si>
    <t>Duty cycle assumed for typical operating condition using spreadCycle</t>
  </si>
  <si>
    <t>Dutycycle Highside=</t>
  </si>
  <si>
    <t>The duty cycle describes the time of a chopper period, where a high side MOSFET is on: 0.3=30% of the time, 70% slow decay portion)</t>
  </si>
  <si>
    <t>Driver IC</t>
  </si>
  <si>
    <t>Calculationof power dissipation</t>
  </si>
  <si>
    <t>MOSFET data for 25°C</t>
  </si>
  <si>
    <t>RON_highside[Ohm]:=</t>
  </si>
  <si>
    <t>you may want to use worst case values</t>
  </si>
  <si>
    <t>RON_lowside[Ohm]:=</t>
  </si>
  <si>
    <t>Assumed die temperatur under worst case</t>
  </si>
  <si>
    <t>Chip Temperature [°C] :=</t>
  </si>
  <si>
    <t>Assume maximum die temperature in your application within the device limits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</si>
  <si>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</si>
  <si>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</si>
  <si>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</si>
  <si>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</si>
  <si>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</si>
  <si>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</si>
  <si>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</si>
  <si>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</si>
  <si>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</si>
  <si>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</si>
  <si>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</si>
  <si>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</si>
  <si>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</si>
  <si>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</si>
  <si>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</si>
  <si>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</si>
  <si>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</si>
  <si>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</si>
  <si>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</si>
  <si>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for complete two fullbridges (per motor)</t>
  </si>
  <si>
    <t>PMOSFETs[W]=</t>
  </si>
  <si>
    <t>Power consumption from VSA at VS voltage</t>
  </si>
  <si>
    <t>P_LinRegulator[W]=</t>
  </si>
  <si>
    <t>Power dissipation for complete Chip</t>
  </si>
  <si>
    <t>P for this chip [W]</t>
  </si>
  <si>
    <t>Power dissipation for each sense resistor</t>
  </si>
  <si>
    <t>Sense resistor [Ohm]:=</t>
  </si>
  <si>
    <t>Use the sense resistor value selected or use Chopper Parameter Tab for calculation</t>
  </si>
  <si>
    <t>Typical Rsense power dissipation[W]=</t>
  </si>
  <si>
    <t>&lt;-- The power dissipation is during motion at RMS current. It might vary up to +100% depending on chopper settings especially at high motor velocity</t>
  </si>
  <si>
    <t>Maximum Rsense power dissipation[W]=</t>
  </si>
  <si>
    <t>&lt;-- Assumed worst case power dissipation for seletion of resistor type</t>
  </si>
  <si>
    <t>VSRTL</t>
  </si>
  <si>
    <t>mV</t>
  </si>
  <si>
    <t>VSRTH</t>
  </si>
  <si>
    <t>Low sensitivity (standard setting, VSENSE=0)</t>
  </si>
  <si>
    <r>
      <rPr>
        <b val="1"/>
        <sz val="11"/>
        <color indexed="8"/>
        <rFont val="Calibri"/>
      </rPr>
      <t>Sense Resistor value [Ω]</t>
    </r>
  </si>
  <si>
    <t>Peak current [A]</t>
  </si>
  <si>
    <t>RMS current [A] *)</t>
  </si>
  <si>
    <t>Max. RMS sense resistor power dissipation [W]</t>
  </si>
  <si>
    <t>(CS=31, i.e. max. current setting)</t>
  </si>
  <si>
    <t>&lt;0,1W: 0603 resistor is OK</t>
  </si>
  <si>
    <t>&lt;0,25W: 0805 resistor is OK</t>
  </si>
  <si>
    <t>&lt;0,5W: 1206 resistor is OK</t>
  </si>
  <si>
    <t>High sensitivity (standard setting, VSENSE=1)</t>
  </si>
  <si>
    <t>(not recommended due to high influence of wiring resistance)</t>
  </si>
  <si>
    <t>*) In a practical setup, RMS current will be slightly lower by roughly 5-15% due to current ripple in the motor</t>
  </si>
  <si>
    <t>This spreadsheet allows looking up the fitting Reference Resistor for a given maximum motor peak current</t>
  </si>
  <si>
    <t>RREF [kOhm]</t>
  </si>
  <si>
    <t>IREF [A]</t>
  </si>
  <si>
    <t>IPEAK [A] (VSENSE=0)</t>
  </si>
  <si>
    <t>IRMS [A] (VSENSE=0)</t>
  </si>
  <si>
    <t>IPEAK [A] (VSENSE=1)</t>
  </si>
  <si>
    <t>IRMS [A] (VSENSE=1)</t>
  </si>
  <si>
    <t>Calculation of the CRC Byte</t>
  </si>
  <si>
    <t>Hint: Fill your datagram into the yellow fields</t>
  </si>
  <si>
    <t>Write Access</t>
  </si>
  <si>
    <t>Sync byte (fix)</t>
  </si>
  <si>
    <t>Address (0-3)</t>
  </si>
  <si>
    <t>Register for Write</t>
  </si>
  <si>
    <t>data 3</t>
  </si>
  <si>
    <t>data 2</t>
  </si>
  <si>
    <t>data 1</t>
  </si>
  <si>
    <t>data 0</t>
  </si>
  <si>
    <t>CRC</t>
  </si>
  <si>
    <t xml:space="preserve">Write Datagram Hex with CRC: </t>
  </si>
  <si>
    <t>5</t>
  </si>
  <si>
    <t>0</t>
  </si>
  <si>
    <t>10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</si>
  <si>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</si>
  <si>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</si>
  <si>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</si>
  <si>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</si>
  <si>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</si>
  <si>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</si>
  <si>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</si>
  <si>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</si>
  <si>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</si>
  <si>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</si>
  <si>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</si>
  <si>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</si>
  <si>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</si>
  <si>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</si>
  <si>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</si>
  <si>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</si>
  <si>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</si>
  <si>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</si>
  <si>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6</t>
  </si>
  <si>
    <t>Read Datagram Dec:</t>
  </si>
  <si>
    <t>File :</t>
  </si>
  <si>
    <t>TMC2226_Calculations.xlsx</t>
  </si>
  <si>
    <t>THIS CODE AND INFORMATION IS PROVIDED "AS IS" WITHOUT WARRANTY OF ANY  KIND, EITHER EXPRESSED OR IMPLIED.</t>
  </si>
  <si>
    <t>Date</t>
  </si>
  <si>
    <t>Author</t>
  </si>
  <si>
    <t>Comment</t>
  </si>
  <si>
    <t>2019-Feb-08</t>
  </si>
  <si>
    <t>BD</t>
  </si>
  <si>
    <t>Initial version based on TMC220x_TMC222x_Calculations.xls, Adapted</t>
  </si>
  <si>
    <t>2020-Feb-19</t>
  </si>
  <si>
    <t>Added CRC calculation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</si>
</sst>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0.000000"/>
    <numFmt numFmtId="60" formatCode="##0.00E+00"/>
    <numFmt numFmtId="61" formatCode="0.0000"/>
    <numFmt numFmtId="62" formatCode="0.000"/>
    <numFmt numFmtId="63" formatCode="0.0"/>
  </numFmts>
  <fonts count="18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4"/>
      <color indexed="8"/>
      <name val="Calibri"/>
    </font>
    <font>
      <sz val="14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b val="1"/>
      <sz val="11"/>
      <color indexed="8"/>
      <name val="Calibri"/>
    </font>
    <font>
      <b val="1"/>
      <sz val="11"/>
      <color indexed="14"/>
      <name val="Calibri"/>
    </font>
    <font>
      <i val="1"/>
      <sz val="11"/>
      <color indexed="8"/>
      <name val="Calibri"/>
    </font>
    <font>
      <b val="1"/>
      <i val="1"/>
      <sz val="11"/>
      <color indexed="16"/>
      <name val="Calibri"/>
    </font>
    <font>
      <b val="1"/>
      <sz val="11"/>
      <color indexed="16"/>
      <name val="Calibri"/>
    </font>
    <font>
      <sz val="11"/>
      <color indexed="16"/>
      <name val="Calibri"/>
    </font>
    <font>
      <sz val="11"/>
      <color indexed="14"/>
      <name val="Calibri"/>
    </font>
    <font>
      <b val="1"/>
      <sz val="10"/>
      <color indexed="8"/>
      <name val="Arial"/>
    </font>
    <font>
      <sz val="16"/>
      <color indexed="8"/>
      <name val="Calibri"/>
    </font>
    <font>
      <i val="1"/>
      <sz val="12"/>
      <color indexed="8"/>
      <name val="Calibri"/>
    </font>
    <font>
      <b val="1"/>
      <i val="1"/>
      <sz val="10"/>
      <color indexed="14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4" borderId="1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4" borderId="2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5" borderId="3" applyNumberFormat="1" applyFont="1" applyFill="0" applyBorder="1" applyAlignment="1" applyProtection="0">
      <alignment vertical="bottom"/>
    </xf>
    <xf numFmtId="49" fontId="6" fillId="2" borderId="4" applyNumberFormat="1" applyFont="1" applyFill="1" applyBorder="1" applyAlignment="1" applyProtection="0">
      <alignment vertical="bottom"/>
    </xf>
    <xf numFmtId="0" fontId="4" fillId="2" borderId="4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5" borderId="3" applyNumberFormat="0" applyFont="1" applyFill="0" applyBorder="1" applyAlignment="1" applyProtection="0">
      <alignment vertical="bottom"/>
    </xf>
    <xf numFmtId="49" fontId="6" fillId="3" borderId="4" applyNumberFormat="1" applyFont="1" applyFill="1" applyBorder="1" applyAlignment="1" applyProtection="0">
      <alignment vertical="bottom"/>
    </xf>
    <xf numFmtId="0" fontId="4" fillId="3" borderId="4" applyNumberFormat="0" applyFont="1" applyFill="1" applyBorder="1" applyAlignment="1" applyProtection="0">
      <alignment vertical="bottom"/>
    </xf>
    <xf numFmtId="0" fontId="0" fillId="3" borderId="4" applyNumberFormat="0" applyFont="1" applyFill="1" applyBorder="1" applyAlignment="1" applyProtection="0">
      <alignment vertical="bottom"/>
    </xf>
    <xf numFmtId="0" fontId="0" fillId="3" borderId="5" applyNumberFormat="0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fillId="2" borderId="9" applyNumberFormat="1" applyFont="1" applyFill="1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2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0" fontId="7" borderId="1" applyNumberFormat="0" applyFont="1" applyFill="0" applyBorder="1" applyAlignment="1" applyProtection="0">
      <alignment vertical="bottom"/>
    </xf>
    <xf numFmtId="1" fontId="0" fillId="3" borderId="9" applyNumberFormat="1" applyFont="1" applyFill="1" applyBorder="1" applyAlignment="1" applyProtection="0">
      <alignment vertical="bottom"/>
    </xf>
    <xf numFmtId="2" fontId="0" borderId="12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2" fontId="7" borderId="1" applyNumberFormat="1" applyFont="1" applyFill="0" applyBorder="1" applyAlignment="1" applyProtection="0">
      <alignment vertical="bottom"/>
    </xf>
    <xf numFmtId="2" fontId="0" fillId="3" borderId="9" applyNumberFormat="1" applyFont="1" applyFill="1" applyBorder="1" applyAlignment="1" applyProtection="0">
      <alignment vertical="bottom"/>
    </xf>
    <xf numFmtId="1" fontId="7" borderId="1" applyNumberFormat="1" applyFont="1" applyFill="0" applyBorder="1" applyAlignment="1" applyProtection="0">
      <alignment vertical="bottom"/>
    </xf>
    <xf numFmtId="0" fontId="7" borderId="8" applyNumberFormat="0" applyFont="1" applyFill="0" applyBorder="1" applyAlignment="1" applyProtection="0">
      <alignment vertical="bottom"/>
    </xf>
    <xf numFmtId="1" fontId="7" borderId="1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49" fontId="7" borderId="3" applyNumberFormat="1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7" borderId="3" applyNumberFormat="0" applyFont="1" applyFill="0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49" fontId="0" fillId="5" borderId="4" applyNumberFormat="1" applyFont="1" applyFill="1" applyBorder="1" applyAlignment="1" applyProtection="0">
      <alignment vertical="bottom"/>
    </xf>
    <xf numFmtId="0" fontId="0" fillId="5" borderId="4" applyNumberFormat="0" applyFont="1" applyFill="1" applyBorder="1" applyAlignment="1" applyProtection="0">
      <alignment vertical="bottom"/>
    </xf>
    <xf numFmtId="0" fontId="0" fillId="5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0" fillId="4" borderId="8" applyNumberFormat="1" applyFont="1" applyFill="1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60" fontId="0" borderId="12" applyNumberFormat="1" applyFont="1" applyFill="0" applyBorder="1" applyAlignment="1" applyProtection="0">
      <alignment vertical="bottom"/>
    </xf>
    <xf numFmtId="11" fontId="0" borderId="7" applyNumberFormat="1" applyFont="1" applyFill="0" applyBorder="1" applyAlignment="1" applyProtection="0">
      <alignment vertical="bottom"/>
    </xf>
    <xf numFmtId="61" fontId="0" fillId="2" borderId="13" applyNumberFormat="1" applyFont="1" applyFill="1" applyBorder="1" applyAlignment="1" applyProtection="0">
      <alignment vertical="bottom"/>
    </xf>
    <xf numFmtId="11" fontId="0" borderId="10" applyNumberFormat="1" applyFont="1" applyFill="0" applyBorder="1" applyAlignment="1" applyProtection="0">
      <alignment vertical="bottom"/>
    </xf>
    <xf numFmtId="0" fontId="0" fillId="2" borderId="15" applyNumberFormat="1" applyFont="1" applyFill="1" applyBorder="1" applyAlignment="1" applyProtection="0">
      <alignment vertical="bottom"/>
    </xf>
    <xf numFmtId="62" fontId="0" borderId="12" applyNumberFormat="1" applyFont="1" applyFill="0" applyBorder="1" applyAlignment="1" applyProtection="0">
      <alignment vertical="bottom"/>
    </xf>
    <xf numFmtId="62" fontId="0" borderId="7" applyNumberFormat="1" applyFont="1" applyFill="0" applyBorder="1" applyAlignment="1" applyProtection="0">
      <alignment vertical="bottom"/>
    </xf>
    <xf numFmtId="0" fontId="0" fillId="3" borderId="9" applyNumberFormat="1" applyFont="1" applyFill="1" applyBorder="1" applyAlignment="1" applyProtection="0">
      <alignment vertical="bottom"/>
    </xf>
    <xf numFmtId="62" fontId="0" borderId="1" applyNumberFormat="1" applyFont="1" applyFill="0" applyBorder="1" applyAlignment="1" applyProtection="0">
      <alignment vertical="bottom"/>
    </xf>
    <xf numFmtId="49" fontId="0" fillId="4" borderId="2" applyNumberFormat="1" applyFont="1" applyFill="1" applyBorder="1" applyAlignment="1" applyProtection="0">
      <alignment vertical="bottom"/>
    </xf>
    <xf numFmtId="49" fontId="8" borderId="16" applyNumberFormat="1" applyFont="1" applyFill="0" applyBorder="1" applyAlignment="1" applyProtection="0">
      <alignment vertical="bottom"/>
    </xf>
    <xf numFmtId="49" fontId="7" fillId="6" borderId="17" applyNumberFormat="1" applyFont="1" applyFill="1" applyBorder="1" applyAlignment="1" applyProtection="0">
      <alignment vertical="bottom"/>
    </xf>
    <xf numFmtId="0" fontId="0" fillId="6" borderId="4" applyNumberFormat="0" applyFont="1" applyFill="1" applyBorder="1" applyAlignment="1" applyProtection="0">
      <alignment vertical="bottom"/>
    </xf>
    <xf numFmtId="0" fontId="8" fillId="6" borderId="4" applyNumberFormat="0" applyFont="1" applyFill="1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7" fillId="4" borderId="6" applyNumberFormat="1" applyFont="1" applyFill="1" applyBorder="1" applyAlignment="1" applyProtection="0">
      <alignment horizontal="right" vertical="bottom"/>
    </xf>
    <xf numFmtId="1" fontId="7" borderId="6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horizontal="left" vertical="bottom"/>
    </xf>
    <xf numFmtId="49" fontId="9" borderId="1" applyNumberFormat="1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49" fontId="10" borderId="21" applyNumberFormat="1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vertical="bottom"/>
    </xf>
    <xf numFmtId="49" fontId="0" borderId="20" applyNumberFormat="1" applyFont="1" applyFill="0" applyBorder="1" applyAlignment="1" applyProtection="0">
      <alignment vertical="bottom"/>
    </xf>
    <xf numFmtId="1" fontId="11" borderId="24" applyNumberFormat="1" applyFont="1" applyFill="0" applyBorder="1" applyAlignment="1" applyProtection="0">
      <alignment vertical="bottom"/>
    </xf>
    <xf numFmtId="49" fontId="12" borderId="1" applyNumberFormat="1" applyFont="1" applyFill="0" applyBorder="1" applyAlignment="1" applyProtection="0">
      <alignment vertical="bottom"/>
    </xf>
    <xf numFmtId="49" fontId="0" borderId="24" applyNumberFormat="1" applyFont="1" applyFill="0" applyBorder="1" applyAlignment="1" applyProtection="0">
      <alignment vertical="bottom"/>
    </xf>
    <xf numFmtId="1" fontId="11" borderId="25" applyNumberFormat="1" applyFont="1" applyFill="0" applyBorder="1" applyAlignment="1" applyProtection="0">
      <alignment vertical="bottom"/>
    </xf>
    <xf numFmtId="49" fontId="12" borderId="19" applyNumberFormat="1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8" borderId="1" applyNumberFormat="1" applyFont="1" applyFill="0" applyBorder="1" applyAlignment="1" applyProtection="0">
      <alignment vertical="bottom"/>
    </xf>
    <xf numFmtId="0" fontId="8" borderId="1" applyNumberFormat="0" applyFont="1" applyFill="0" applyBorder="1" applyAlignment="1" applyProtection="0">
      <alignment vertical="bottom"/>
    </xf>
    <xf numFmtId="63" fontId="7" borderId="1" applyNumberFormat="1" applyFont="1" applyFill="0" applyBorder="1" applyAlignment="1" applyProtection="0">
      <alignment vertical="bottom"/>
    </xf>
    <xf numFmtId="0" fontId="12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left" vertical="bottom"/>
    </xf>
    <xf numFmtId="0" fontId="0" fillId="4" borderId="19" applyNumberFormat="0" applyFont="1" applyFill="1" applyBorder="1" applyAlignment="1" applyProtection="0">
      <alignment vertical="bottom"/>
    </xf>
    <xf numFmtId="49" fontId="12" fillId="4" borderId="21" applyNumberFormat="1" applyFont="1" applyFill="1" applyBorder="1" applyAlignment="1" applyProtection="0">
      <alignment vertical="bottom"/>
    </xf>
    <xf numFmtId="62" fontId="11" borderId="22" applyNumberFormat="1" applyFont="1" applyFill="0" applyBorder="1" applyAlignment="1" applyProtection="0">
      <alignment vertical="bottom"/>
    </xf>
    <xf numFmtId="49" fontId="12" borderId="23" applyNumberFormat="1" applyFont="1" applyFill="0" applyBorder="1" applyAlignment="1" applyProtection="0">
      <alignment vertical="bottom"/>
    </xf>
    <xf numFmtId="49" fontId="12" fillId="4" borderId="25" applyNumberFormat="1" applyFont="1" applyFill="1" applyBorder="1" applyAlignment="1" applyProtection="0">
      <alignment vertical="bottom"/>
    </xf>
    <xf numFmtId="62" fontId="11" borderId="19" applyNumberFormat="1" applyFont="1" applyFill="0" applyBorder="1" applyAlignment="1" applyProtection="0">
      <alignment vertical="bottom"/>
    </xf>
    <xf numFmtId="49" fontId="12" borderId="26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7" borderId="1" applyNumberFormat="0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left" vertical="bottom"/>
    </xf>
    <xf numFmtId="0" fontId="7" borderId="2" applyNumberFormat="0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right" vertical="bottom"/>
    </xf>
    <xf numFmtId="49" fontId="0" borderId="8" applyNumberFormat="1" applyFont="1" applyFill="0" applyBorder="1" applyAlignment="1" applyProtection="0">
      <alignment horizontal="right" vertical="bottom"/>
    </xf>
    <xf numFmtId="0" fontId="0" borderId="27" applyNumberFormat="0" applyFont="1" applyFill="0" applyBorder="1" applyAlignment="1" applyProtection="0">
      <alignment vertical="bottom"/>
    </xf>
    <xf numFmtId="49" fontId="9" fillId="2" borderId="4" applyNumberFormat="1" applyFont="1" applyFill="1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right" vertical="bottom"/>
    </xf>
    <xf numFmtId="49" fontId="7" borderId="12" applyNumberFormat="1" applyFont="1" applyFill="0" applyBorder="1" applyAlignment="1" applyProtection="0">
      <alignment vertical="bottom"/>
    </xf>
    <xf numFmtId="2" fontId="0" fillId="2" borderId="9" applyNumberFormat="1" applyFont="1" applyFill="1" applyBorder="1" applyAlignment="1" applyProtection="0">
      <alignment vertical="bottom"/>
    </xf>
    <xf numFmtId="2" fontId="0" borderId="10" applyNumberFormat="1" applyFont="1" applyFill="0" applyBorder="1" applyAlignment="1" applyProtection="0">
      <alignment vertical="bottom"/>
    </xf>
    <xf numFmtId="2" fontId="0" borderId="11" applyNumberFormat="1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 wrapText="1"/>
    </xf>
    <xf numFmtId="49" fontId="12" borderId="1" applyNumberFormat="1" applyFont="1" applyFill="0" applyBorder="1" applyAlignment="1" applyProtection="0">
      <alignment horizontal="right" vertical="bottom"/>
    </xf>
    <xf numFmtId="2" fontId="12" borderId="1" applyNumberFormat="1" applyFont="1" applyFill="0" applyBorder="1" applyAlignment="1" applyProtection="0">
      <alignment vertical="bottom"/>
    </xf>
    <xf numFmtId="2" fontId="0" borderId="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horizontal="right" vertical="bottom"/>
    </xf>
    <xf numFmtId="49" fontId="7" fillId="7" borderId="4" applyNumberFormat="1" applyFont="1" applyFill="1" applyBorder="1" applyAlignment="1" applyProtection="0">
      <alignment vertical="bottom"/>
    </xf>
    <xf numFmtId="0" fontId="7" borderId="18" applyNumberFormat="0" applyFont="1" applyFill="0" applyBorder="1" applyAlignment="1" applyProtection="0">
      <alignment vertical="bottom"/>
    </xf>
    <xf numFmtId="0" fontId="7" borderId="6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1" fontId="0" fillId="2" borderId="9" applyNumberFormat="1" applyFont="1" applyFill="1" applyBorder="1" applyAlignment="1" applyProtection="0">
      <alignment vertical="bottom"/>
    </xf>
    <xf numFmtId="1" fontId="0" borderId="10" applyNumberFormat="1" applyFont="1" applyFill="0" applyBorder="1" applyAlignment="1" applyProtection="0">
      <alignment vertical="bottom"/>
    </xf>
    <xf numFmtId="0" fontId="13" borderId="1" applyNumberFormat="0" applyFont="1" applyFill="0" applyBorder="1" applyAlignment="1" applyProtection="0">
      <alignment vertical="bottom"/>
    </xf>
    <xf numFmtId="0" fontId="7" borderId="1" applyNumberFormat="0" applyFont="1" applyFill="0" applyBorder="1" applyAlignment="1" applyProtection="0">
      <alignment horizontal="right" vertical="bottom"/>
    </xf>
    <xf numFmtId="2" fontId="7" borderId="2" applyNumberFormat="1" applyFont="1" applyFill="0" applyBorder="1" applyAlignment="1" applyProtection="0">
      <alignment vertical="bottom"/>
    </xf>
    <xf numFmtId="49" fontId="7" borderId="3" applyNumberFormat="1" applyFont="1" applyFill="0" applyBorder="1" applyAlignment="1" applyProtection="0">
      <alignment horizontal="right" vertical="bottom"/>
    </xf>
    <xf numFmtId="2" fontId="7" fillId="7" borderId="4" applyNumberFormat="1" applyFont="1" applyFill="1" applyBorder="1" applyAlignment="1" applyProtection="0">
      <alignment vertical="bottom"/>
    </xf>
    <xf numFmtId="2" fontId="7" borderId="6" applyNumberFormat="1" applyFont="1" applyFill="0" applyBorder="1" applyAlignment="1" applyProtection="0">
      <alignment vertical="bottom"/>
    </xf>
    <xf numFmtId="62" fontId="0" fillId="2" borderId="9" applyNumberFormat="1" applyFont="1" applyFill="1" applyBorder="1" applyAlignment="1" applyProtection="0">
      <alignment vertical="bottom"/>
    </xf>
    <xf numFmtId="62" fontId="0" borderId="10" applyNumberFormat="1" applyFont="1" applyFill="0" applyBorder="1" applyAlignment="1" applyProtection="0">
      <alignment vertical="bottom"/>
    </xf>
    <xf numFmtId="49" fontId="11" borderId="1" applyNumberFormat="1" applyFont="1" applyFill="0" applyBorder="1" applyAlignment="1" applyProtection="0">
      <alignment horizontal="right" vertical="bottom"/>
    </xf>
    <xf numFmtId="2" fontId="11" borderId="12" applyNumberFormat="1" applyFont="1" applyFill="0" applyBorder="1" applyAlignment="1" applyProtection="0">
      <alignment vertical="bottom"/>
    </xf>
    <xf numFmtId="2" fontId="11" borderId="1" applyNumberFormat="1" applyFont="1" applyFill="0" applyBorder="1" applyAlignment="1" applyProtection="0">
      <alignment vertical="bottom"/>
    </xf>
    <xf numFmtId="0" fontId="14" borderId="1" applyNumberFormat="0" applyFont="1" applyFill="0" applyBorder="1" applyAlignment="1" applyProtection="0">
      <alignment vertical="bottom"/>
    </xf>
    <xf numFmtId="2" fontId="14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2" fontId="13" borderId="1" applyNumberFormat="1" applyFont="1" applyFill="0" applyBorder="1" applyAlignment="1" applyProtection="0">
      <alignment vertical="bottom"/>
    </xf>
    <xf numFmtId="49" fontId="13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8" applyNumberFormat="1" applyFont="1" applyFill="0" applyBorder="1" applyAlignment="1" applyProtection="0">
      <alignment vertical="bottom"/>
    </xf>
    <xf numFmtId="49" fontId="0" borderId="29" applyNumberFormat="1" applyFont="1" applyFill="0" applyBorder="1" applyAlignment="1" applyProtection="0">
      <alignment vertical="bottom"/>
    </xf>
    <xf numFmtId="49" fontId="0" borderId="30" applyNumberFormat="1" applyFont="1" applyFill="0" applyBorder="1" applyAlignment="1" applyProtection="0">
      <alignment vertical="bottom"/>
    </xf>
    <xf numFmtId="0" fontId="0" borderId="31" applyNumberFormat="1" applyFont="1" applyFill="0" applyBorder="1" applyAlignment="1" applyProtection="0">
      <alignment vertical="bottom"/>
    </xf>
    <xf numFmtId="59" fontId="0" borderId="32" applyNumberFormat="1" applyFont="1" applyFill="0" applyBorder="1" applyAlignment="1" applyProtection="0">
      <alignment vertical="bottom"/>
    </xf>
    <xf numFmtId="2" fontId="13" borderId="32" applyNumberFormat="1" applyFont="1" applyFill="0" applyBorder="1" applyAlignment="1" applyProtection="0">
      <alignment vertical="bottom"/>
    </xf>
    <xf numFmtId="2" fontId="0" borderId="32" applyNumberFormat="1" applyFont="1" applyFill="0" applyBorder="1" applyAlignment="1" applyProtection="0">
      <alignment vertical="bottom"/>
    </xf>
    <xf numFmtId="2" fontId="0" borderId="33" applyNumberFormat="1" applyFont="1" applyFill="0" applyBorder="1" applyAlignment="1" applyProtection="0">
      <alignment vertical="bottom"/>
    </xf>
    <xf numFmtId="0" fontId="0" borderId="8" applyNumberFormat="1" applyFont="1" applyFill="0" applyBorder="1" applyAlignment="1" applyProtection="0">
      <alignment vertical="bottom"/>
    </xf>
    <xf numFmtId="59" fontId="0" borderId="34" applyNumberFormat="1" applyFont="1" applyFill="0" applyBorder="1" applyAlignment="1" applyProtection="0">
      <alignment vertical="bottom"/>
    </xf>
    <xf numFmtId="2" fontId="0" borderId="34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5" borderId="1" applyNumberFormat="1" applyFont="1" applyFill="0" applyBorder="1" applyAlignment="1" applyProtection="0">
      <alignment vertical="bottom"/>
    </xf>
    <xf numFmtId="49" fontId="16" borderId="1" applyNumberFormat="1" applyFont="1" applyFill="0" applyBorder="1" applyAlignment="1" applyProtection="0">
      <alignment vertical="bottom"/>
    </xf>
    <xf numFmtId="0" fontId="16" borderId="1" applyNumberFormat="0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vertical="bottom"/>
    </xf>
    <xf numFmtId="0" fontId="0" fillId="8" borderId="9" applyNumberFormat="1" applyFont="1" applyFill="1" applyBorder="1" applyAlignment="1" applyProtection="0">
      <alignment horizontal="right" vertical="bottom"/>
    </xf>
    <xf numFmtId="49" fontId="0" borderId="9" applyNumberFormat="1" applyFont="1" applyFill="0" applyBorder="1" applyAlignment="1" applyProtection="0">
      <alignment horizontal="right" vertical="bottom"/>
    </xf>
    <xf numFmtId="0" fontId="0" borderId="9" applyNumberFormat="1" applyFont="1" applyFill="0" applyBorder="1" applyAlignment="1" applyProtection="0">
      <alignment horizontal="right" vertical="bottom"/>
    </xf>
    <xf numFmtId="0" fontId="0" borderId="33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fillId="9" borderId="4" applyNumberFormat="1" applyFont="1" applyFill="1" applyBorder="1" applyAlignment="1" applyProtection="0">
      <alignment horizontal="right" vertical="bottom"/>
    </xf>
    <xf numFmtId="0" fontId="0" borderId="35" applyNumberFormat="1" applyFont="1" applyFill="0" applyBorder="1" applyAlignment="1" applyProtection="0">
      <alignment vertical="bottom"/>
    </xf>
    <xf numFmtId="0" fontId="0" fillId="9" borderId="4" applyNumberFormat="1" applyFont="1" applyFill="1" applyBorder="1" applyAlignment="1" applyProtection="0">
      <alignment vertical="bottom"/>
    </xf>
    <xf numFmtId="1" fontId="0" fillId="9" borderId="4" applyNumberFormat="1" applyFont="1" applyFill="1" applyBorder="1" applyAlignment="1" applyProtection="0">
      <alignment vertical="bottom"/>
    </xf>
    <xf numFmtId="0" fontId="0" borderId="18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horizontal="right" vertical="bottom"/>
    </xf>
    <xf numFmtId="0" fontId="0" borderId="6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4" borderId="1" applyNumberFormat="1" applyFont="1" applyFill="0" applyBorder="1" applyAlignment="1" applyProtection="0">
      <alignment horizontal="center" vertical="bottom"/>
    </xf>
    <xf numFmtId="49" fontId="14" borderId="1" applyNumberFormat="1" applyFont="1" applyFill="0" applyBorder="1" applyAlignment="1" applyProtection="0">
      <alignment vertical="bottom"/>
    </xf>
    <xf numFmtId="0" fontId="14" borderId="1" applyNumberFormat="0" applyFont="1" applyFill="0" applyBorder="1" applyAlignment="1" applyProtection="0">
      <alignment horizontal="center" vertical="bottom"/>
    </xf>
    <xf numFmtId="49" fontId="17" borderId="1" applyNumberFormat="1" applyFont="1" applyFill="0" applyBorder="1" applyAlignment="1" applyProtection="0">
      <alignment vertical="bottom"/>
    </xf>
    <xf numFmtId="0" fontId="17" borderId="1" applyNumberFormat="0" applyFont="1" applyFill="0" applyBorder="1" applyAlignment="1" applyProtection="0">
      <alignment vertical="bottom"/>
    </xf>
  </cellXfs>
  <cellStyles count="1">
    <cellStyle name="Normal" xfId="0" builtinId="0"/>
  </cellStyles>
  <dxfs count="2">
    <dxf>
      <font>
        <color rgb="ff9c0006"/>
      </font>
      <fill>
        <patternFill patternType="solid">
          <fgColor indexed="17"/>
          <bgColor indexed="18"/>
        </patternFill>
      </fill>
    </dxf>
    <dxf>
      <font>
        <color rgb="ff9c0006"/>
      </font>
      <fill>
        <patternFill patternType="solid">
          <fgColor indexed="17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eaf1dd"/>
      <rgbColor rgb="ffffffff"/>
      <rgbColor rgb="ffdbe5f1"/>
      <rgbColor rgb="ffff0000"/>
      <rgbColor rgb="ffb8cce4"/>
      <rgbColor rgb="ff0070c0"/>
      <rgbColor rgb="00000000"/>
      <rgbColor rgb="ffffc7ce"/>
      <rgbColor rgb="ff9c0006"/>
      <rgbColor rgb="ffffc000"/>
      <rgbColor rgb="fffde9d9"/>
      <rgbColor rgb="fff2f2f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36"/>
  <sheetViews>
    <sheetView workbookViewId="0" showGridLines="0" defaultGridColor="1"/>
  </sheetViews>
  <sheetFormatPr defaultColWidth="10.8333" defaultRowHeight="14.4" customHeight="1" outlineLevelRow="0" outlineLevelCol="0"/>
  <cols>
    <col min="1" max="1" width="34.6719" style="1" customWidth="1"/>
    <col min="2" max="2" width="9.85156" style="1" customWidth="1"/>
    <col min="3" max="3" width="8.5" style="1" customWidth="1"/>
    <col min="4" max="4" width="22.5" style="1" customWidth="1"/>
    <col min="5" max="5" width="6.85156" style="1" customWidth="1"/>
    <col min="6" max="6" width="11.6719" style="1" customWidth="1"/>
    <col min="7" max="7" width="2" style="1" customWidth="1"/>
    <col min="8" max="8" width="14.3516" style="1" customWidth="1"/>
    <col min="9" max="9" width="2" style="1" customWidth="1"/>
    <col min="10" max="10" width="8.5" style="1" customWidth="1"/>
    <col min="11" max="11" width="10.8516" style="1" customWidth="1"/>
    <col min="12" max="16384" width="10.8516" style="1" customWidth="1"/>
  </cols>
  <sheetData>
    <row r="1" ht="18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4"/>
      <c r="K1" s="4"/>
    </row>
    <row r="2" ht="18" customHeight="1">
      <c r="A2" s="5"/>
      <c r="B2" s="6"/>
      <c r="C2" s="6"/>
      <c r="D2" s="6"/>
      <c r="E2" s="6"/>
      <c r="F2" s="6"/>
      <c r="G2" s="6"/>
      <c r="H2" s="6"/>
      <c r="I2" s="7"/>
      <c r="J2" s="7"/>
      <c r="K2" s="7"/>
    </row>
    <row r="3" ht="18" customHeight="1">
      <c r="A3" t="s" s="8">
        <v>1</v>
      </c>
      <c r="B3" t="s" s="9">
        <v>2</v>
      </c>
      <c r="C3" s="10"/>
      <c r="D3" s="10"/>
      <c r="E3" s="10"/>
      <c r="F3" s="10"/>
      <c r="G3" s="10"/>
      <c r="H3" s="10"/>
      <c r="I3" s="11"/>
      <c r="J3" s="11"/>
      <c r="K3" s="12"/>
    </row>
    <row r="4" ht="18" customHeight="1">
      <c r="A4" s="13"/>
      <c r="B4" t="s" s="14">
        <v>3</v>
      </c>
      <c r="C4" s="15"/>
      <c r="D4" s="15"/>
      <c r="E4" s="15"/>
      <c r="F4" s="15"/>
      <c r="G4" s="15"/>
      <c r="H4" s="15"/>
      <c r="I4" s="16"/>
      <c r="J4" s="16"/>
      <c r="K4" s="17"/>
    </row>
    <row r="5" ht="13.55" customHeight="1">
      <c r="A5" s="4"/>
      <c r="B5" s="18"/>
      <c r="C5" s="18"/>
      <c r="D5" s="18"/>
      <c r="E5" s="18"/>
      <c r="F5" s="18"/>
      <c r="G5" s="18"/>
      <c r="H5" s="18"/>
      <c r="I5" s="18"/>
      <c r="J5" s="18"/>
      <c r="K5" s="18"/>
    </row>
    <row r="6" ht="13.55" customHeight="1">
      <c r="A6" t="s" s="19">
        <v>4</v>
      </c>
      <c r="B6" s="20"/>
      <c r="C6" s="4"/>
      <c r="D6" s="4"/>
      <c r="E6" s="4"/>
      <c r="F6" s="4"/>
      <c r="G6" s="4"/>
      <c r="H6" s="4"/>
      <c r="I6" s="4"/>
      <c r="J6" s="4"/>
      <c r="K6" s="4"/>
    </row>
    <row r="7" ht="13.55" customHeight="1">
      <c r="A7" s="21"/>
      <c r="B7" s="22">
        <v>60</v>
      </c>
      <c r="C7" t="s" s="23">
        <v>5</v>
      </c>
      <c r="D7" t="s" s="24">
        <v>6</v>
      </c>
      <c r="E7" s="4"/>
      <c r="F7" t="s" s="24">
        <v>7</v>
      </c>
      <c r="G7" t="s" s="24">
        <v>8</v>
      </c>
      <c r="H7" t="s" s="24">
        <v>9</v>
      </c>
      <c r="I7" t="s" s="24">
        <v>8</v>
      </c>
      <c r="J7" s="25">
        <f>2^24/H9</f>
        <v>1.39810133333333</v>
      </c>
      <c r="K7" t="s" s="24">
        <v>10</v>
      </c>
    </row>
    <row r="8" ht="13.55" customHeight="1">
      <c r="A8" s="4"/>
      <c r="B8" s="26">
        <v>256</v>
      </c>
      <c r="C8" t="s" s="24">
        <v>11</v>
      </c>
      <c r="D8" t="s" s="24">
        <v>12</v>
      </c>
      <c r="E8" s="4"/>
      <c r="F8" t="s" s="24">
        <v>13</v>
      </c>
      <c r="G8" t="s" s="24">
        <v>8</v>
      </c>
      <c r="H8" t="s" s="27">
        <v>14</v>
      </c>
      <c r="I8" s="4"/>
      <c r="J8" t="s" s="24">
        <v>15</v>
      </c>
      <c r="K8" s="4"/>
    </row>
    <row r="9" ht="13.55" customHeight="1">
      <c r="A9" s="21"/>
      <c r="B9" s="22">
        <v>1.8</v>
      </c>
      <c r="C9" t="s" s="23">
        <v>16</v>
      </c>
      <c r="D9" t="s" s="24">
        <v>17</v>
      </c>
      <c r="E9" s="4"/>
      <c r="F9" t="s" s="24">
        <v>18</v>
      </c>
      <c r="G9" t="s" s="28">
        <v>8</v>
      </c>
      <c r="H9" s="22">
        <v>12000000</v>
      </c>
      <c r="I9" s="29"/>
      <c r="J9" t="s" s="24">
        <v>19</v>
      </c>
      <c r="K9" s="4"/>
    </row>
    <row r="10" ht="13.55" customHeight="1">
      <c r="A10" s="4"/>
      <c r="B10" s="30">
        <f>360/B9</f>
        <v>200</v>
      </c>
      <c r="C10" t="s" s="24">
        <v>20</v>
      </c>
      <c r="D10" t="s" s="24">
        <v>21</v>
      </c>
      <c r="E10" s="4"/>
      <c r="F10" s="4"/>
      <c r="G10" s="4"/>
      <c r="H10" s="31"/>
      <c r="I10" s="4"/>
      <c r="J10" s="4"/>
      <c r="K10" s="4"/>
    </row>
    <row r="11" ht="13.55" customHeight="1">
      <c r="A11" s="4"/>
      <c r="B11" s="32">
        <f>B10*B8</f>
        <v>51200</v>
      </c>
      <c r="C11" t="s" s="24">
        <v>22</v>
      </c>
      <c r="D11" t="s" s="24">
        <v>23</v>
      </c>
      <c r="E11" s="4"/>
      <c r="F11" s="4"/>
      <c r="G11" s="4"/>
      <c r="H11" s="4"/>
      <c r="I11" s="4"/>
      <c r="J11" s="4"/>
      <c r="K11" s="4"/>
    </row>
    <row r="12" ht="13.55" customHeight="1">
      <c r="A12" s="21"/>
      <c r="B12" s="22">
        <v>1</v>
      </c>
      <c r="C12" t="s" s="23">
        <v>24</v>
      </c>
      <c r="D12" t="s" s="24">
        <v>25</v>
      </c>
      <c r="E12" s="4"/>
      <c r="F12" s="4"/>
      <c r="G12" s="4"/>
      <c r="H12" s="4"/>
      <c r="I12" s="4"/>
      <c r="J12" s="4"/>
      <c r="K12" s="4"/>
    </row>
    <row r="13" ht="13.55" customHeight="1">
      <c r="A13" s="4"/>
      <c r="B13" s="31"/>
      <c r="C13" s="4"/>
      <c r="D13" s="4"/>
      <c r="E13" s="4"/>
      <c r="F13" s="4"/>
      <c r="G13" s="4"/>
      <c r="H13" s="4"/>
      <c r="I13" s="4"/>
      <c r="J13" s="4"/>
      <c r="K13" s="4"/>
    </row>
    <row r="14" ht="13.55" customHeight="1">
      <c r="A14" t="s" s="19">
        <v>26</v>
      </c>
      <c r="B14" s="20"/>
      <c r="C14" s="33"/>
      <c r="D14" s="33"/>
      <c r="E14" s="4"/>
      <c r="F14" s="4"/>
      <c r="G14" s="4"/>
      <c r="H14" s="4"/>
      <c r="I14" s="4"/>
      <c r="J14" s="4"/>
      <c r="K14" s="4"/>
    </row>
    <row r="15" ht="13.55" customHeight="1">
      <c r="A15" s="21"/>
      <c r="B15" s="34">
        <f>B25</f>
        <v>71582.7882666665</v>
      </c>
      <c r="C15" t="s" s="23">
        <v>13</v>
      </c>
      <c r="D15" t="s" s="24">
        <v>15</v>
      </c>
      <c r="E15" s="4"/>
      <c r="F15" t="s" s="24">
        <v>27</v>
      </c>
      <c r="G15" s="4"/>
      <c r="H15" s="4"/>
      <c r="I15" s="4"/>
      <c r="J15" s="4"/>
      <c r="K15" s="4"/>
    </row>
    <row r="16" ht="13.55" customHeight="1">
      <c r="A16" s="4"/>
      <c r="B16" s="35">
        <f>B15/$J$7/$B$11</f>
        <v>1</v>
      </c>
      <c r="C16" t="s" s="24">
        <v>28</v>
      </c>
      <c r="D16" t="s" s="24">
        <v>29</v>
      </c>
      <c r="E16" s="4"/>
      <c r="F16" s="4"/>
      <c r="G16" s="4"/>
      <c r="H16" s="4"/>
      <c r="I16" s="4"/>
      <c r="J16" s="4"/>
      <c r="K16" s="4"/>
    </row>
    <row r="17" ht="13.55" customHeight="1">
      <c r="A17" s="4"/>
      <c r="B17" s="36">
        <f>B16*360</f>
        <v>360</v>
      </c>
      <c r="C17" t="s" s="24">
        <v>30</v>
      </c>
      <c r="D17" t="s" s="24">
        <v>29</v>
      </c>
      <c r="E17" s="4"/>
      <c r="F17" s="4"/>
      <c r="G17" s="4"/>
      <c r="H17" s="4"/>
      <c r="I17" s="4"/>
      <c r="J17" s="4"/>
      <c r="K17" s="4"/>
    </row>
    <row r="18" ht="13.55" customHeight="1">
      <c r="A18" s="4"/>
      <c r="B18" s="36">
        <f>B17/$B$12</f>
        <v>360</v>
      </c>
      <c r="C18" t="s" s="24">
        <v>30</v>
      </c>
      <c r="D18" t="s" s="24">
        <v>31</v>
      </c>
      <c r="E18" s="4"/>
      <c r="F18" s="4"/>
      <c r="G18" s="4"/>
      <c r="H18" s="4"/>
      <c r="I18" s="4"/>
      <c r="J18" s="4"/>
      <c r="K18" s="4"/>
    </row>
    <row r="19" ht="13.55" customHeight="1">
      <c r="A19" s="4"/>
      <c r="B19" s="36">
        <f>B15*H9/2^24</f>
        <v>51199.9999999999</v>
      </c>
      <c r="C19" t="s" s="24">
        <v>19</v>
      </c>
      <c r="D19" t="s" s="24">
        <v>32</v>
      </c>
      <c r="E19" s="4"/>
      <c r="F19" s="4"/>
      <c r="G19" s="4"/>
      <c r="H19" s="4"/>
      <c r="I19" s="4"/>
      <c r="J19" s="4"/>
      <c r="K19" s="4"/>
    </row>
    <row r="20" ht="13.55" customHeight="1">
      <c r="A20" s="4"/>
      <c r="B20" s="37">
        <f>B18/360</f>
        <v>1</v>
      </c>
      <c r="C20" t="s" s="19">
        <v>28</v>
      </c>
      <c r="D20" t="s" s="19">
        <v>31</v>
      </c>
      <c r="E20" s="4"/>
      <c r="F20" s="4"/>
      <c r="G20" s="4"/>
      <c r="H20" s="4"/>
      <c r="I20" s="4"/>
      <c r="J20" s="4"/>
      <c r="K20" s="4"/>
    </row>
    <row r="21" ht="13.55" customHeight="1">
      <c r="A21" s="4"/>
      <c r="B21" s="37"/>
      <c r="C21" s="33"/>
      <c r="D21" s="33"/>
      <c r="E21" s="4"/>
      <c r="F21" s="4"/>
      <c r="G21" s="4"/>
      <c r="H21" s="4"/>
      <c r="I21" s="4"/>
      <c r="J21" s="4"/>
      <c r="K21" s="4"/>
    </row>
    <row r="22" ht="13.55" customHeight="1">
      <c r="A22" t="s" s="19">
        <v>33</v>
      </c>
      <c r="B22" s="20"/>
      <c r="C22" s="33"/>
      <c r="D22" s="33"/>
      <c r="E22" s="4"/>
      <c r="F22" s="4"/>
      <c r="G22" s="4"/>
      <c r="H22" s="4"/>
      <c r="I22" s="4"/>
      <c r="J22" s="4"/>
      <c r="K22" s="4"/>
    </row>
    <row r="23" ht="13.55" customHeight="1">
      <c r="A23" s="21"/>
      <c r="B23" s="38">
        <f>B7/60</f>
        <v>1</v>
      </c>
      <c r="C23" t="s" s="23">
        <v>28</v>
      </c>
      <c r="D23" t="s" s="24">
        <v>29</v>
      </c>
      <c r="E23" s="4"/>
      <c r="F23" t="s" s="24">
        <v>34</v>
      </c>
      <c r="G23" s="4"/>
      <c r="H23" s="4"/>
      <c r="I23" s="4"/>
      <c r="J23" s="4"/>
      <c r="K23" s="4"/>
    </row>
    <row r="24" ht="13.55" customHeight="1">
      <c r="A24" s="4"/>
      <c r="B24" s="35">
        <f>B23*360</f>
        <v>360</v>
      </c>
      <c r="C24" t="s" s="24">
        <v>30</v>
      </c>
      <c r="D24" t="s" s="24">
        <v>29</v>
      </c>
      <c r="E24" s="4"/>
      <c r="F24" s="4"/>
      <c r="G24" s="4"/>
      <c r="H24" s="4"/>
      <c r="I24" s="4"/>
      <c r="J24" s="4"/>
      <c r="K24" s="4"/>
    </row>
    <row r="25" ht="13.55" customHeight="1">
      <c r="A25" s="4"/>
      <c r="B25" s="39">
        <f>B23*$B$11*$J$7</f>
        <v>71582.7882666665</v>
      </c>
      <c r="C25" t="s" s="19">
        <v>13</v>
      </c>
      <c r="D25" t="s" s="24">
        <v>15</v>
      </c>
      <c r="E25" s="4"/>
      <c r="F25" s="4"/>
      <c r="G25" s="4"/>
      <c r="H25" s="4"/>
      <c r="I25" s="4"/>
      <c r="J25" s="4"/>
      <c r="K25" s="4"/>
    </row>
    <row r="26" ht="13.55" customHeight="1">
      <c r="A26" s="4"/>
      <c r="B26" s="39"/>
      <c r="C26" s="33"/>
      <c r="D26" s="4"/>
      <c r="E26" s="4"/>
      <c r="F26" s="4"/>
      <c r="G26" s="4"/>
      <c r="H26" s="4"/>
      <c r="I26" s="4"/>
      <c r="J26" s="4"/>
      <c r="K26" s="4"/>
    </row>
    <row r="27" ht="13.55" customHeight="1">
      <c r="A27" t="s" s="19">
        <v>35</v>
      </c>
      <c r="B27" s="20"/>
      <c r="C27" s="33"/>
      <c r="D27" s="33"/>
      <c r="E27" s="4"/>
      <c r="F27" s="4"/>
      <c r="G27" s="4"/>
      <c r="H27" s="4"/>
      <c r="I27" s="4"/>
      <c r="J27" s="4"/>
      <c r="K27" s="4"/>
    </row>
    <row r="28" ht="13.55" customHeight="1">
      <c r="A28" s="40"/>
      <c r="B28" s="38">
        <f>B23</f>
        <v>1</v>
      </c>
      <c r="C28" t="s" s="23">
        <v>28</v>
      </c>
      <c r="D28" t="s" s="24">
        <v>31</v>
      </c>
      <c r="E28" s="4"/>
      <c r="F28" s="4"/>
      <c r="G28" s="4"/>
      <c r="H28" s="4"/>
      <c r="I28" s="4"/>
      <c r="J28" s="4"/>
      <c r="K28" s="4"/>
    </row>
    <row r="29" ht="13.55" customHeight="1">
      <c r="A29" s="4"/>
      <c r="B29" s="35">
        <f>B28*360</f>
        <v>360</v>
      </c>
      <c r="C29" t="s" s="24">
        <v>30</v>
      </c>
      <c r="D29" t="s" s="24">
        <v>31</v>
      </c>
      <c r="E29" s="4"/>
      <c r="F29" s="4"/>
      <c r="G29" s="4"/>
      <c r="H29" s="4"/>
      <c r="I29" s="4"/>
      <c r="J29" s="4"/>
      <c r="K29" s="4"/>
    </row>
    <row r="30" ht="13.55" customHeight="1">
      <c r="A30" s="4"/>
      <c r="B30" s="36">
        <f>B28*B12</f>
        <v>1</v>
      </c>
      <c r="C30" t="s" s="24">
        <v>28</v>
      </c>
      <c r="D30" t="s" s="24">
        <v>29</v>
      </c>
      <c r="E30" s="4"/>
      <c r="F30" s="4"/>
      <c r="G30" s="4"/>
      <c r="H30" s="4"/>
      <c r="I30" s="4"/>
      <c r="J30" s="4"/>
      <c r="K30" s="4"/>
    </row>
    <row r="31" ht="13.55" customHeight="1">
      <c r="A31" s="4"/>
      <c r="B31" s="36">
        <f>B30*360</f>
        <v>360</v>
      </c>
      <c r="C31" t="s" s="24">
        <v>30</v>
      </c>
      <c r="D31" t="s" s="24">
        <v>29</v>
      </c>
      <c r="E31" s="4"/>
      <c r="F31" s="4"/>
      <c r="G31" s="4"/>
      <c r="H31" s="4"/>
      <c r="I31" s="4"/>
      <c r="J31" s="4"/>
      <c r="K31" s="4"/>
    </row>
    <row r="32" ht="13.55" customHeight="1">
      <c r="A32" s="4"/>
      <c r="B32" s="39">
        <f>B30*$B$11*$J$7</f>
        <v>71582.7882666665</v>
      </c>
      <c r="C32" t="s" s="19">
        <v>13</v>
      </c>
      <c r="D32" t="s" s="19">
        <v>15</v>
      </c>
      <c r="E32" s="4"/>
      <c r="F32" s="4"/>
      <c r="G32" s="4"/>
      <c r="H32" s="4"/>
      <c r="I32" s="4"/>
      <c r="J32" s="4"/>
      <c r="K32" s="4"/>
    </row>
    <row r="33" ht="13.5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ht="13.55" customHeight="1">
      <c r="A34" t="s" s="19">
        <v>36</v>
      </c>
      <c r="B34" s="20"/>
      <c r="C34" s="33"/>
      <c r="D34" s="33"/>
      <c r="E34" s="4"/>
      <c r="F34" s="4"/>
      <c r="G34" s="4"/>
      <c r="H34" s="4"/>
      <c r="I34" s="4"/>
      <c r="J34" s="4"/>
      <c r="K34" s="4"/>
    </row>
    <row r="35" ht="13.55" customHeight="1">
      <c r="A35" s="21"/>
      <c r="B35" s="34">
        <f>B15</f>
        <v>71582.7882666665</v>
      </c>
      <c r="C35" t="s" s="23">
        <v>13</v>
      </c>
      <c r="D35" t="s" s="24">
        <v>15</v>
      </c>
      <c r="E35" s="4"/>
      <c r="F35" s="4"/>
      <c r="G35" s="4"/>
      <c r="H35" s="4"/>
      <c r="I35" s="4"/>
      <c r="J35" s="4"/>
      <c r="K35" s="4"/>
    </row>
    <row r="36" ht="13.55" customHeight="1">
      <c r="A36" s="4"/>
      <c r="B36" s="41">
        <f>MIN((2^20-1),2^24/B35*B8/256)</f>
        <v>234.375000000001</v>
      </c>
      <c r="C36" t="s" s="19">
        <v>37</v>
      </c>
      <c r="D36" t="s" s="24">
        <v>38</v>
      </c>
      <c r="E36" s="4"/>
      <c r="F36" s="4"/>
      <c r="G36" s="4"/>
      <c r="H36" s="4"/>
      <c r="I36" s="4"/>
      <c r="J36" s="4"/>
      <c r="K36" s="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48"/>
  <sheetViews>
    <sheetView workbookViewId="0" showGridLines="0" defaultGridColor="1"/>
  </sheetViews>
  <sheetFormatPr defaultColWidth="10.8333" defaultRowHeight="14.4" customHeight="1" outlineLevelRow="0" outlineLevelCol="0"/>
  <cols>
    <col min="1" max="1" width="17" style="42" customWidth="1"/>
    <col min="2" max="2" width="22.8516" style="42" customWidth="1"/>
    <col min="3" max="3" width="10.8516" style="42" customWidth="1"/>
    <col min="4" max="4" width="5.5" style="42" customWidth="1"/>
    <col min="5" max="5" width="14.5" style="42" customWidth="1"/>
    <col min="6" max="7" width="10.8516" style="42" customWidth="1"/>
    <col min="8" max="8" width="12.8516" style="42" customWidth="1"/>
    <col min="9" max="11" width="10.8516" style="42" customWidth="1"/>
    <col min="12" max="16384" width="10.8516" style="42" customWidth="1"/>
  </cols>
  <sheetData>
    <row r="1" ht="18" customHeight="1">
      <c r="A1" t="s" s="2">
        <v>39</v>
      </c>
      <c r="B1" s="43"/>
      <c r="C1" s="4"/>
      <c r="D1" s="4"/>
      <c r="E1" s="4"/>
      <c r="F1" s="4"/>
      <c r="G1" s="4"/>
      <c r="H1" s="4"/>
      <c r="I1" s="4"/>
      <c r="J1" s="4"/>
      <c r="K1" s="4"/>
    </row>
    <row r="2" ht="13.55" customHeight="1">
      <c r="A2" s="4"/>
      <c r="B2" s="44"/>
      <c r="C2" s="7"/>
      <c r="D2" s="7"/>
      <c r="E2" s="7"/>
      <c r="F2" s="7"/>
      <c r="G2" s="7"/>
      <c r="H2" s="7"/>
      <c r="I2" s="7"/>
      <c r="J2" s="7"/>
      <c r="K2" s="7"/>
    </row>
    <row r="3" ht="13.55" customHeight="1">
      <c r="A3" t="s" s="45">
        <v>1</v>
      </c>
      <c r="B3" t="s" s="46">
        <v>40</v>
      </c>
      <c r="C3" s="11"/>
      <c r="D3" s="11"/>
      <c r="E3" s="11"/>
      <c r="F3" s="11"/>
      <c r="G3" s="11"/>
      <c r="H3" s="11"/>
      <c r="I3" s="11"/>
      <c r="J3" s="11"/>
      <c r="K3" s="12"/>
    </row>
    <row r="4" ht="13.55" customHeight="1">
      <c r="A4" s="47"/>
      <c r="B4" t="s" s="48">
        <v>41</v>
      </c>
      <c r="C4" s="16"/>
      <c r="D4" s="16"/>
      <c r="E4" s="16"/>
      <c r="F4" s="16"/>
      <c r="G4" s="16"/>
      <c r="H4" s="16"/>
      <c r="I4" s="16"/>
      <c r="J4" s="16"/>
      <c r="K4" s="17"/>
    </row>
    <row r="5" ht="13.55" customHeight="1">
      <c r="A5" s="47"/>
      <c r="B5" t="s" s="48">
        <v>42</v>
      </c>
      <c r="C5" s="16"/>
      <c r="D5" s="16"/>
      <c r="E5" s="16"/>
      <c r="F5" s="16"/>
      <c r="G5" s="16"/>
      <c r="H5" s="16"/>
      <c r="I5" s="16"/>
      <c r="J5" s="16"/>
      <c r="K5" s="17"/>
    </row>
    <row r="6" ht="13.55" customHeight="1">
      <c r="A6" s="47"/>
      <c r="B6" t="s" s="49">
        <v>43</v>
      </c>
      <c r="C6" s="50"/>
      <c r="D6" s="50"/>
      <c r="E6" s="50"/>
      <c r="F6" s="50"/>
      <c r="G6" s="50"/>
      <c r="H6" s="50"/>
      <c r="I6" s="50"/>
      <c r="J6" s="50"/>
      <c r="K6" s="51"/>
    </row>
    <row r="7" ht="13.55" customHeight="1">
      <c r="A7" s="4"/>
      <c r="B7" s="52"/>
      <c r="C7" s="18"/>
      <c r="D7" s="18"/>
      <c r="E7" s="18"/>
      <c r="F7" s="18"/>
      <c r="G7" s="18"/>
      <c r="H7" s="18"/>
      <c r="I7" s="18"/>
      <c r="J7" s="18"/>
      <c r="K7" s="18"/>
    </row>
    <row r="8" ht="13.55" customHeight="1">
      <c r="A8" t="s" s="19">
        <v>4</v>
      </c>
      <c r="B8" s="43"/>
      <c r="C8" s="20"/>
      <c r="D8" s="4"/>
      <c r="E8" s="4"/>
      <c r="F8" s="4"/>
      <c r="G8" s="4"/>
      <c r="H8" s="4"/>
      <c r="I8" s="4"/>
      <c r="J8" s="4"/>
      <c r="K8" s="4"/>
    </row>
    <row r="9" ht="13.55" customHeight="1">
      <c r="A9" s="33"/>
      <c r="B9" t="s" s="53">
        <v>44</v>
      </c>
      <c r="C9" s="22">
        <v>120</v>
      </c>
      <c r="D9" s="29"/>
      <c r="E9" t="s" s="24">
        <v>45</v>
      </c>
      <c r="F9" s="4"/>
      <c r="G9" s="4"/>
      <c r="H9" s="4"/>
      <c r="I9" s="4"/>
      <c r="J9" s="4"/>
      <c r="K9" s="4"/>
    </row>
    <row r="10" ht="13.55" customHeight="1">
      <c r="A10" s="4"/>
      <c r="B10" t="s" s="54">
        <v>46</v>
      </c>
      <c r="C10" s="26">
        <f>1/(1000000*C9)</f>
        <v>8.33333333333333e-09</v>
      </c>
      <c r="D10" s="4"/>
      <c r="E10" s="4"/>
      <c r="F10" s="4"/>
      <c r="G10" s="4"/>
      <c r="H10" s="4"/>
      <c r="I10" s="4"/>
      <c r="J10" s="4"/>
      <c r="K10" s="4"/>
    </row>
    <row r="11" ht="13.55" customHeight="1">
      <c r="A11" s="4"/>
      <c r="B11" t="s" s="53">
        <v>47</v>
      </c>
      <c r="C11" s="55">
        <v>24</v>
      </c>
      <c r="D11" s="29"/>
      <c r="E11" t="s" s="24">
        <v>48</v>
      </c>
      <c r="F11" s="4"/>
      <c r="G11" s="4"/>
      <c r="H11" s="4"/>
      <c r="I11" s="4"/>
      <c r="J11" s="4"/>
      <c r="K11" s="4"/>
    </row>
    <row r="12" ht="13.55" customHeight="1">
      <c r="A12" s="4"/>
      <c r="B12" t="s" s="53">
        <v>49</v>
      </c>
      <c r="C12" s="56">
        <v>2</v>
      </c>
      <c r="D12" s="29"/>
      <c r="E12" t="s" s="24">
        <v>50</v>
      </c>
      <c r="F12" s="4"/>
      <c r="G12" s="4"/>
      <c r="H12" s="4"/>
      <c r="I12" s="4"/>
      <c r="J12" s="4"/>
      <c r="K12" s="4"/>
    </row>
    <row r="13" ht="13.55" customHeight="1">
      <c r="A13" s="4"/>
      <c r="B13" t="s" s="54">
        <v>51</v>
      </c>
      <c r="C13" s="57">
        <f>C10*(16+8*C12)</f>
        <v>2.66666666666667e-07</v>
      </c>
      <c r="D13" s="4"/>
      <c r="E13" t="s" s="24">
        <v>52</v>
      </c>
      <c r="F13" s="4"/>
      <c r="G13" s="4"/>
      <c r="H13" s="4"/>
      <c r="I13" s="4"/>
      <c r="J13" s="4"/>
      <c r="K13" s="4"/>
    </row>
    <row r="14" ht="13.55" customHeight="1">
      <c r="A14" t="s" s="19">
        <v>53</v>
      </c>
      <c r="B14" s="43"/>
      <c r="C14" s="58"/>
      <c r="D14" s="4"/>
      <c r="E14" s="4"/>
      <c r="F14" s="4"/>
      <c r="G14" s="4"/>
      <c r="H14" s="4"/>
      <c r="I14" s="4"/>
      <c r="J14" s="4"/>
      <c r="K14" s="4"/>
    </row>
    <row r="15" ht="13.55" customHeight="1">
      <c r="A15" s="4"/>
      <c r="B15" t="s" s="53">
        <v>54</v>
      </c>
      <c r="C15" s="59">
        <v>0.005</v>
      </c>
      <c r="D15" s="60"/>
      <c r="E15" t="s" s="24">
        <v>55</v>
      </c>
      <c r="F15" s="4"/>
      <c r="G15" s="4"/>
      <c r="H15" s="4"/>
      <c r="I15" s="4"/>
      <c r="J15" s="4"/>
      <c r="K15" s="4"/>
    </row>
    <row r="16" ht="13.55" customHeight="1">
      <c r="A16" s="4"/>
      <c r="B16" t="s" s="53">
        <v>56</v>
      </c>
      <c r="C16" s="61">
        <v>2.5</v>
      </c>
      <c r="D16" s="29"/>
      <c r="E16" s="4"/>
      <c r="F16" s="4"/>
      <c r="G16" s="4"/>
      <c r="H16" s="4"/>
      <c r="I16" s="4"/>
      <c r="J16" s="4"/>
      <c r="K16" s="4"/>
    </row>
    <row r="17" ht="13.55" customHeight="1">
      <c r="A17" s="4"/>
      <c r="B17" t="s" s="53">
        <v>57</v>
      </c>
      <c r="C17" s="56">
        <v>1.35</v>
      </c>
      <c r="D17" s="29"/>
      <c r="E17" t="s" s="24">
        <v>58</v>
      </c>
      <c r="F17" s="4"/>
      <c r="G17" s="4"/>
      <c r="H17" s="4"/>
      <c r="I17" s="4"/>
      <c r="J17" s="4"/>
      <c r="K17" s="4"/>
    </row>
    <row r="18" ht="13.55" customHeight="1">
      <c r="A18" s="4"/>
      <c r="B18" t="s" s="54">
        <v>59</v>
      </c>
      <c r="C18" s="62">
        <f>C17/SQRT(2)</f>
        <v>0.9545941546018391</v>
      </c>
      <c r="D18" s="4"/>
      <c r="E18" s="4"/>
      <c r="F18" s="4"/>
      <c r="G18" s="4"/>
      <c r="H18" s="4"/>
      <c r="I18" s="4"/>
      <c r="J18" s="4"/>
      <c r="K18" s="4"/>
    </row>
    <row r="19" ht="13.55" customHeight="1">
      <c r="A19" t="s" s="19">
        <v>60</v>
      </c>
      <c r="B19" s="43"/>
      <c r="C19" s="63"/>
      <c r="D19" s="4"/>
      <c r="E19" s="4"/>
      <c r="F19" s="4"/>
      <c r="G19" s="4"/>
      <c r="H19" s="4"/>
      <c r="I19" s="4"/>
      <c r="J19" s="4"/>
      <c r="K19" s="4"/>
    </row>
    <row r="20" ht="13.55" customHeight="1">
      <c r="A20" s="4"/>
      <c r="B20" t="s" s="53">
        <v>61</v>
      </c>
      <c r="C20" s="64">
        <v>3</v>
      </c>
      <c r="D20" s="29"/>
      <c r="E20" t="s" s="24">
        <v>62</v>
      </c>
      <c r="F20" s="4"/>
      <c r="G20" s="4"/>
      <c r="H20" s="4"/>
      <c r="I20" s="4"/>
      <c r="J20" s="4"/>
      <c r="K20" s="4"/>
    </row>
    <row r="21" ht="13.55" customHeight="1">
      <c r="A21" s="4"/>
      <c r="B21" t="s" s="54">
        <v>63</v>
      </c>
      <c r="C21" s="57">
        <f>(24+32*C20)*C10</f>
        <v>1e-06</v>
      </c>
      <c r="D21" s="4"/>
      <c r="E21" t="s" s="24">
        <v>64</v>
      </c>
      <c r="F21" s="4"/>
      <c r="G21" s="4"/>
      <c r="H21" s="4"/>
      <c r="I21" s="4"/>
      <c r="J21" s="4"/>
      <c r="K21" s="4"/>
    </row>
    <row r="22" ht="13.55" customHeight="1">
      <c r="A22" s="4"/>
      <c r="B22" s="43"/>
      <c r="C22" s="4"/>
      <c r="D22" s="4"/>
      <c r="E22" s="4"/>
      <c r="F22" s="4"/>
      <c r="G22" s="4"/>
      <c r="H22" s="4"/>
      <c r="I22" s="4"/>
      <c r="J22" s="4"/>
      <c r="K22" s="4"/>
    </row>
    <row r="23" ht="13.55" customHeight="1">
      <c r="A23" s="4"/>
      <c r="B23" t="s" s="54">
        <v>65</v>
      </c>
      <c r="C23" s="65">
        <f>C11*0.0000002/C15</f>
        <v>0.00096</v>
      </c>
      <c r="D23" s="4"/>
      <c r="E23" t="s" s="24">
        <v>66</v>
      </c>
      <c r="F23" s="4"/>
      <c r="G23" s="4"/>
      <c r="H23" s="4"/>
      <c r="I23" s="4"/>
      <c r="J23" s="4"/>
      <c r="K23" s="4"/>
    </row>
    <row r="24" ht="13.55" customHeight="1">
      <c r="A24" s="4"/>
      <c r="B24" t="s" s="54">
        <v>67</v>
      </c>
      <c r="C24" s="65">
        <f>C11*C13/C15</f>
        <v>0.00128</v>
      </c>
      <c r="D24" s="4"/>
      <c r="E24" t="s" s="24">
        <v>68</v>
      </c>
      <c r="F24" s="4"/>
      <c r="G24" s="4"/>
      <c r="H24" s="4"/>
      <c r="I24" s="4"/>
      <c r="J24" s="4"/>
      <c r="K24" s="4"/>
    </row>
    <row r="25" ht="13.55" customHeight="1">
      <c r="A25" s="4"/>
      <c r="B25" t="s" s="54">
        <v>69</v>
      </c>
      <c r="C25" s="65">
        <f>C16*C17*2*C21/C15</f>
        <v>0.00135</v>
      </c>
      <c r="D25" s="4"/>
      <c r="E25" t="s" s="24">
        <v>70</v>
      </c>
      <c r="F25" s="4"/>
      <c r="G25" s="4"/>
      <c r="H25" s="4"/>
      <c r="I25" s="4"/>
      <c r="J25" s="4"/>
      <c r="K25" s="4"/>
    </row>
    <row r="26" ht="13.55" customHeight="1">
      <c r="A26" s="4"/>
      <c r="B26" s="43"/>
      <c r="C26" s="20"/>
      <c r="D26" s="4"/>
      <c r="E26" s="4"/>
      <c r="F26" s="4"/>
      <c r="G26" s="4"/>
      <c r="H26" s="4"/>
      <c r="I26" s="4"/>
      <c r="J26" s="4"/>
      <c r="K26" s="4"/>
    </row>
    <row r="27" ht="13.55" customHeight="1">
      <c r="A27" s="4"/>
      <c r="B27" t="s" s="53">
        <v>71</v>
      </c>
      <c r="C27" s="64">
        <v>31</v>
      </c>
      <c r="D27" s="29"/>
      <c r="E27" t="s" s="24">
        <v>72</v>
      </c>
      <c r="F27" s="4"/>
      <c r="G27" s="4"/>
      <c r="H27" s="4"/>
      <c r="I27" s="4"/>
      <c r="J27" s="4"/>
      <c r="K27" s="4"/>
    </row>
    <row r="28" ht="13.55" customHeight="1">
      <c r="A28" s="7"/>
      <c r="B28" t="s" s="66">
        <v>73</v>
      </c>
      <c r="C28" t="s" s="67">
        <f>IF(C27&lt;16,"Current scaler is quite small - values above 16 are best for good microstepping","OK")</f>
        <v>74</v>
      </c>
      <c r="D28" s="7"/>
      <c r="E28" s="7"/>
      <c r="F28" s="7"/>
      <c r="G28" s="7"/>
      <c r="H28" s="7"/>
      <c r="I28" s="4"/>
      <c r="J28" s="4"/>
      <c r="K28" s="4"/>
    </row>
    <row r="29" ht="13.55" customHeight="1">
      <c r="A29" t="s" s="68">
        <v>75</v>
      </c>
      <c r="B29" s="69"/>
      <c r="C29" s="70"/>
      <c r="D29" s="69"/>
      <c r="E29" s="69"/>
      <c r="F29" s="69"/>
      <c r="G29" s="69"/>
      <c r="H29" s="69"/>
      <c r="I29" s="71"/>
      <c r="J29" s="4"/>
      <c r="K29" s="4"/>
    </row>
    <row r="30" ht="13.55" customHeight="1">
      <c r="A30" s="18"/>
      <c r="B30" t="s" s="72">
        <v>76</v>
      </c>
      <c r="C30" s="73">
        <f>MAX(0.5+(C23+C24+C25)*2*248*(C27+1)/C17/32-8,-2)</f>
        <v>-2</v>
      </c>
      <c r="D30" s="18"/>
      <c r="E30" t="s" s="74">
        <v>77</v>
      </c>
      <c r="F30" s="18"/>
      <c r="G30" s="18"/>
      <c r="H30" s="18"/>
      <c r="I30" s="4"/>
      <c r="J30" t="s" s="24">
        <v>78</v>
      </c>
      <c r="K30" s="4"/>
    </row>
    <row r="31" ht="15" customHeight="1">
      <c r="A31" s="4"/>
      <c r="B31" s="43"/>
      <c r="C31" s="4"/>
      <c r="D31" s="4"/>
      <c r="E31" s="4"/>
      <c r="F31" s="75"/>
      <c r="G31" s="75"/>
      <c r="H31" s="75"/>
      <c r="I31" s="4"/>
      <c r="J31" t="s" s="24">
        <v>79</v>
      </c>
      <c r="K31" s="4"/>
    </row>
    <row r="32" ht="14.05" customHeight="1">
      <c r="A32" t="s" s="76">
        <v>80</v>
      </c>
      <c r="B32" s="43"/>
      <c r="C32" t="s" s="77">
        <v>81</v>
      </c>
      <c r="D32" s="4"/>
      <c r="E32" s="78"/>
      <c r="F32" t="s" s="79">
        <v>82</v>
      </c>
      <c r="G32" s="80"/>
      <c r="H32" s="81"/>
      <c r="I32" s="82"/>
      <c r="J32" s="4"/>
      <c r="K32" s="4"/>
    </row>
    <row r="33" ht="13.55" customHeight="1">
      <c r="A33" s="4"/>
      <c r="B33" t="s" s="54">
        <v>83</v>
      </c>
      <c r="C33" s="83">
        <f>MAX(MIN(C30,8),1)</f>
        <v>1</v>
      </c>
      <c r="D33" s="4"/>
      <c r="E33" t="s" s="84">
        <v>84</v>
      </c>
      <c r="F33" s="85">
        <f>C33-1</f>
        <v>0</v>
      </c>
      <c r="G33" t="s" s="86">
        <v>85</v>
      </c>
      <c r="H33" s="78"/>
      <c r="I33" t="s" s="87">
        <v>86</v>
      </c>
      <c r="J33" s="4"/>
      <c r="K33" s="4"/>
    </row>
    <row r="34" ht="15" customHeight="1">
      <c r="A34" s="4"/>
      <c r="B34" t="s" s="54">
        <v>87</v>
      </c>
      <c r="C34" s="83">
        <f>MIN(C30-C33,12)</f>
        <v>-3</v>
      </c>
      <c r="D34" s="4"/>
      <c r="E34" t="s" s="84">
        <v>88</v>
      </c>
      <c r="F34" s="88">
        <f>C34+3</f>
        <v>0</v>
      </c>
      <c r="G34" t="s" s="89">
        <v>89</v>
      </c>
      <c r="H34" s="90"/>
      <c r="I34" t="s" s="87">
        <v>90</v>
      </c>
      <c r="J34" s="4"/>
      <c r="K34" s="4"/>
    </row>
    <row r="35" ht="14.05" customHeight="1">
      <c r="A35" s="4"/>
      <c r="B35" s="43"/>
      <c r="C35" s="4"/>
      <c r="D35" s="4"/>
      <c r="E35" s="4"/>
      <c r="F35" s="80"/>
      <c r="G35" s="80"/>
      <c r="H35" s="80"/>
      <c r="I35" s="4"/>
      <c r="J35" s="4"/>
      <c r="K35" s="4"/>
    </row>
    <row r="36" ht="13.55" customHeight="1">
      <c r="A36" s="4"/>
      <c r="B36" t="s" s="54">
        <v>73</v>
      </c>
      <c r="C36" t="s" s="91">
        <f>IF(C30&gt;20,"Attention: Motor requires very high Hysteresis setting  - try with reduced setting, reduce tBLANK, reduce sense resistor valule, increase fCLK, decrease VM or use classic const_toff_chopper mode",IF(C30&gt;15,"Attention: Result is large, use with CS reduced to maximum 30, or try smaller value of 16","OK"))</f>
        <v>74</v>
      </c>
      <c r="D36" s="4"/>
      <c r="E36" s="4"/>
      <c r="F36" s="4"/>
      <c r="G36" s="4"/>
      <c r="H36" s="4"/>
      <c r="I36" s="4"/>
      <c r="J36" s="4"/>
      <c r="K36" s="4"/>
    </row>
    <row r="37" ht="13.55" customHeight="1">
      <c r="A37" s="4"/>
      <c r="B37" s="43"/>
      <c r="C37" s="92"/>
      <c r="D37" s="4"/>
      <c r="E37" s="4"/>
      <c r="F37" s="4"/>
      <c r="G37" s="4"/>
      <c r="H37" s="4"/>
      <c r="I37" s="4"/>
      <c r="J37" s="4"/>
      <c r="K37" s="4"/>
    </row>
    <row r="38" ht="13.55" customHeight="1">
      <c r="A38" s="4"/>
      <c r="B38" t="s" s="54">
        <v>91</v>
      </c>
      <c r="C38" s="93">
        <f>1/(2*C21+2*C13)/1000</f>
        <v>394.736842105263</v>
      </c>
      <c r="D38" s="4"/>
      <c r="E38" t="s" s="24">
        <v>92</v>
      </c>
      <c r="F38" s="4"/>
      <c r="G38" s="4"/>
      <c r="H38" s="4"/>
      <c r="I38" s="4"/>
      <c r="J38" s="4"/>
      <c r="K38" s="4"/>
    </row>
    <row r="39" ht="13.55" customHeight="1">
      <c r="A39" s="4"/>
      <c r="B39" t="s" s="54">
        <v>73</v>
      </c>
      <c r="C39" t="s" s="91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93</v>
      </c>
      <c r="D39" s="4"/>
      <c r="E39" s="4"/>
      <c r="F39" s="4"/>
      <c r="G39" s="4"/>
      <c r="H39" s="94"/>
      <c r="I39" s="4"/>
      <c r="J39" s="4"/>
      <c r="K39" s="4"/>
    </row>
    <row r="40" ht="13.55" customHeight="1">
      <c r="A40" s="4"/>
      <c r="B40" s="43"/>
      <c r="C40" s="4"/>
      <c r="D40" s="4"/>
      <c r="E40" s="4"/>
      <c r="F40" s="4"/>
      <c r="G40" s="4"/>
      <c r="H40" s="4"/>
      <c r="I40" s="4"/>
      <c r="J40" s="4"/>
      <c r="K40" s="4"/>
    </row>
    <row r="41" ht="13.55" customHeight="1">
      <c r="A41" s="4"/>
      <c r="B41" t="s" s="54">
        <v>94</v>
      </c>
      <c r="C41" s="36">
        <f>C16*C17/SQRT(2)</f>
        <v>2.3864853865046</v>
      </c>
      <c r="D41" s="4"/>
      <c r="E41" t="s" s="24">
        <v>95</v>
      </c>
      <c r="F41" s="4"/>
      <c r="G41" s="4"/>
      <c r="H41" s="4"/>
      <c r="I41" s="4"/>
      <c r="J41" s="4"/>
      <c r="K41" s="4"/>
    </row>
    <row r="42" ht="13.55" customHeight="1">
      <c r="A42" t="s" s="19">
        <v>96</v>
      </c>
      <c r="B42" s="43"/>
      <c r="C42" s="36"/>
      <c r="D42" s="4"/>
      <c r="E42" s="4"/>
      <c r="F42" s="4"/>
      <c r="G42" s="4"/>
      <c r="H42" s="4"/>
      <c r="I42" s="4"/>
      <c r="J42" s="4"/>
      <c r="K42" s="4"/>
    </row>
    <row r="43" ht="13.55" customHeight="1">
      <c r="A43" s="4"/>
      <c r="B43" t="s" s="54">
        <v>97</v>
      </c>
      <c r="C43" s="39">
        <f>20*C41</f>
        <v>47.729707730092</v>
      </c>
      <c r="D43" s="4"/>
      <c r="E43" t="s" s="95">
        <v>98</v>
      </c>
      <c r="F43" s="4"/>
      <c r="G43" s="4"/>
      <c r="H43" s="4"/>
      <c r="I43" s="4"/>
      <c r="J43" s="4"/>
      <c r="K43" s="4"/>
    </row>
    <row r="44" ht="13.55" customHeight="1">
      <c r="A44" s="4"/>
      <c r="B44" t="s" s="54">
        <v>99</v>
      </c>
      <c r="C44" s="39">
        <f>C41*2</f>
        <v>4.7729707730092</v>
      </c>
      <c r="D44" s="4"/>
      <c r="E44" t="s" s="24">
        <v>100</v>
      </c>
      <c r="F44" s="4"/>
      <c r="G44" s="4"/>
      <c r="H44" s="4"/>
      <c r="I44" s="4"/>
      <c r="J44" s="4"/>
      <c r="K44" s="4"/>
    </row>
    <row r="45" ht="13.55" customHeight="1">
      <c r="A45" s="4"/>
      <c r="B45" s="43"/>
      <c r="C45" s="4"/>
      <c r="D45" s="4"/>
      <c r="E45" s="4"/>
      <c r="F45" s="4"/>
      <c r="G45" s="4"/>
      <c r="H45" s="4"/>
      <c r="I45" s="4"/>
      <c r="J45" s="4"/>
      <c r="K45" s="4"/>
    </row>
    <row r="46" ht="15" customHeight="1">
      <c r="A46" t="s" s="19">
        <v>101</v>
      </c>
      <c r="B46" s="96"/>
      <c r="C46" s="75"/>
      <c r="D46" s="75"/>
      <c r="E46" s="4"/>
      <c r="F46" s="4"/>
      <c r="G46" s="4"/>
      <c r="H46" s="4"/>
      <c r="I46" s="4"/>
      <c r="J46" s="4"/>
      <c r="K46" s="4"/>
    </row>
    <row r="47" ht="14.05" customHeight="1">
      <c r="A47" s="78"/>
      <c r="B47" t="s" s="97">
        <v>102</v>
      </c>
      <c r="C47" s="98">
        <f>(C27+1)/32/C17*0.32-0.02</f>
        <v>0.217037037037037</v>
      </c>
      <c r="D47" t="s" s="99">
        <v>103</v>
      </c>
      <c r="E47" t="s" s="87">
        <v>104</v>
      </c>
      <c r="F47" s="4"/>
      <c r="G47" s="4"/>
      <c r="H47" s="4"/>
      <c r="I47" s="4"/>
      <c r="J47" s="4"/>
      <c r="K47" s="4"/>
    </row>
    <row r="48" ht="15" customHeight="1">
      <c r="A48" s="78"/>
      <c r="B48" t="s" s="100">
        <v>105</v>
      </c>
      <c r="C48" s="101">
        <f>(C27+1)/32/C17*0.18-0.02</f>
        <v>0.113333333333333</v>
      </c>
      <c r="D48" t="s" s="102">
        <v>103</v>
      </c>
      <c r="E48" s="82"/>
      <c r="F48" s="4"/>
      <c r="G48" s="4"/>
      <c r="H48" s="4"/>
      <c r="I48" s="4"/>
      <c r="J48" s="4"/>
      <c r="K48" s="4"/>
    </row>
  </sheetData>
  <conditionalFormatting sqref="C43">
    <cfRule type="cellIs" dxfId="0" priority="1" operator="lessThan" stopIfTrue="1">
      <formula>$C$11</formula>
    </cfRule>
  </conditionalFormatting>
  <conditionalFormatting sqref="C44">
    <cfRule type="cellIs" dxfId="1" priority="1" operator="greaterThan" stopIfTrue="1">
      <formula>$C$11</formula>
    </cfRule>
  </conditionalFormatting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66"/>
  <sheetViews>
    <sheetView workbookViewId="0" showGridLines="0" defaultGridColor="1"/>
  </sheetViews>
  <sheetFormatPr defaultColWidth="10.8333" defaultRowHeight="14.4" customHeight="1" outlineLevelRow="0" outlineLevelCol="0"/>
  <cols>
    <col min="1" max="1" width="39.8516" style="103" customWidth="1"/>
    <col min="2" max="2" width="23.1719" style="103" customWidth="1"/>
    <col min="3" max="3" width="16.8516" style="103" customWidth="1"/>
    <col min="4" max="4" width="17.5" style="103" customWidth="1"/>
    <col min="5" max="5" width="17.1719" style="103" customWidth="1"/>
    <col min="6" max="8" width="10.8516" style="103" customWidth="1"/>
    <col min="9" max="16384" width="10.8516" style="103" customWidth="1"/>
  </cols>
  <sheetData>
    <row r="1" ht="18" customHeight="1">
      <c r="A1" t="s" s="2">
        <v>106</v>
      </c>
      <c r="B1" s="4"/>
      <c r="C1" s="4"/>
      <c r="D1" s="4"/>
      <c r="E1" s="4"/>
      <c r="F1" s="4"/>
      <c r="G1" s="4"/>
      <c r="H1" s="4"/>
    </row>
    <row r="2" ht="13.55" customHeight="1">
      <c r="A2" t="s" s="95">
        <v>107</v>
      </c>
      <c r="B2" s="104"/>
      <c r="C2" s="4"/>
      <c r="D2" s="4"/>
      <c r="E2" s="4"/>
      <c r="F2" s="4"/>
      <c r="G2" s="4"/>
      <c r="H2" s="4"/>
    </row>
    <row r="3" ht="13.55" customHeight="1">
      <c r="A3" s="105"/>
      <c r="B3" s="106"/>
      <c r="C3" s="7"/>
      <c r="D3" s="7"/>
      <c r="E3" s="7"/>
      <c r="F3" s="7"/>
      <c r="G3" s="7"/>
      <c r="H3" s="7"/>
    </row>
    <row r="4" ht="13.55" customHeight="1">
      <c r="A4" t="s" s="45">
        <v>1</v>
      </c>
      <c r="B4" t="s" s="46">
        <v>108</v>
      </c>
      <c r="C4" s="11"/>
      <c r="D4" s="11"/>
      <c r="E4" s="11"/>
      <c r="F4" s="11"/>
      <c r="G4" s="11"/>
      <c r="H4" s="12"/>
    </row>
    <row r="5" ht="13.55" customHeight="1">
      <c r="A5" s="33"/>
      <c r="B5" t="s" s="74">
        <v>109</v>
      </c>
      <c r="C5" s="18"/>
      <c r="D5" s="18"/>
      <c r="E5" s="18"/>
      <c r="F5" s="18"/>
      <c r="G5" s="18"/>
      <c r="H5" s="18"/>
    </row>
    <row r="6" ht="13.55" customHeight="1">
      <c r="A6" s="33"/>
      <c r="B6" s="4"/>
      <c r="C6" s="4"/>
      <c r="D6" s="4"/>
      <c r="E6" s="4"/>
      <c r="F6" s="4"/>
      <c r="G6" s="4"/>
      <c r="H6" s="4"/>
    </row>
    <row r="7" ht="13.55" customHeight="1">
      <c r="A7" s="4"/>
      <c r="B7" s="107"/>
      <c r="C7" s="20"/>
      <c r="D7" s="4"/>
      <c r="E7" s="7"/>
      <c r="F7" s="7"/>
      <c r="G7" s="7"/>
      <c r="H7" s="7"/>
    </row>
    <row r="8" ht="13.55" customHeight="1">
      <c r="A8" t="s" s="19">
        <v>45</v>
      </c>
      <c r="B8" t="s" s="108">
        <v>44</v>
      </c>
      <c r="C8" s="22">
        <v>120</v>
      </c>
      <c r="D8" s="109"/>
      <c r="E8" t="s" s="110">
        <v>110</v>
      </c>
      <c r="F8" s="11"/>
      <c r="G8" s="11"/>
      <c r="H8" s="12"/>
    </row>
    <row r="9" ht="13.55" customHeight="1">
      <c r="A9" s="4"/>
      <c r="B9" t="s" s="111">
        <v>46</v>
      </c>
      <c r="C9" s="30">
        <f>1/(1000000*C8)</f>
        <v>8.33333333333333e-09</v>
      </c>
      <c r="D9" s="4"/>
      <c r="E9" s="18"/>
      <c r="F9" s="18"/>
      <c r="G9" s="18"/>
      <c r="H9" s="18"/>
    </row>
    <row r="10" ht="13.55" customHeight="1">
      <c r="A10" s="4"/>
      <c r="B10" s="107"/>
      <c r="C10" s="20"/>
      <c r="D10" s="4"/>
      <c r="E10" s="4"/>
      <c r="F10" s="4"/>
      <c r="G10" s="4"/>
      <c r="H10" s="4"/>
    </row>
    <row r="11" ht="13.55" customHeight="1">
      <c r="A11" t="s" s="19">
        <v>111</v>
      </c>
      <c r="B11" t="s" s="108">
        <v>47</v>
      </c>
      <c r="C11" s="22">
        <v>24</v>
      </c>
      <c r="D11" s="29"/>
      <c r="E11" s="4"/>
      <c r="F11" s="4"/>
      <c r="G11" s="4"/>
      <c r="H11" s="4"/>
    </row>
    <row r="12" ht="13.55" customHeight="1">
      <c r="A12" s="4"/>
      <c r="B12" s="107"/>
      <c r="C12" t="s" s="112">
        <v>112</v>
      </c>
      <c r="D12" s="33"/>
      <c r="E12" s="4"/>
      <c r="F12" s="4"/>
      <c r="G12" s="4"/>
      <c r="H12" s="4"/>
    </row>
    <row r="13" ht="13.55" customHeight="1">
      <c r="A13" t="s" s="19">
        <v>113</v>
      </c>
      <c r="B13" t="s" s="111">
        <v>57</v>
      </c>
      <c r="C13" s="32">
        <f>1.41*C14</f>
        <v>1.3536</v>
      </c>
      <c r="D13" s="4"/>
      <c r="E13" t="s" s="24">
        <v>114</v>
      </c>
      <c r="F13" s="4"/>
      <c r="G13" s="4"/>
      <c r="H13" s="4"/>
    </row>
    <row r="14" ht="13.55" customHeight="1">
      <c r="A14" s="4"/>
      <c r="B14" t="s" s="108">
        <v>115</v>
      </c>
      <c r="C14" s="113">
        <v>0.96</v>
      </c>
      <c r="D14" s="114"/>
      <c r="E14" t="s" s="24">
        <v>116</v>
      </c>
      <c r="F14" s="4"/>
      <c r="G14" s="4"/>
      <c r="H14" s="4"/>
    </row>
    <row r="15" ht="13.55" customHeight="1">
      <c r="A15" t="s" s="19">
        <v>117</v>
      </c>
      <c r="B15" t="s" s="108">
        <v>118</v>
      </c>
      <c r="C15" s="22">
        <v>4.5</v>
      </c>
      <c r="D15" s="114"/>
      <c r="E15" t="s" s="24">
        <v>119</v>
      </c>
      <c r="F15" s="4"/>
      <c r="G15" s="4"/>
      <c r="H15" s="4"/>
    </row>
    <row r="16" ht="13.55" customHeight="1">
      <c r="A16" s="4"/>
      <c r="B16" s="107"/>
      <c r="C16" s="115"/>
      <c r="D16" s="36"/>
      <c r="E16" s="4"/>
      <c r="F16" s="4"/>
      <c r="G16" s="4"/>
      <c r="H16" s="4"/>
    </row>
    <row r="17" ht="13.55" customHeight="1">
      <c r="A17" t="s" s="19">
        <v>120</v>
      </c>
      <c r="B17" t="s" s="108">
        <v>61</v>
      </c>
      <c r="C17" s="22">
        <v>3</v>
      </c>
      <c r="D17" s="29"/>
      <c r="E17" s="4"/>
      <c r="F17" s="4"/>
      <c r="G17" s="4"/>
      <c r="H17" s="4"/>
    </row>
    <row r="18" ht="13.55" customHeight="1">
      <c r="A18" s="4"/>
      <c r="B18" t="s" s="111">
        <v>63</v>
      </c>
      <c r="C18" s="57">
        <f>(24+32*C17)*C9</f>
        <v>1e-06</v>
      </c>
      <c r="D18" t="s" s="24">
        <v>121</v>
      </c>
      <c r="E18" s="4"/>
      <c r="F18" s="4"/>
      <c r="G18" s="4"/>
      <c r="H18" s="4"/>
    </row>
    <row r="19" ht="28.8" customHeight="1">
      <c r="A19" t="s" s="116">
        <v>122</v>
      </c>
      <c r="B19" t="s" s="117">
        <v>123</v>
      </c>
      <c r="C19" s="118">
        <f>1/((2+4*C20)*C18)/1000</f>
        <v>290.697674418605</v>
      </c>
      <c r="D19" s="36"/>
      <c r="E19" t="s" s="24">
        <v>124</v>
      </c>
      <c r="F19" s="4"/>
      <c r="G19" s="4"/>
      <c r="H19" s="4"/>
    </row>
    <row r="20" ht="28.8" customHeight="1">
      <c r="A20" t="s" s="116">
        <v>125</v>
      </c>
      <c r="B20" t="s" s="111">
        <v>126</v>
      </c>
      <c r="C20" s="36">
        <f>MIN(MAX(0.2,2*(C15*C14)/$C11),0.9)</f>
        <v>0.36</v>
      </c>
      <c r="D20" s="36"/>
      <c r="E20" t="s" s="24">
        <v>127</v>
      </c>
      <c r="F20" s="4"/>
      <c r="G20" s="4"/>
      <c r="H20" s="4"/>
    </row>
    <row r="21" ht="13.55" customHeight="1">
      <c r="A21" s="4"/>
      <c r="B21" s="107"/>
      <c r="C21" s="119"/>
      <c r="D21" s="4"/>
      <c r="E21" s="4"/>
      <c r="F21" s="4"/>
      <c r="G21" s="4"/>
      <c r="H21" s="4"/>
    </row>
    <row r="22" ht="13.55" customHeight="1">
      <c r="A22" s="4"/>
      <c r="B22" s="120"/>
      <c r="C22" t="s" s="121">
        <v>128</v>
      </c>
      <c r="D22" s="122"/>
      <c r="E22" s="33"/>
      <c r="F22" s="4"/>
      <c r="G22" s="4"/>
      <c r="H22" s="4"/>
    </row>
    <row r="23" ht="13.55" customHeight="1">
      <c r="A23" t="s" s="19">
        <v>129</v>
      </c>
      <c r="B23" s="107"/>
      <c r="C23" s="123"/>
      <c r="D23" s="33"/>
      <c r="E23" s="33"/>
      <c r="F23" s="4"/>
      <c r="G23" s="4"/>
      <c r="H23" s="4"/>
    </row>
    <row r="24" ht="13.55" customHeight="1">
      <c r="A24" t="s" s="24">
        <v>130</v>
      </c>
      <c r="B24" t="s" s="111">
        <v>131</v>
      </c>
      <c r="C24" s="124">
        <v>0.17</v>
      </c>
      <c r="D24" s="4"/>
      <c r="E24" s="4"/>
      <c r="F24" s="4"/>
      <c r="G24" s="4"/>
      <c r="H24" s="4"/>
    </row>
    <row r="25" ht="13.55" customHeight="1">
      <c r="A25" t="s" s="77">
        <v>132</v>
      </c>
      <c r="B25" t="s" s="111">
        <v>133</v>
      </c>
      <c r="C25" s="124">
        <v>0.17</v>
      </c>
      <c r="D25" s="4"/>
      <c r="E25" s="4"/>
      <c r="F25" s="4"/>
      <c r="G25" s="4"/>
      <c r="H25" s="4"/>
    </row>
    <row r="26" ht="13.55" customHeight="1">
      <c r="A26" s="4"/>
      <c r="B26" s="107"/>
      <c r="C26" s="20"/>
      <c r="D26" s="4"/>
      <c r="E26" s="4"/>
      <c r="F26" s="4"/>
      <c r="G26" s="4"/>
      <c r="H26" s="4"/>
    </row>
    <row r="27" ht="13.55" customHeight="1">
      <c r="A27" t="s" s="24">
        <v>134</v>
      </c>
      <c r="B27" t="s" s="108">
        <v>135</v>
      </c>
      <c r="C27" s="125">
        <v>70</v>
      </c>
      <c r="D27" s="126"/>
      <c r="E27" s="4"/>
      <c r="F27" s="4"/>
      <c r="G27" t="s" s="24">
        <v>136</v>
      </c>
      <c r="H27" s="4"/>
    </row>
    <row r="28" ht="13.55" customHeight="1">
      <c r="A28" s="4"/>
      <c r="B28" t="s" s="111">
        <v>137</v>
      </c>
      <c r="C28" s="62">
        <f>C24*(1+(0.55*(C27-25)/100))</f>
        <v>0.212075</v>
      </c>
      <c r="D28" s="36"/>
      <c r="E28" s="65"/>
      <c r="F28" s="4"/>
      <c r="G28" s="4"/>
      <c r="H28" s="4"/>
    </row>
    <row r="29" ht="13.55" customHeight="1">
      <c r="A29" s="4"/>
      <c r="B29" t="s" s="111">
        <v>138</v>
      </c>
      <c r="C29" s="65">
        <f>C25*(1+(0.55*(C27-25)/100))</f>
        <v>0.212075</v>
      </c>
      <c r="D29" s="36"/>
      <c r="E29" s="65"/>
      <c r="F29" s="4"/>
      <c r="G29" s="4"/>
      <c r="H29" s="4"/>
    </row>
    <row r="30" ht="13.55" customHeight="1">
      <c r="A30" s="4"/>
      <c r="B30" s="107"/>
      <c r="C30" s="36"/>
      <c r="D30" s="36"/>
      <c r="E30" s="65"/>
      <c r="F30" s="4"/>
      <c r="G30" s="4"/>
      <c r="H30" s="4"/>
    </row>
    <row r="31" ht="13.55" customHeight="1">
      <c r="A31" t="s" s="24">
        <v>139</v>
      </c>
      <c r="B31" t="s" s="111">
        <v>140</v>
      </c>
      <c r="C31" s="83">
        <v>30</v>
      </c>
      <c r="D31" s="83"/>
      <c r="E31" s="83"/>
      <c r="F31" s="4"/>
      <c r="G31" t="s" s="24">
        <v>141</v>
      </c>
      <c r="H31" s="4"/>
    </row>
    <row r="32" ht="13.55" customHeight="1">
      <c r="A32" s="4"/>
      <c r="B32" t="s" s="111">
        <v>142</v>
      </c>
      <c r="C32" s="83">
        <v>40</v>
      </c>
      <c r="D32" s="83"/>
      <c r="E32" s="83"/>
      <c r="F32" s="4"/>
      <c r="G32" s="4"/>
      <c r="H32" s="4"/>
    </row>
    <row r="33" ht="13.55" customHeight="1">
      <c r="A33" s="4"/>
      <c r="B33" t="s" s="111">
        <v>143</v>
      </c>
      <c r="C33" s="83">
        <v>60</v>
      </c>
      <c r="D33" s="83"/>
      <c r="E33" s="83"/>
      <c r="F33" s="4"/>
      <c r="G33" s="4"/>
      <c r="H33" s="4"/>
    </row>
    <row r="34" ht="13.55" customHeight="1">
      <c r="A34" s="4"/>
      <c r="B34" t="s" s="111">
        <v>144</v>
      </c>
      <c r="C34" s="83">
        <v>60</v>
      </c>
      <c r="D34" s="83"/>
      <c r="E34" s="83"/>
      <c r="F34" s="4"/>
      <c r="G34" s="4"/>
      <c r="H34" s="4"/>
    </row>
    <row r="35" ht="13.55" customHeight="1">
      <c r="A35" s="4"/>
      <c r="B35" s="107"/>
      <c r="C35" s="83"/>
      <c r="D35" s="83"/>
      <c r="E35" s="83"/>
      <c r="F35" s="4"/>
      <c r="G35" s="4"/>
      <c r="H35" s="4"/>
    </row>
    <row r="36" ht="13.55" customHeight="1">
      <c r="A36" t="s" s="24">
        <v>145</v>
      </c>
      <c r="B36" t="s" s="111">
        <v>146</v>
      </c>
      <c r="C36" s="36">
        <f>C28*($C$14^2)*$C$20</f>
        <v>0.0703613952</v>
      </c>
      <c r="D36" s="36"/>
      <c r="E36" s="36"/>
      <c r="F36" s="4"/>
      <c r="G36" s="4"/>
      <c r="H36" s="4"/>
    </row>
    <row r="37" ht="13.55" customHeight="1">
      <c r="A37" t="s" s="24">
        <v>147</v>
      </c>
      <c r="B37" t="s" s="111">
        <v>148</v>
      </c>
      <c r="C37" s="65">
        <f>$C$19*1000*((C33+C32)/1000000000)*$C$11*$C$14*2/2</f>
        <v>0.669767441860466</v>
      </c>
      <c r="D37" s="65"/>
      <c r="E37" s="65"/>
      <c r="F37" s="4"/>
      <c r="G37" s="4"/>
      <c r="H37" s="4"/>
    </row>
    <row r="38" ht="13.55" customHeight="1">
      <c r="A38" t="s" s="24">
        <v>149</v>
      </c>
      <c r="B38" t="s" s="111">
        <v>150</v>
      </c>
      <c r="C38" s="36">
        <f>C36+C37</f>
        <v>0.7401288370604659</v>
      </c>
      <c r="D38" s="36"/>
      <c r="E38" s="36"/>
      <c r="F38" s="4"/>
      <c r="G38" s="127"/>
      <c r="H38" s="4"/>
    </row>
    <row r="39" ht="13.55" customHeight="1">
      <c r="A39" s="4"/>
      <c r="B39" t="s" s="111">
        <v>151</v>
      </c>
      <c r="C39" s="36">
        <f>(1-$C$20+0.5*$C$20)*($C$14^2)*C29</f>
        <v>0.1602676224</v>
      </c>
      <c r="D39" s="36"/>
      <c r="E39" s="36"/>
      <c r="F39" s="4"/>
      <c r="G39" s="4"/>
      <c r="H39" s="4"/>
    </row>
    <row r="40" ht="13.55" customHeight="1">
      <c r="A40" s="4"/>
      <c r="B40" t="s" s="111">
        <v>152</v>
      </c>
      <c r="C40" s="65">
        <f>C19*1000*((C34+C31)/1000000000)*$C$11*C14*2/2</f>
        <v>0.602790697674419</v>
      </c>
      <c r="D40" s="65"/>
      <c r="E40" s="65"/>
      <c r="F40" s="4"/>
      <c r="G40" s="4"/>
      <c r="H40" s="4"/>
    </row>
    <row r="41" ht="13.55" customHeight="1">
      <c r="A41" t="s" s="24">
        <v>149</v>
      </c>
      <c r="B41" t="s" s="111">
        <v>153</v>
      </c>
      <c r="C41" s="36">
        <f>C39+C40</f>
        <v>0.763058320074419</v>
      </c>
      <c r="D41" s="36"/>
      <c r="E41" s="36"/>
      <c r="F41" s="4"/>
      <c r="G41" s="127"/>
      <c r="H41" s="4"/>
    </row>
    <row r="42" ht="13.55" customHeight="1">
      <c r="A42" s="4"/>
      <c r="B42" s="107"/>
      <c r="C42" s="36"/>
      <c r="D42" s="36"/>
      <c r="E42" s="36"/>
      <c r="F42" s="4"/>
      <c r="G42" s="4"/>
      <c r="H42" s="4"/>
    </row>
    <row r="43" ht="13.55" customHeight="1">
      <c r="A43" t="s" s="24">
        <v>154</v>
      </c>
      <c r="B43" t="s" s="111">
        <v>155</v>
      </c>
      <c r="C43" s="36">
        <f>2*C39+C40+2*C36+C37</f>
        <v>1.73381617473489</v>
      </c>
      <c r="D43" s="36"/>
      <c r="E43" s="36"/>
      <c r="F43" s="4"/>
      <c r="G43" s="4"/>
      <c r="H43" s="4"/>
    </row>
    <row r="44" ht="13.55" customHeight="1">
      <c r="A44" t="s" s="19">
        <v>156</v>
      </c>
      <c r="B44" t="s" s="111">
        <v>157</v>
      </c>
      <c r="C44" s="36">
        <f>2*C43</f>
        <v>3.46763234946978</v>
      </c>
      <c r="D44" s="36"/>
      <c r="E44" s="36"/>
      <c r="F44" s="4"/>
      <c r="G44" s="127"/>
      <c r="H44" s="4"/>
    </row>
    <row r="45" ht="13.55" customHeight="1">
      <c r="A45" t="s" s="19">
        <v>158</v>
      </c>
      <c r="B45" t="s" s="111">
        <v>159</v>
      </c>
      <c r="C45" s="36">
        <f>C11*(0.0025+0.0005+C8*0.0003)</f>
        <v>0.9360000000000001</v>
      </c>
      <c r="D45" s="36"/>
      <c r="E45" s="36"/>
      <c r="F45" s="4"/>
      <c r="G45" s="127"/>
      <c r="H45" s="4"/>
    </row>
    <row r="46" ht="13.55" customHeight="1">
      <c r="A46" s="33"/>
      <c r="B46" s="128"/>
      <c r="C46" s="129"/>
      <c r="D46" s="37"/>
      <c r="E46" s="37"/>
      <c r="F46" s="4"/>
      <c r="G46" s="127"/>
      <c r="H46" s="4"/>
    </row>
    <row r="47" ht="13.55" customHeight="1">
      <c r="A47" t="s" s="19">
        <v>160</v>
      </c>
      <c r="B47" t="s" s="130">
        <v>161</v>
      </c>
      <c r="C47" s="131">
        <f>C44+C45</f>
        <v>4.40363234946978</v>
      </c>
      <c r="D47" s="71"/>
      <c r="E47" s="37"/>
      <c r="F47" s="4"/>
      <c r="G47" s="4"/>
      <c r="H47" s="4"/>
    </row>
    <row r="48" ht="13.55" customHeight="1">
      <c r="A48" s="33"/>
      <c r="B48" s="128"/>
      <c r="C48" s="132"/>
      <c r="D48" s="4"/>
      <c r="E48" s="37"/>
      <c r="F48" s="4"/>
      <c r="G48" s="4"/>
      <c r="H48" s="4"/>
    </row>
    <row r="49" ht="13.55" customHeight="1">
      <c r="A49" s="4"/>
      <c r="B49" s="4"/>
      <c r="C49" s="20"/>
      <c r="D49" s="4"/>
      <c r="E49" s="4"/>
      <c r="F49" s="4"/>
      <c r="G49" s="4"/>
      <c r="H49" s="4"/>
    </row>
    <row r="50" ht="13.55" customHeight="1">
      <c r="A50" t="s" s="19">
        <v>162</v>
      </c>
      <c r="B50" t="s" s="108">
        <v>163</v>
      </c>
      <c r="C50" s="133">
        <v>0.1</v>
      </c>
      <c r="D50" s="134"/>
      <c r="E50" t="s" s="24">
        <v>164</v>
      </c>
      <c r="F50" s="4"/>
      <c r="G50" s="4"/>
      <c r="H50" s="4"/>
    </row>
    <row r="51" ht="13.55" customHeight="1">
      <c r="A51" s="4"/>
      <c r="B51" t="s" s="135">
        <v>165</v>
      </c>
      <c r="C51" s="136">
        <f>C$50*C$14^2*C$20</f>
        <v>0.0331776</v>
      </c>
      <c r="D51" s="37"/>
      <c r="E51" t="s" s="24">
        <v>166</v>
      </c>
      <c r="F51" s="4"/>
      <c r="G51" s="127"/>
      <c r="H51" s="4"/>
    </row>
    <row r="52" ht="13.55" customHeight="1">
      <c r="A52" s="4"/>
      <c r="B52" t="s" s="135">
        <v>167</v>
      </c>
      <c r="C52" s="137">
        <f>C$50*C$14^2*0.7</f>
        <v>0.064512</v>
      </c>
      <c r="D52" s="4"/>
      <c r="E52" t="s" s="24">
        <v>168</v>
      </c>
      <c r="F52" s="4"/>
      <c r="G52" s="4"/>
      <c r="H52" s="4"/>
    </row>
    <row r="53" ht="13.55" customHeight="1">
      <c r="A53" s="4"/>
      <c r="B53" s="4"/>
      <c r="C53" s="4"/>
      <c r="D53" s="4"/>
      <c r="E53" s="4"/>
      <c r="F53" s="4"/>
      <c r="G53" s="4"/>
      <c r="H53" s="4"/>
    </row>
    <row r="54" ht="13.55" customHeight="1">
      <c r="A54" s="4"/>
      <c r="B54" s="4"/>
      <c r="C54" s="4"/>
      <c r="D54" s="4"/>
      <c r="E54" s="4"/>
      <c r="F54" s="4"/>
      <c r="G54" s="4"/>
      <c r="H54" s="4"/>
    </row>
    <row r="55" ht="13.65" customHeight="1">
      <c r="A55" s="138"/>
      <c r="B55" s="4"/>
      <c r="C55" s="4"/>
      <c r="D55" s="4"/>
      <c r="E55" s="4"/>
      <c r="F55" s="4"/>
      <c r="G55" s="4"/>
      <c r="H55" s="4"/>
    </row>
    <row r="56" ht="13.65" customHeight="1">
      <c r="A56" s="138"/>
      <c r="B56" s="4"/>
      <c r="C56" s="4"/>
      <c r="D56" s="4"/>
      <c r="E56" s="4"/>
      <c r="F56" s="4"/>
      <c r="G56" s="4"/>
      <c r="H56" s="4"/>
    </row>
    <row r="57" ht="13.65" customHeight="1">
      <c r="A57" s="138"/>
      <c r="B57" s="4"/>
      <c r="C57" s="4"/>
      <c r="D57" s="4"/>
      <c r="E57" s="4"/>
      <c r="F57" s="4"/>
      <c r="G57" s="4"/>
      <c r="H57" s="4"/>
    </row>
    <row r="58" ht="13.65" customHeight="1">
      <c r="A58" s="138"/>
      <c r="B58" s="4"/>
      <c r="C58" s="4"/>
      <c r="D58" s="4"/>
      <c r="E58" s="4"/>
      <c r="F58" s="4"/>
      <c r="G58" s="4"/>
      <c r="H58" s="4"/>
    </row>
    <row r="59" ht="13.55" customHeight="1">
      <c r="A59" s="4"/>
      <c r="B59" s="4"/>
      <c r="C59" s="4"/>
      <c r="D59" s="4"/>
      <c r="E59" s="4"/>
      <c r="F59" s="4"/>
      <c r="G59" s="4"/>
      <c r="H59" s="4"/>
    </row>
    <row r="60" ht="13.65" customHeight="1">
      <c r="A60" s="138"/>
      <c r="B60" s="36"/>
      <c r="C60" s="4"/>
      <c r="D60" s="4"/>
      <c r="E60" s="4"/>
      <c r="F60" s="4"/>
      <c r="G60" s="4"/>
      <c r="H60" s="4"/>
    </row>
    <row r="61" ht="13.65" customHeight="1">
      <c r="A61" s="138"/>
      <c r="B61" s="36"/>
      <c r="C61" s="4"/>
      <c r="D61" s="4"/>
      <c r="E61" s="4"/>
      <c r="F61" s="4"/>
      <c r="G61" s="4"/>
      <c r="H61" s="4"/>
    </row>
    <row r="62" ht="13.65" customHeight="1">
      <c r="A62" s="138"/>
      <c r="B62" s="139"/>
      <c r="C62" s="4"/>
      <c r="D62" s="4"/>
      <c r="E62" s="4"/>
      <c r="F62" s="4"/>
      <c r="G62" s="4"/>
      <c r="H62" s="4"/>
    </row>
    <row r="63" ht="13.65" customHeight="1">
      <c r="A63" s="138"/>
      <c r="B63" s="36"/>
      <c r="C63" s="4"/>
      <c r="D63" s="4"/>
      <c r="E63" s="4"/>
      <c r="F63" s="4"/>
      <c r="G63" s="4"/>
      <c r="H63" s="4"/>
    </row>
    <row r="64" ht="13.65" customHeight="1">
      <c r="A64" s="138"/>
      <c r="B64" s="36"/>
      <c r="C64" s="4"/>
      <c r="D64" s="4"/>
      <c r="E64" s="4"/>
      <c r="F64" s="4"/>
      <c r="G64" s="4"/>
      <c r="H64" s="4"/>
    </row>
    <row r="65" ht="13.65" customHeight="1">
      <c r="A65" s="138"/>
      <c r="B65" s="36"/>
      <c r="C65" s="4"/>
      <c r="D65" s="4"/>
      <c r="E65" s="4"/>
      <c r="F65" s="4"/>
      <c r="G65" s="4"/>
      <c r="H65" s="4"/>
    </row>
    <row r="66" ht="13.65" customHeight="1">
      <c r="A66" s="138"/>
      <c r="B66" s="36"/>
      <c r="C66" s="4"/>
      <c r="D66" s="4"/>
      <c r="E66" s="4"/>
      <c r="F66" s="4"/>
      <c r="G66" s="4"/>
      <c r="H66" s="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42"/>
  <sheetViews>
    <sheetView workbookViewId="0" showGridLines="0" defaultGridColor="1"/>
  </sheetViews>
  <sheetFormatPr defaultColWidth="10.8333" defaultRowHeight="14.4" customHeight="1" outlineLevelRow="0" outlineLevelCol="0"/>
  <cols>
    <col min="1" max="1" width="21.6719" style="140" customWidth="1"/>
    <col min="2" max="2" width="17.5" style="140" customWidth="1"/>
    <col min="3" max="3" width="16.1719" style="140" customWidth="1"/>
    <col min="4" max="4" width="39.8516" style="140" customWidth="1"/>
    <col min="5" max="6" width="10.8516" style="140" customWidth="1"/>
    <col min="7" max="16384" width="10.8516" style="140" customWidth="1"/>
  </cols>
  <sheetData>
    <row r="1" ht="13.55" customHeight="1">
      <c r="A1" t="s" s="24">
        <v>169</v>
      </c>
      <c r="B1" s="124">
        <v>325</v>
      </c>
      <c r="C1" t="s" s="24">
        <v>170</v>
      </c>
      <c r="D1" s="4"/>
      <c r="E1" s="4"/>
      <c r="F1" s="4"/>
    </row>
    <row r="2" ht="13.55" customHeight="1">
      <c r="A2" t="s" s="24">
        <v>171</v>
      </c>
      <c r="B2" s="124">
        <v>180</v>
      </c>
      <c r="C2" t="s" s="24">
        <v>170</v>
      </c>
      <c r="D2" s="4"/>
      <c r="E2" s="4"/>
      <c r="F2" s="4"/>
    </row>
    <row r="3" ht="13.55" customHeight="1">
      <c r="A3" s="4"/>
      <c r="B3" s="4"/>
      <c r="C3" s="4"/>
      <c r="D3" s="4"/>
      <c r="E3" s="4"/>
      <c r="F3" s="4"/>
    </row>
    <row r="4" ht="13.55" customHeight="1">
      <c r="A4" t="s" s="24">
        <v>172</v>
      </c>
      <c r="B4" s="4"/>
      <c r="C4" s="4"/>
      <c r="D4" s="4"/>
      <c r="E4" s="4"/>
      <c r="F4" s="4"/>
    </row>
    <row r="5" ht="13.55" customHeight="1">
      <c r="A5" t="s" s="24">
        <v>173</v>
      </c>
      <c r="B5" t="s" s="24">
        <v>174</v>
      </c>
      <c r="C5" t="s" s="24">
        <v>175</v>
      </c>
      <c r="D5" t="s" s="24">
        <v>176</v>
      </c>
      <c r="E5" t="s" s="24">
        <v>177</v>
      </c>
      <c r="F5" s="4"/>
    </row>
    <row r="6" ht="13.55" customHeight="1">
      <c r="A6" s="124">
        <v>1</v>
      </c>
      <c r="B6" s="36">
        <f>$B$1/(A6+0.02)/1000</f>
        <v>0.318627450980392</v>
      </c>
      <c r="C6" s="36">
        <f>B6/SQRT(2)</f>
        <v>0.225303631260419</v>
      </c>
      <c r="D6" s="36">
        <f>A6*C6*C6</f>
        <v>0.0507617262591309</v>
      </c>
      <c r="E6" s="4"/>
      <c r="F6" s="4"/>
    </row>
    <row r="7" ht="13.55" customHeight="1">
      <c r="A7" s="124">
        <v>0.82</v>
      </c>
      <c r="B7" s="36">
        <f>$B$1/(A7+0.02)/1000</f>
        <v>0.386904761904762</v>
      </c>
      <c r="C7" s="36">
        <f>B7/SQRT(2)</f>
        <v>0.273582980816224</v>
      </c>
      <c r="D7" s="36">
        <f>A7*C7*C7</f>
        <v>0.0613750708616781</v>
      </c>
      <c r="E7" s="4"/>
      <c r="F7" s="4"/>
    </row>
    <row r="8" ht="13.55" customHeight="1">
      <c r="A8" s="124">
        <v>0.75</v>
      </c>
      <c r="B8" s="36">
        <f>$B$1/(A8+0.02)/1000</f>
        <v>0.422077922077922</v>
      </c>
      <c r="C8" s="36">
        <f>B8/SQRT(2)</f>
        <v>0.298454160890426</v>
      </c>
      <c r="D8" s="36">
        <f>A8*C8*C8</f>
        <v>0.0668061646146062</v>
      </c>
      <c r="E8" s="4"/>
      <c r="F8" s="4"/>
    </row>
    <row r="9" ht="13.55" customHeight="1">
      <c r="A9" s="124">
        <v>0.68</v>
      </c>
      <c r="B9" s="36">
        <f>$B$1/(A9+0.02)/1000</f>
        <v>0.464285714285714</v>
      </c>
      <c r="C9" s="36">
        <f>B9/SQRT(2)</f>
        <v>0.328299576979468</v>
      </c>
      <c r="D9" s="36">
        <f>A9*C9*C9</f>
        <v>0.07329081632653039</v>
      </c>
      <c r="E9" s="4"/>
      <c r="F9" t="s" s="24">
        <v>178</v>
      </c>
    </row>
    <row r="10" ht="13.55" customHeight="1">
      <c r="A10" s="124">
        <v>0.5</v>
      </c>
      <c r="B10" s="36">
        <f>$B$1/(A10+0.02)/1000</f>
        <v>0.625</v>
      </c>
      <c r="C10" s="36">
        <f>B10/SQRT(2)</f>
        <v>0.441941738241592</v>
      </c>
      <c r="D10" s="36">
        <f>A10*C10*C10</f>
        <v>0.0976562499999999</v>
      </c>
      <c r="E10" s="4"/>
      <c r="F10" s="4"/>
    </row>
    <row r="11" ht="13.55" customHeight="1">
      <c r="A11" s="124">
        <v>0.47</v>
      </c>
      <c r="B11" s="36">
        <f>$B$1/(A11+0.02)/1000</f>
        <v>0.663265306122449</v>
      </c>
      <c r="C11" s="36">
        <f>B11/SQRT(2)</f>
        <v>0.468999395684955</v>
      </c>
      <c r="D11" s="36">
        <f>A11*C11*C11</f>
        <v>0.103381403581841</v>
      </c>
      <c r="E11" s="4"/>
      <c r="F11" s="4"/>
    </row>
    <row r="12" ht="13.55" customHeight="1">
      <c r="A12" s="124">
        <v>0.33</v>
      </c>
      <c r="B12" s="36">
        <f>$B$1/(A12+0.02)/1000</f>
        <v>0.928571428571429</v>
      </c>
      <c r="C12" s="36">
        <f>B12/SQRT(2)</f>
        <v>0.656599153958937</v>
      </c>
      <c r="D12" s="36">
        <f>A12*C12*C12</f>
        <v>0.142270408163265</v>
      </c>
      <c r="E12" s="4"/>
      <c r="F12" s="4"/>
    </row>
    <row r="13" ht="13.55" customHeight="1">
      <c r="A13" s="124">
        <v>0.27</v>
      </c>
      <c r="B13" s="36">
        <f>$B$1/(A13+0.02)/1000</f>
        <v>1.12068965517241</v>
      </c>
      <c r="C13" s="36">
        <f>B13/SQRT(2)</f>
        <v>0.792447254778025</v>
      </c>
      <c r="D13" s="36">
        <f>A13*C13*C13</f>
        <v>0.169552615933412</v>
      </c>
      <c r="E13" s="4"/>
      <c r="F13" s="4"/>
    </row>
    <row r="14" ht="13.55" customHeight="1">
      <c r="A14" s="124">
        <v>0.22</v>
      </c>
      <c r="B14" s="36">
        <f>$B$1/(A14+0.02)/1000</f>
        <v>1.35416666666667</v>
      </c>
      <c r="C14" s="36">
        <f>B14/SQRT(2)</f>
        <v>0.957540432856785</v>
      </c>
      <c r="D14" s="36">
        <f>A14*C14*C14</f>
        <v>0.201714409722223</v>
      </c>
      <c r="E14" s="4"/>
      <c r="F14" t="s" s="24">
        <v>179</v>
      </c>
    </row>
    <row r="15" ht="13.55" customHeight="1">
      <c r="A15" s="124">
        <v>0.15</v>
      </c>
      <c r="B15" s="36">
        <f>$B$1/(A15+0.02)/1000</f>
        <v>1.91176470588235</v>
      </c>
      <c r="C15" s="36">
        <f>B15/SQRT(2)</f>
        <v>1.35182178756252</v>
      </c>
      <c r="D15" s="36">
        <f>A15*C15*C15</f>
        <v>0.274113321799309</v>
      </c>
      <c r="E15" s="4"/>
      <c r="F15" s="4"/>
    </row>
    <row r="16" ht="13.55" customHeight="1">
      <c r="A16" s="124">
        <v>0.12</v>
      </c>
      <c r="B16" s="36">
        <f>$B$1/(A16+0.02)/1000</f>
        <v>2.32142857142857</v>
      </c>
      <c r="C16" s="36">
        <f>B16/SQRT(2)</f>
        <v>1.64149788489734</v>
      </c>
      <c r="D16" s="36">
        <f>A16*C16*C16</f>
        <v>0.323341836734693</v>
      </c>
      <c r="E16" s="4"/>
      <c r="F16" s="4"/>
    </row>
    <row r="17" ht="13.55" customHeight="1">
      <c r="A17" s="124">
        <v>0.1</v>
      </c>
      <c r="B17" s="36">
        <f>$B$1/(A17+0.02)/1000</f>
        <v>2.70833333333333</v>
      </c>
      <c r="C17" s="36">
        <f>B17/SQRT(2)</f>
        <v>1.91508086571356</v>
      </c>
      <c r="D17" s="36">
        <f>A17*C17*C17</f>
        <v>0.36675347222222</v>
      </c>
      <c r="E17" s="4"/>
      <c r="F17" s="4"/>
    </row>
    <row r="18" ht="13.55" customHeight="1">
      <c r="A18" s="124">
        <v>0.075</v>
      </c>
      <c r="B18" s="141">
        <f>$B$1/(A18+0.02)/1000</f>
        <v>3.42105263157895</v>
      </c>
      <c r="C18" s="141">
        <f>B18/SQRT(2)</f>
        <v>2.41904951458556</v>
      </c>
      <c r="D18" s="36">
        <f>A18*C18*C18</f>
        <v>0.438885041551248</v>
      </c>
      <c r="E18" s="4"/>
      <c r="F18" t="s" s="24">
        <v>180</v>
      </c>
    </row>
    <row r="19" ht="13.55" customHeight="1">
      <c r="A19" s="4"/>
      <c r="B19" s="4"/>
      <c r="C19" s="4"/>
      <c r="D19" s="36"/>
      <c r="E19" s="4"/>
      <c r="F19" s="4"/>
    </row>
    <row r="20" ht="13.55" customHeight="1">
      <c r="A20" s="4"/>
      <c r="B20" s="4"/>
      <c r="C20" s="4"/>
      <c r="D20" s="36"/>
      <c r="E20" s="4"/>
      <c r="F20" s="4"/>
    </row>
    <row r="21" ht="13.55" customHeight="1">
      <c r="A21" t="s" s="24">
        <v>181</v>
      </c>
      <c r="B21" s="4"/>
      <c r="C21" s="4"/>
      <c r="D21" s="36"/>
      <c r="E21" s="4"/>
      <c r="F21" s="4"/>
    </row>
    <row r="22" ht="13.55" customHeight="1">
      <c r="A22" t="s" s="19">
        <v>173</v>
      </c>
      <c r="B22" t="s" s="19">
        <v>174</v>
      </c>
      <c r="C22" t="s" s="19">
        <v>175</v>
      </c>
      <c r="D22" s="37"/>
      <c r="E22" t="s" s="24">
        <v>177</v>
      </c>
      <c r="F22" s="4"/>
    </row>
    <row r="23" ht="13.55" customHeight="1">
      <c r="A23" s="124">
        <v>1</v>
      </c>
      <c r="B23" s="36">
        <f>$B$2/(A23+0.02)/1000</f>
        <v>0.176470588235294</v>
      </c>
      <c r="C23" s="36">
        <f>B23/SQRT(2)</f>
        <v>0.124783549621155</v>
      </c>
      <c r="D23" s="36">
        <f>A23*C23*C23</f>
        <v>0.0155709342560553</v>
      </c>
      <c r="E23" s="4"/>
      <c r="F23" s="4"/>
    </row>
    <row r="24" ht="13.55" customHeight="1">
      <c r="A24" s="124">
        <v>0.82</v>
      </c>
      <c r="B24" s="36">
        <f>$B$2/(A24+0.02)/1000</f>
        <v>0.214285714285714</v>
      </c>
      <c r="C24" s="36">
        <f>B24/SQRT(2)</f>
        <v>0.151522881682831</v>
      </c>
      <c r="D24" s="36">
        <f>A24*C24*C24</f>
        <v>0.0188265306122447</v>
      </c>
      <c r="E24" s="4"/>
      <c r="F24" s="4"/>
    </row>
    <row r="25" ht="13.55" customHeight="1">
      <c r="A25" s="124">
        <v>0.75</v>
      </c>
      <c r="B25" s="36">
        <f>$B$2/(A25+0.02)/1000</f>
        <v>0.233766233766234</v>
      </c>
      <c r="C25" s="36">
        <f>B25/SQRT(2)</f>
        <v>0.165297689108544</v>
      </c>
      <c r="D25" s="36">
        <f>A25*C25*C25</f>
        <v>0.0204924945184686</v>
      </c>
      <c r="E25" s="4"/>
      <c r="F25" s="4"/>
    </row>
    <row r="26" ht="13.55" customHeight="1">
      <c r="A26" s="124">
        <v>0.68</v>
      </c>
      <c r="B26" s="36">
        <f>$B$2/(A26+0.02)/1000</f>
        <v>0.257142857142857</v>
      </c>
      <c r="C26" s="36">
        <f>B26/SQRT(2)</f>
        <v>0.181827458019398</v>
      </c>
      <c r="D26" s="36">
        <f>A26*C26*C26</f>
        <v>0.0224816326530612</v>
      </c>
      <c r="E26" s="4"/>
      <c r="F26" s="4"/>
    </row>
    <row r="27" ht="13.55" customHeight="1">
      <c r="A27" s="124">
        <v>0.5</v>
      </c>
      <c r="B27" s="36">
        <f>$B$2/(A27+0.02)/1000</f>
        <v>0.346153846153846</v>
      </c>
      <c r="C27" s="36">
        <f>B27/SQRT(2)</f>
        <v>0.244767731949189</v>
      </c>
      <c r="D27" s="36">
        <f>A27*C27*C27</f>
        <v>0.029955621301775</v>
      </c>
      <c r="E27" s="4"/>
      <c r="F27" s="4"/>
    </row>
    <row r="28" ht="13.55" customHeight="1">
      <c r="A28" s="124">
        <v>0.47</v>
      </c>
      <c r="B28" s="36">
        <f>$B$2/(A28+0.02)/1000</f>
        <v>0.36734693877551</v>
      </c>
      <c r="C28" s="36">
        <f>B28/SQRT(2)</f>
        <v>0.259753511456283</v>
      </c>
      <c r="D28" s="36">
        <f>A28*C28*C28</f>
        <v>0.0317117867555186</v>
      </c>
      <c r="E28" s="4"/>
      <c r="F28" s="4"/>
    </row>
    <row r="29" ht="13.55" customHeight="1">
      <c r="A29" s="124">
        <v>0.33</v>
      </c>
      <c r="B29" s="36">
        <f>$B$2/(A29+0.02)/1000</f>
        <v>0.514285714285714</v>
      </c>
      <c r="C29" s="36">
        <f>B29/SQRT(2)</f>
        <v>0.363654916038796</v>
      </c>
      <c r="D29" s="36">
        <f>A29*C29*C29</f>
        <v>0.0436408163265306</v>
      </c>
      <c r="E29" s="4"/>
      <c r="F29" s="4"/>
    </row>
    <row r="30" ht="13.55" customHeight="1">
      <c r="A30" s="124">
        <v>0.27</v>
      </c>
      <c r="B30" s="36">
        <f>$B$2/(A30+0.02)/1000</f>
        <v>0.620689655172414</v>
      </c>
      <c r="C30" s="36">
        <f>B30/SQRT(2)</f>
        <v>0.438893864184754</v>
      </c>
      <c r="D30" s="36">
        <f>A30*C30*C30</f>
        <v>0.0520095124851368</v>
      </c>
      <c r="E30" s="4"/>
      <c r="F30" s="4"/>
    </row>
    <row r="31" ht="13.55" customHeight="1">
      <c r="A31" s="124">
        <v>0.22</v>
      </c>
      <c r="B31" s="36">
        <f>$B$2/(A31+0.02)/1000</f>
        <v>0.75</v>
      </c>
      <c r="C31" s="36">
        <f>B31/SQRT(2)</f>
        <v>0.530330085889911</v>
      </c>
      <c r="D31" s="36">
        <f>A31*C31*C31</f>
        <v>0.0618750000000001</v>
      </c>
      <c r="E31" s="4"/>
      <c r="F31" s="4"/>
    </row>
    <row r="32" ht="13.55" customHeight="1">
      <c r="A32" s="124">
        <v>0.15</v>
      </c>
      <c r="B32" s="36">
        <f>$B$2/(A32+0.02)/1000</f>
        <v>1.05882352941176</v>
      </c>
      <c r="C32" s="36">
        <f>B32/SQRT(2)</f>
        <v>0.7487012977269289</v>
      </c>
      <c r="D32" s="36">
        <f>A32*C32*C32</f>
        <v>0.0840830449826981</v>
      </c>
      <c r="E32" s="4"/>
      <c r="F32" t="s" s="24">
        <v>178</v>
      </c>
    </row>
    <row r="33" ht="13.55" customHeight="1">
      <c r="A33" s="124">
        <v>0.12</v>
      </c>
      <c r="B33" s="36">
        <f>$B$2/(A33+0.02)/1000</f>
        <v>1.28571428571429</v>
      </c>
      <c r="C33" s="36">
        <f>B33/SQRT(2)</f>
        <v>0.909137290096993</v>
      </c>
      <c r="D33" s="36">
        <f>A33*C33*C33</f>
        <v>0.0991836734693885</v>
      </c>
      <c r="E33" s="4"/>
      <c r="F33" s="4"/>
    </row>
    <row r="34" ht="13.55" customHeight="1">
      <c r="A34" s="124">
        <v>0.1</v>
      </c>
      <c r="B34" s="36">
        <f>$B$2/(A34+0.02)/1000</f>
        <v>1.5</v>
      </c>
      <c r="C34" s="36">
        <f>B34/SQRT(2)</f>
        <v>1.06066017177982</v>
      </c>
      <c r="D34" s="36">
        <f>A34*C34*C34</f>
        <v>0.1125</v>
      </c>
      <c r="E34" s="4"/>
      <c r="F34" s="4"/>
    </row>
    <row r="35" ht="13.55" customHeight="1">
      <c r="A35" s="124">
        <v>0.082</v>
      </c>
      <c r="B35" s="36">
        <f>$B$2/(A35+0.02)/1000</f>
        <v>1.76470588235294</v>
      </c>
      <c r="C35" s="36">
        <f>B35/SQRT(2)</f>
        <v>1.24783549621155</v>
      </c>
      <c r="D35" s="36">
        <f>A35*C35*C35</f>
        <v>0.127681660899653</v>
      </c>
      <c r="E35" s="4"/>
      <c r="F35" s="4"/>
    </row>
    <row r="36" ht="13.55" customHeight="1">
      <c r="A36" s="124">
        <v>0.075</v>
      </c>
      <c r="B36" s="36">
        <f>$B$2/(A36+0.02)/1000</f>
        <v>1.89473684210526</v>
      </c>
      <c r="C36" s="36">
        <f>B36/SQRT(2)</f>
        <v>1.33978126961661</v>
      </c>
      <c r="D36" s="36">
        <f>A36*C36*C36</f>
        <v>0.134626038781162</v>
      </c>
      <c r="E36" s="4"/>
      <c r="F36" s="4"/>
    </row>
    <row r="37" ht="13.55" customHeight="1">
      <c r="A37" s="124">
        <v>0.068</v>
      </c>
      <c r="B37" s="36">
        <f>$B$2/(A37+0.02)/1000</f>
        <v>2.04545454545455</v>
      </c>
      <c r="C37" s="36">
        <f>B37/SQRT(2)</f>
        <v>1.44635477969976</v>
      </c>
      <c r="D37" s="36">
        <f>A37*C37*C37</f>
        <v>0.142252066115703</v>
      </c>
      <c r="E37" s="4"/>
      <c r="F37" t="s" s="24">
        <v>179</v>
      </c>
    </row>
    <row r="38" ht="13.55" customHeight="1">
      <c r="A38" s="124">
        <v>0.047</v>
      </c>
      <c r="B38" s="141">
        <f>$B$2/(A38+0.02)/1000</f>
        <v>2.6865671641791</v>
      </c>
      <c r="C38" s="141">
        <f>B38/SQRT(2)</f>
        <v>1.89968985990415</v>
      </c>
      <c r="D38" s="36">
        <f>A38*C38*C38</f>
        <v>0.169614613499665</v>
      </c>
      <c r="E38" s="4"/>
      <c r="F38" t="s" s="142">
        <v>182</v>
      </c>
    </row>
    <row r="39" ht="13.55" customHeight="1">
      <c r="A39" s="124">
        <v>0.033</v>
      </c>
      <c r="B39" s="141">
        <f>$B$2/(A39+0.02)/1000</f>
        <v>3.39622641509434</v>
      </c>
      <c r="C39" s="141">
        <f>B39/SQRT(2)</f>
        <v>2.40149472855809</v>
      </c>
      <c r="D39" s="36">
        <f>A39*C39*C39</f>
        <v>0.190316838732646</v>
      </c>
      <c r="E39" s="4"/>
      <c r="F39" t="s" s="142">
        <v>182</v>
      </c>
    </row>
    <row r="40" ht="13.55" customHeight="1">
      <c r="A40" s="4"/>
      <c r="B40" s="4"/>
      <c r="C40" s="4"/>
      <c r="D40" s="36"/>
      <c r="E40" s="4"/>
      <c r="F40" s="4"/>
    </row>
    <row r="41" ht="13.55" customHeight="1">
      <c r="A41" s="4"/>
      <c r="B41" s="4"/>
      <c r="C41" s="4"/>
      <c r="D41" s="36"/>
      <c r="E41" s="4"/>
      <c r="F41" s="4"/>
    </row>
    <row r="42" ht="13.55" customHeight="1">
      <c r="A42" s="4"/>
      <c r="B42" s="4"/>
      <c r="C42" t="s" s="77">
        <v>183</v>
      </c>
      <c r="D42" s="4"/>
      <c r="E42" s="4"/>
      <c r="F42" s="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7"/>
  <sheetViews>
    <sheetView workbookViewId="0" showGridLines="0" defaultGridColor="1"/>
  </sheetViews>
  <sheetFormatPr defaultColWidth="10.8333" defaultRowHeight="14.4" customHeight="1" outlineLevelRow="0" outlineLevelCol="0"/>
  <cols>
    <col min="1" max="1" width="10.8516" style="143" customWidth="1"/>
    <col min="2" max="2" width="8.5" style="143" customWidth="1"/>
    <col min="3" max="5" width="18.5" style="143" customWidth="1"/>
    <col min="6" max="6" width="20.1719" style="143" customWidth="1"/>
    <col min="7" max="16384" width="10.8516" style="143" customWidth="1"/>
  </cols>
  <sheetData>
    <row r="1" ht="18" customHeight="1">
      <c r="A1" t="s" s="2">
        <v>184</v>
      </c>
      <c r="B1" s="4"/>
      <c r="C1" s="4"/>
      <c r="D1" s="4"/>
      <c r="E1" s="4"/>
      <c r="F1" s="4"/>
    </row>
    <row r="2" ht="13.55" customHeight="1">
      <c r="A2" s="4"/>
      <c r="B2" s="4"/>
      <c r="C2" s="4"/>
      <c r="D2" s="4"/>
      <c r="E2" s="4"/>
      <c r="F2" s="4"/>
    </row>
    <row r="3" ht="13.55" customHeight="1">
      <c r="A3" t="s" s="144">
        <v>185</v>
      </c>
      <c r="B3" t="s" s="145">
        <v>186</v>
      </c>
      <c r="C3" t="s" s="146">
        <v>187</v>
      </c>
      <c r="D3" t="s" s="27">
        <v>188</v>
      </c>
      <c r="E3" t="s" s="27">
        <v>189</v>
      </c>
      <c r="F3" t="s" s="27">
        <v>190</v>
      </c>
    </row>
    <row r="4" ht="13.55" customHeight="1">
      <c r="A4" s="147">
        <v>6.2</v>
      </c>
      <c r="B4" s="148">
        <f>5/(0.45+A4)/1000</f>
        <v>0.00075187969924812</v>
      </c>
      <c r="C4" s="149">
        <f>B4*3000</f>
        <v>2.25563909774436</v>
      </c>
      <c r="D4" s="149">
        <f>C4/SQRT(2)</f>
        <v>1.59497770192454</v>
      </c>
      <c r="E4" s="150">
        <f>0.55*C4</f>
        <v>1.2406015037594</v>
      </c>
      <c r="F4" s="151">
        <f>E4/SQRT(2)</f>
        <v>0.8772377360585</v>
      </c>
    </row>
    <row r="5" ht="13.55" customHeight="1">
      <c r="A5" s="152">
        <v>6.8</v>
      </c>
      <c r="B5" s="153">
        <f>5/(0.45+A5)/1000</f>
        <v>0.0006896551724137931</v>
      </c>
      <c r="C5" s="154">
        <f>B5*3000</f>
        <v>2.06896551724138</v>
      </c>
      <c r="D5" s="154">
        <f>C5/SQRT(2)</f>
        <v>1.46297954728251</v>
      </c>
      <c r="E5" s="154">
        <f>0.55*C5</f>
        <v>1.13793103448276</v>
      </c>
      <c r="F5" s="114">
        <f>E5/SQRT(2)</f>
        <v>0.804638751005383</v>
      </c>
    </row>
    <row r="6" ht="13.55" customHeight="1">
      <c r="A6" s="152">
        <v>7.5</v>
      </c>
      <c r="B6" s="153">
        <f>5/(0.45+A6)/1000</f>
        <v>0.000628930817610063</v>
      </c>
      <c r="C6" s="154">
        <f>B6*3000</f>
        <v>1.88679245283019</v>
      </c>
      <c r="D6" s="154">
        <f>C6/SQRT(2)</f>
        <v>1.33416373808783</v>
      </c>
      <c r="E6" s="154">
        <f>0.55*C6</f>
        <v>1.0377358490566</v>
      </c>
      <c r="F6" s="114">
        <f>E6/SQRT(2)</f>
        <v>0.733790055948301</v>
      </c>
    </row>
    <row r="7" ht="13.55" customHeight="1">
      <c r="A7" s="152">
        <v>8.199999999999999</v>
      </c>
      <c r="B7" s="153">
        <f>5/(0.45+A7)/1000</f>
        <v>0.000578034682080925</v>
      </c>
      <c r="C7" s="154">
        <f>B7*3000</f>
        <v>1.73410404624278</v>
      </c>
      <c r="D7" s="154">
        <f>C7/SQRT(2)</f>
        <v>1.2261967303813</v>
      </c>
      <c r="E7" s="154">
        <f>0.55*C7</f>
        <v>0.953757225433529</v>
      </c>
      <c r="F7" s="114">
        <f>E7/SQRT(2)</f>
        <v>0.674408201709715</v>
      </c>
    </row>
    <row r="8" ht="13.55" customHeight="1">
      <c r="A8" s="152">
        <v>9.1</v>
      </c>
      <c r="B8" s="153">
        <f>5/(0.45+A8)/1000</f>
        <v>0.000523560209424084</v>
      </c>
      <c r="C8" s="154">
        <f>B8*3000</f>
        <v>1.57068062827225</v>
      </c>
      <c r="D8" s="154">
        <f>C8/SQRT(2)</f>
        <v>1.11063892332965</v>
      </c>
      <c r="E8" s="154">
        <f>0.55*C8</f>
        <v>0.863874345549738</v>
      </c>
      <c r="F8" s="114">
        <f>E8/SQRT(2)</f>
        <v>0.61085140783131</v>
      </c>
    </row>
    <row r="9" ht="13.55" customHeight="1">
      <c r="A9" s="152">
        <v>10</v>
      </c>
      <c r="B9" s="153">
        <f>5/(0.45+A9)/1000</f>
        <v>0.000478468899521531</v>
      </c>
      <c r="C9" s="154">
        <f>B9*3000</f>
        <v>1.43540669856459</v>
      </c>
      <c r="D9" s="154">
        <f>C9/SQRT(2)</f>
        <v>1.01498581031562</v>
      </c>
      <c r="E9" s="154">
        <f>0.55*C9</f>
        <v>0.789473684210525</v>
      </c>
      <c r="F9" s="114">
        <f>E9/SQRT(2)</f>
        <v>0.558242195673589</v>
      </c>
    </row>
    <row r="10" ht="13.55" customHeight="1">
      <c r="A10" s="152">
        <v>12</v>
      </c>
      <c r="B10" s="153">
        <f>5/(0.45+A10)/1000</f>
        <v>0.000401606425702811</v>
      </c>
      <c r="C10" s="154">
        <f>B10*3000</f>
        <v>1.20481927710843</v>
      </c>
      <c r="D10" s="154">
        <f>C10/SQRT(2)</f>
        <v>0.8519358809476451</v>
      </c>
      <c r="E10" s="154">
        <f>0.55*C10</f>
        <v>0.662650602409637</v>
      </c>
      <c r="F10" s="114">
        <f>E10/SQRT(2)</f>
        <v>0.468564734521205</v>
      </c>
    </row>
    <row r="11" ht="13.55" customHeight="1">
      <c r="A11" s="152">
        <v>15</v>
      </c>
      <c r="B11" s="153">
        <f>5/(0.45+A11)/1000</f>
        <v>0.000323624595469256</v>
      </c>
      <c r="C11" s="154">
        <f>B11*3000</f>
        <v>0.970873786407768</v>
      </c>
      <c r="D11" s="154">
        <f>C11/SQRT(2)</f>
        <v>0.686511438045192</v>
      </c>
      <c r="E11" s="154">
        <f>0.55*C11</f>
        <v>0.5339805825242721</v>
      </c>
      <c r="F11" s="114">
        <f>E11/SQRT(2)</f>
        <v>0.377581290924856</v>
      </c>
    </row>
    <row r="12" ht="13.55" customHeight="1">
      <c r="A12" s="152">
        <v>18</v>
      </c>
      <c r="B12" s="153">
        <f>5/(0.45+A12)/1000</f>
        <v>0.0002710027100271</v>
      </c>
      <c r="C12" s="154">
        <f>B12*3000</f>
        <v>0.8130081300813</v>
      </c>
      <c r="D12" s="154">
        <f>C12/SQRT(2)</f>
        <v>0.574883561940282</v>
      </c>
      <c r="E12" s="154">
        <f>0.55*C12</f>
        <v>0.447154471544715</v>
      </c>
      <c r="F12" s="114">
        <f>E12/SQRT(2)</f>
        <v>0.316185959067155</v>
      </c>
    </row>
    <row r="13" ht="13.55" customHeight="1">
      <c r="A13" s="152">
        <v>22</v>
      </c>
      <c r="B13" s="153">
        <f>5/(0.45+A13)/1000</f>
        <v>0.00022271714922049</v>
      </c>
      <c r="C13" s="154">
        <f>B13*3000</f>
        <v>0.6681514476614701</v>
      </c>
      <c r="D13" s="154">
        <f>C13/SQRT(2)</f>
        <v>0.472454419501034</v>
      </c>
      <c r="E13" s="154">
        <f>0.55*C13</f>
        <v>0.367483296213809</v>
      </c>
      <c r="F13" s="114">
        <f>E13/SQRT(2)</f>
        <v>0.259849930725569</v>
      </c>
    </row>
    <row r="14" ht="13.55" customHeight="1">
      <c r="A14" s="152">
        <v>24</v>
      </c>
      <c r="B14" s="153">
        <f>5/(0.45+A14)/1000</f>
        <v>0.000204498977505112</v>
      </c>
      <c r="C14" s="154">
        <f>B14*3000</f>
        <v>0.613496932515336</v>
      </c>
      <c r="D14" s="154">
        <f>C14/SQRT(2)</f>
        <v>0.43380784121874</v>
      </c>
      <c r="E14" s="154">
        <f>0.55*C14</f>
        <v>0.337423312883435</v>
      </c>
      <c r="F14" s="114">
        <f>E14/SQRT(2)</f>
        <v>0.238594312670307</v>
      </c>
    </row>
    <row r="15" ht="13.55" customHeight="1">
      <c r="A15" s="152">
        <v>27</v>
      </c>
      <c r="B15" s="153">
        <f>5/(0.45+A15)/1000</f>
        <v>0.000182149362477231</v>
      </c>
      <c r="C15" s="154">
        <f>B15*3000</f>
        <v>0.546448087431693</v>
      </c>
      <c r="D15" s="154">
        <f>C15/SQRT(2)</f>
        <v>0.38639714818937</v>
      </c>
      <c r="E15" s="154">
        <f>0.55*C15</f>
        <v>0.300546448087431</v>
      </c>
      <c r="F15" s="114">
        <f>E15/SQRT(2)</f>
        <v>0.212518431504153</v>
      </c>
    </row>
    <row r="16" ht="13.55" customHeight="1">
      <c r="A16" s="152">
        <v>33</v>
      </c>
      <c r="B16" s="153">
        <f>5/(0.45+A16)/1000</f>
        <v>0.000149476831091181</v>
      </c>
      <c r="C16" s="154">
        <f>B16*3000</f>
        <v>0.448430493273543</v>
      </c>
      <c r="D16" s="154">
        <f>C16/SQRT(2)</f>
        <v>0.317088242684551</v>
      </c>
      <c r="E16" s="154">
        <f>0.55*C16</f>
        <v>0.246636771300449</v>
      </c>
      <c r="F16" s="114">
        <f>E16/SQRT(2)</f>
        <v>0.174398533476503</v>
      </c>
    </row>
    <row r="17" ht="13.55" customHeight="1">
      <c r="A17" s="152">
        <v>39</v>
      </c>
      <c r="B17" s="153">
        <f>5/(0.45+A17)/1000</f>
        <v>0.000126742712294043</v>
      </c>
      <c r="C17" s="154">
        <f>B17*3000</f>
        <v>0.380228136882129</v>
      </c>
      <c r="D17" s="154">
        <f>C17/SQRT(2)</f>
        <v>0.26886189398728</v>
      </c>
      <c r="E17" s="154">
        <f>0.55*C17</f>
        <v>0.209125475285171</v>
      </c>
      <c r="F17" s="114">
        <f>E17/SQRT(2)</f>
        <v>0.147874041693004</v>
      </c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O33"/>
  <sheetViews>
    <sheetView workbookViewId="0" showGridLines="0" defaultGridColor="1"/>
  </sheetViews>
  <sheetFormatPr defaultColWidth="10.8333" defaultRowHeight="14.4" customHeight="1" outlineLevelRow="0" outlineLevelCol="0"/>
  <cols>
    <col min="1" max="1" width="37.1719" style="155" customWidth="1"/>
    <col min="2" max="3" width="10.8516" style="155" customWidth="1"/>
    <col min="4" max="4" width="15.5" style="155" customWidth="1"/>
    <col min="5" max="15" width="10.8516" style="155" customWidth="1"/>
    <col min="16" max="16384" width="10.8516" style="155" customWidth="1"/>
  </cols>
  <sheetData>
    <row r="1" ht="21" customHeight="1">
      <c r="A1" t="s" s="156">
        <v>191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15.6" customHeight="1">
      <c r="A2" t="s" s="157">
        <v>192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5.6" customHeight="1">
      <c r="A3" s="15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>
      <c r="A4" t="s" s="159">
        <v>193</v>
      </c>
      <c r="B4" t="s" s="27">
        <v>194</v>
      </c>
      <c r="C4" t="s" s="27">
        <v>195</v>
      </c>
      <c r="D4" t="s" s="27">
        <v>196</v>
      </c>
      <c r="E4" t="s" s="27">
        <v>197</v>
      </c>
      <c r="F4" t="s" s="27">
        <v>198</v>
      </c>
      <c r="G4" t="s" s="27">
        <v>199</v>
      </c>
      <c r="H4" t="s" s="27">
        <v>200</v>
      </c>
      <c r="I4" t="s" s="27">
        <v>201</v>
      </c>
      <c r="J4" s="4"/>
      <c r="K4" s="4"/>
      <c r="L4" s="4"/>
      <c r="M4" s="4"/>
      <c r="N4" s="4"/>
      <c r="O4" s="4"/>
    </row>
    <row r="5" ht="13.55" customHeight="1">
      <c r="A5" t="s" s="28">
        <v>202</v>
      </c>
      <c r="B5" t="s" s="160">
        <v>203</v>
      </c>
      <c r="C5" t="s" s="160">
        <v>204</v>
      </c>
      <c r="D5" t="s" s="160">
        <v>205</v>
      </c>
      <c r="E5" t="s" s="160">
        <v>206</v>
      </c>
      <c r="F5" t="s" s="160">
        <v>207</v>
      </c>
      <c r="G5" t="s" s="160">
        <v>208</v>
      </c>
      <c r="H5" t="s" s="160">
        <v>209</v>
      </c>
      <c r="I5" s="161">
        <f>DEC2HEX(O17,2)</f>
        <v>52</v>
      </c>
      <c r="J5" s="29"/>
      <c r="K5" s="4"/>
      <c r="L5" s="4"/>
      <c r="M5" s="4"/>
      <c r="N5" s="4"/>
      <c r="O5" s="4"/>
    </row>
    <row r="6" ht="13.55" customHeight="1">
      <c r="A6" t="s" s="28">
        <v>210</v>
      </c>
      <c r="B6" t="s" s="162">
        <f>B5</f>
        <v>203</v>
      </c>
      <c r="C6" t="s" s="162">
        <f>C5</f>
        <v>204</v>
      </c>
      <c r="D6" s="163">
        <v>144</v>
      </c>
      <c r="E6" s="163">
        <f>HEX2DEC(E5)</f>
        <v>0</v>
      </c>
      <c r="F6" s="163">
        <f>HEX2DEC(F5)</f>
        <v>1</v>
      </c>
      <c r="G6" s="163">
        <f>HEX2DEC(G5)</f>
        <v>20</v>
      </c>
      <c r="H6" s="163">
        <f>HEX2DEC(H5)</f>
        <v>5</v>
      </c>
      <c r="I6" s="164"/>
      <c r="J6" s="4"/>
      <c r="K6" s="4"/>
      <c r="L6" s="4"/>
      <c r="M6" s="4"/>
      <c r="N6" s="4"/>
      <c r="O6" s="4"/>
    </row>
    <row r="7" ht="13.55" customHeight="1">
      <c r="A7" s="4"/>
      <c r="B7" s="31"/>
      <c r="C7" s="31"/>
      <c r="D7" s="31"/>
      <c r="E7" s="31"/>
      <c r="F7" s="31"/>
      <c r="G7" s="31"/>
      <c r="H7" s="31"/>
      <c r="I7" s="4"/>
      <c r="J7" s="4"/>
      <c r="K7" s="4"/>
      <c r="L7" s="4"/>
      <c r="M7" s="4"/>
      <c r="N7" s="4"/>
      <c r="O7" s="4"/>
    </row>
    <row r="8" ht="13.55" customHeight="1">
      <c r="A8" s="4"/>
      <c r="B8" t="s" s="165">
        <v>211</v>
      </c>
      <c r="C8" t="s" s="24">
        <v>212</v>
      </c>
      <c r="D8" s="7"/>
      <c r="E8" s="4"/>
      <c r="F8" s="7"/>
      <c r="G8" s="4"/>
      <c r="H8" s="7"/>
      <c r="I8" s="4"/>
      <c r="J8" s="7"/>
      <c r="K8" s="4"/>
      <c r="L8" s="7"/>
      <c r="M8" s="4"/>
      <c r="N8" s="7"/>
      <c r="O8" s="4"/>
    </row>
    <row r="9" ht="13.55" customHeight="1">
      <c r="A9" s="166"/>
      <c r="B9" t="s" s="167">
        <f>B6</f>
        <v>203</v>
      </c>
      <c r="C9" s="168">
        <v>0</v>
      </c>
      <c r="D9" t="s" s="167">
        <f>C6</f>
        <v>204</v>
      </c>
      <c r="E9" s="168">
        <f>C17</f>
        <v>105</v>
      </c>
      <c r="F9" s="169">
        <f>D6</f>
        <v>144</v>
      </c>
      <c r="G9" s="168">
        <f>E17</f>
        <v>24</v>
      </c>
      <c r="H9" s="170">
        <f>E6</f>
        <v>0</v>
      </c>
      <c r="I9" s="168">
        <f>G17</f>
        <v>119</v>
      </c>
      <c r="J9" s="170">
        <f>F6</f>
        <v>1</v>
      </c>
      <c r="K9" s="168">
        <f>I17</f>
        <v>66</v>
      </c>
      <c r="L9" s="170">
        <f>G6</f>
        <v>20</v>
      </c>
      <c r="M9" s="168">
        <f>K17</f>
        <v>64</v>
      </c>
      <c r="N9" s="170">
        <f>H6</f>
        <v>5</v>
      </c>
      <c r="O9" s="171">
        <f>M17</f>
        <v>31</v>
      </c>
    </row>
    <row r="10" ht="13.55" customHeight="1">
      <c r="A10" t="s" s="24">
        <v>213</v>
      </c>
      <c r="B10" t="s" s="172">
        <f>B9</f>
        <v>203</v>
      </c>
      <c r="C10" s="124">
        <v>7</v>
      </c>
      <c r="D10" t="s" s="172">
        <f>D9</f>
        <v>204</v>
      </c>
      <c r="E10" s="124">
        <v>210</v>
      </c>
      <c r="F10" s="173">
        <f>F9</f>
        <v>144</v>
      </c>
      <c r="G10" s="124">
        <v>48</v>
      </c>
      <c r="H10" s="173">
        <f>H9</f>
        <v>0</v>
      </c>
      <c r="I10" s="124">
        <v>238</v>
      </c>
      <c r="J10" s="173">
        <f>J9</f>
        <v>1</v>
      </c>
      <c r="K10" s="124">
        <v>131</v>
      </c>
      <c r="L10" s="173">
        <f>L9</f>
        <v>20</v>
      </c>
      <c r="M10" s="124">
        <v>128</v>
      </c>
      <c r="N10" s="173">
        <f>N9</f>
        <v>5</v>
      </c>
      <c r="O10" s="124">
        <v>57</v>
      </c>
    </row>
    <row r="11" ht="13.55" customHeight="1">
      <c r="A11" t="s" s="24">
        <v>214</v>
      </c>
      <c r="B11" s="124">
        <v>2</v>
      </c>
      <c r="C11" s="124">
        <v>14</v>
      </c>
      <c r="D11" s="124">
        <v>0</v>
      </c>
      <c r="E11" s="124">
        <v>163</v>
      </c>
      <c r="F11" s="124">
        <v>72</v>
      </c>
      <c r="G11" s="124">
        <v>96</v>
      </c>
      <c r="H11" s="124">
        <v>0</v>
      </c>
      <c r="I11" s="124">
        <v>219</v>
      </c>
      <c r="J11" s="124">
        <v>0</v>
      </c>
      <c r="K11" s="124">
        <v>1</v>
      </c>
      <c r="L11" s="124">
        <v>10</v>
      </c>
      <c r="M11" s="124">
        <v>7</v>
      </c>
      <c r="N11" s="124">
        <v>2</v>
      </c>
      <c r="O11" s="124">
        <v>114</v>
      </c>
    </row>
    <row r="12" ht="13.55" customHeight="1">
      <c r="A12" t="s" s="24">
        <v>215</v>
      </c>
      <c r="B12" s="124">
        <v>1</v>
      </c>
      <c r="C12" s="124">
        <v>27</v>
      </c>
      <c r="D12" s="124">
        <v>0</v>
      </c>
      <c r="E12" s="124">
        <v>65</v>
      </c>
      <c r="F12" s="124">
        <v>36</v>
      </c>
      <c r="G12" s="124">
        <v>192</v>
      </c>
      <c r="H12" s="124">
        <v>0</v>
      </c>
      <c r="I12" s="124">
        <v>177</v>
      </c>
      <c r="J12" s="124">
        <v>0</v>
      </c>
      <c r="K12" s="124">
        <v>2</v>
      </c>
      <c r="L12" s="124">
        <v>5</v>
      </c>
      <c r="M12" s="124">
        <v>9</v>
      </c>
      <c r="N12" s="124">
        <v>1</v>
      </c>
      <c r="O12" s="124">
        <v>227</v>
      </c>
    </row>
    <row r="13" ht="13.55" customHeight="1">
      <c r="A13" t="s" s="24">
        <v>216</v>
      </c>
      <c r="B13" s="124">
        <v>0</v>
      </c>
      <c r="C13" s="124">
        <v>54</v>
      </c>
      <c r="D13" s="124">
        <v>0</v>
      </c>
      <c r="E13" s="124">
        <v>130</v>
      </c>
      <c r="F13" s="124">
        <v>18</v>
      </c>
      <c r="G13" s="124">
        <v>135</v>
      </c>
      <c r="H13" s="124">
        <v>0</v>
      </c>
      <c r="I13" s="124">
        <v>101</v>
      </c>
      <c r="J13" s="124">
        <v>0</v>
      </c>
      <c r="K13" s="124">
        <v>4</v>
      </c>
      <c r="L13" s="124">
        <v>2</v>
      </c>
      <c r="M13" s="124">
        <v>18</v>
      </c>
      <c r="N13" s="124">
        <v>0</v>
      </c>
      <c r="O13" s="124">
        <v>193</v>
      </c>
    </row>
    <row r="14" ht="13.55" customHeight="1">
      <c r="A14" t="s" s="24">
        <v>217</v>
      </c>
      <c r="B14" s="124">
        <v>0</v>
      </c>
      <c r="C14" s="124">
        <v>108</v>
      </c>
      <c r="D14" s="124">
        <v>0</v>
      </c>
      <c r="E14" s="124">
        <v>3</v>
      </c>
      <c r="F14" s="124">
        <v>9</v>
      </c>
      <c r="G14" s="124">
        <v>14</v>
      </c>
      <c r="H14" s="124">
        <v>0</v>
      </c>
      <c r="I14" s="124">
        <v>202</v>
      </c>
      <c r="J14" s="124">
        <v>0</v>
      </c>
      <c r="K14" s="124">
        <v>8</v>
      </c>
      <c r="L14" s="124">
        <v>1</v>
      </c>
      <c r="M14" s="124">
        <v>35</v>
      </c>
      <c r="N14" s="124">
        <v>0</v>
      </c>
      <c r="O14" s="124">
        <v>133</v>
      </c>
    </row>
    <row r="15" ht="13.55" customHeight="1">
      <c r="A15" t="s" s="24">
        <v>218</v>
      </c>
      <c r="B15" s="124">
        <v>0</v>
      </c>
      <c r="C15" s="124">
        <v>216</v>
      </c>
      <c r="D15" s="124">
        <v>0</v>
      </c>
      <c r="E15" s="124">
        <v>6</v>
      </c>
      <c r="F15" s="124">
        <v>4</v>
      </c>
      <c r="G15" s="124">
        <v>28</v>
      </c>
      <c r="H15" s="124">
        <v>0</v>
      </c>
      <c r="I15" s="124">
        <v>147</v>
      </c>
      <c r="J15" s="124">
        <v>0</v>
      </c>
      <c r="K15" s="124">
        <v>16</v>
      </c>
      <c r="L15" s="124">
        <v>0</v>
      </c>
      <c r="M15" s="124">
        <v>70</v>
      </c>
      <c r="N15" s="124">
        <v>0</v>
      </c>
      <c r="O15" s="124">
        <v>13</v>
      </c>
    </row>
    <row r="16" ht="13.55" customHeight="1">
      <c r="A16" t="s" s="24">
        <v>219</v>
      </c>
      <c r="B16" s="124">
        <v>0</v>
      </c>
      <c r="C16" s="124">
        <v>183</v>
      </c>
      <c r="D16" s="124">
        <v>0</v>
      </c>
      <c r="E16" s="124">
        <v>12</v>
      </c>
      <c r="F16" s="124">
        <v>2</v>
      </c>
      <c r="G16" s="124">
        <v>56</v>
      </c>
      <c r="H16" s="124">
        <v>0</v>
      </c>
      <c r="I16" s="124">
        <v>33</v>
      </c>
      <c r="J16" s="124">
        <v>0</v>
      </c>
      <c r="K16" s="124">
        <v>32</v>
      </c>
      <c r="L16" s="124">
        <v>0</v>
      </c>
      <c r="M16" s="124">
        <v>140</v>
      </c>
      <c r="N16" s="124">
        <v>0</v>
      </c>
      <c r="O16" s="124">
        <v>26</v>
      </c>
    </row>
    <row r="17" ht="13.55" customHeight="1">
      <c r="A17" t="s" s="24">
        <v>220</v>
      </c>
      <c r="B17" s="124">
        <v>0</v>
      </c>
      <c r="C17" s="124">
        <v>105</v>
      </c>
      <c r="D17" s="124">
        <v>0</v>
      </c>
      <c r="E17" s="124">
        <v>24</v>
      </c>
      <c r="F17" s="124">
        <v>1</v>
      </c>
      <c r="G17" s="124">
        <v>119</v>
      </c>
      <c r="H17" s="124">
        <v>0</v>
      </c>
      <c r="I17" s="124">
        <v>66</v>
      </c>
      <c r="J17" s="124">
        <v>0</v>
      </c>
      <c r="K17" s="124">
        <v>64</v>
      </c>
      <c r="L17" s="124">
        <v>0</v>
      </c>
      <c r="M17" s="124">
        <v>31</v>
      </c>
      <c r="N17" s="124">
        <v>0</v>
      </c>
      <c r="O17" s="124">
        <v>52</v>
      </c>
    </row>
    <row r="18" ht="13.5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ht="13.5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ht="18" customHeight="1">
      <c r="A20" t="s" s="159">
        <v>221</v>
      </c>
      <c r="B20" t="s" s="27">
        <v>194</v>
      </c>
      <c r="C20" t="s" s="27">
        <v>195</v>
      </c>
      <c r="D20" t="s" s="27">
        <v>222</v>
      </c>
      <c r="E20" t="s" s="27">
        <v>201</v>
      </c>
      <c r="F20" s="4"/>
      <c r="G20" s="4"/>
      <c r="H20" s="4"/>
      <c r="I20" s="4"/>
      <c r="J20" s="4"/>
      <c r="K20" s="4"/>
      <c r="L20" s="4"/>
      <c r="M20" s="4"/>
      <c r="N20" s="4"/>
      <c r="O20" s="4"/>
    </row>
    <row r="21" ht="13.55" customHeight="1">
      <c r="A21" t="s" s="28">
        <v>223</v>
      </c>
      <c r="B21" t="s" s="160">
        <v>209</v>
      </c>
      <c r="C21" t="s" s="160">
        <v>204</v>
      </c>
      <c r="D21" t="s" s="160">
        <v>224</v>
      </c>
      <c r="E21" s="161">
        <f>DEC2HEX(G33,2)</f>
        <v>111</v>
      </c>
      <c r="F21" s="29"/>
      <c r="G21" s="4"/>
      <c r="H21" s="4"/>
      <c r="I21" s="4"/>
      <c r="J21" s="4"/>
      <c r="K21" s="4"/>
      <c r="L21" s="4"/>
      <c r="M21" s="4"/>
      <c r="N21" s="4"/>
      <c r="O21" s="4"/>
    </row>
    <row r="22" ht="13.55" customHeight="1">
      <c r="A22" t="s" s="28">
        <v>225</v>
      </c>
      <c r="B22" t="s" s="162">
        <f>B21</f>
        <v>209</v>
      </c>
      <c r="C22" t="s" s="162">
        <f>C21</f>
        <v>204</v>
      </c>
      <c r="D22" s="163">
        <f>HEX2DEC(D21)</f>
        <v>6</v>
      </c>
      <c r="E22" s="16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ht="13.55" customHeight="1">
      <c r="A23" s="4"/>
      <c r="B23" s="31"/>
      <c r="C23" s="31"/>
      <c r="D23" s="31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ht="13.55" customHeight="1">
      <c r="A24" s="4"/>
      <c r="B24" t="s" s="165">
        <v>211</v>
      </c>
      <c r="C24" t="s" s="24">
        <v>212</v>
      </c>
      <c r="D24" s="7"/>
      <c r="E24" s="4"/>
      <c r="F24" s="7"/>
      <c r="G24" s="4"/>
      <c r="H24" s="4"/>
      <c r="I24" s="4"/>
      <c r="J24" s="4"/>
      <c r="K24" s="4"/>
      <c r="L24" s="4"/>
      <c r="M24" s="4"/>
      <c r="N24" s="4"/>
      <c r="O24" s="4"/>
    </row>
    <row r="25" ht="13.55" customHeight="1">
      <c r="A25" s="166"/>
      <c r="B25" t="s" s="167">
        <f>B22</f>
        <v>209</v>
      </c>
      <c r="C25" s="168">
        <v>0</v>
      </c>
      <c r="D25" t="s" s="167">
        <f>C22</f>
        <v>204</v>
      </c>
      <c r="E25" s="168">
        <f>C33</f>
        <v>105</v>
      </c>
      <c r="F25" s="169">
        <f>D22</f>
        <v>6</v>
      </c>
      <c r="G25" s="171">
        <f>E33</f>
        <v>24</v>
      </c>
      <c r="H25" s="83"/>
      <c r="I25" s="4"/>
      <c r="J25" s="83"/>
      <c r="K25" s="4"/>
      <c r="L25" s="83"/>
      <c r="M25" s="4"/>
      <c r="N25" s="83"/>
      <c r="O25" s="4"/>
    </row>
    <row r="26" ht="13.55" customHeight="1">
      <c r="A26" t="s" s="24">
        <v>213</v>
      </c>
      <c r="B26" t="s" s="172">
        <f>B25</f>
        <v>209</v>
      </c>
      <c r="C26" s="124">
        <v>7</v>
      </c>
      <c r="D26" t="s" s="172">
        <f>D25</f>
        <v>204</v>
      </c>
      <c r="E26" s="124">
        <v>210</v>
      </c>
      <c r="F26" s="173">
        <f>F25</f>
        <v>6</v>
      </c>
      <c r="G26" s="124">
        <v>48</v>
      </c>
      <c r="H26" s="4"/>
      <c r="I26" s="4"/>
      <c r="J26" s="4"/>
      <c r="K26" s="4"/>
      <c r="L26" s="4"/>
      <c r="M26" s="4"/>
      <c r="N26" s="4"/>
      <c r="O26" s="4"/>
    </row>
    <row r="27" ht="13.55" customHeight="1">
      <c r="A27" t="s" s="24">
        <v>214</v>
      </c>
      <c r="B27" s="124">
        <v>2</v>
      </c>
      <c r="C27" s="124">
        <v>14</v>
      </c>
      <c r="D27" s="124">
        <v>0</v>
      </c>
      <c r="E27" s="124">
        <v>163</v>
      </c>
      <c r="F27" s="124">
        <v>3</v>
      </c>
      <c r="G27" s="124">
        <v>103</v>
      </c>
      <c r="H27" s="4"/>
      <c r="I27" s="4"/>
      <c r="J27" s="4"/>
      <c r="K27" s="4"/>
      <c r="L27" s="4"/>
      <c r="M27" s="4"/>
      <c r="N27" s="4"/>
      <c r="O27" s="4"/>
    </row>
    <row r="28" ht="13.55" customHeight="1">
      <c r="A28" t="s" s="24">
        <v>215</v>
      </c>
      <c r="B28" s="124">
        <v>1</v>
      </c>
      <c r="C28" s="124">
        <v>27</v>
      </c>
      <c r="D28" s="124">
        <v>0</v>
      </c>
      <c r="E28" s="124">
        <v>65</v>
      </c>
      <c r="F28" s="124">
        <v>1</v>
      </c>
      <c r="G28" s="124">
        <v>201</v>
      </c>
      <c r="H28" s="4"/>
      <c r="I28" s="4"/>
      <c r="J28" s="4"/>
      <c r="K28" s="4"/>
      <c r="L28" s="4"/>
      <c r="M28" s="4"/>
      <c r="N28" s="4"/>
      <c r="O28" s="4"/>
    </row>
    <row r="29" ht="13.55" customHeight="1">
      <c r="A29" t="s" s="24">
        <v>216</v>
      </c>
      <c r="B29" s="124">
        <v>0</v>
      </c>
      <c r="C29" s="124">
        <v>54</v>
      </c>
      <c r="D29" s="124">
        <v>0</v>
      </c>
      <c r="E29" s="124">
        <v>130</v>
      </c>
      <c r="F29" s="124">
        <v>0</v>
      </c>
      <c r="G29" s="124">
        <v>149</v>
      </c>
      <c r="H29" s="4"/>
      <c r="I29" s="4"/>
      <c r="J29" s="4"/>
      <c r="K29" s="4"/>
      <c r="L29" s="4"/>
      <c r="M29" s="4"/>
      <c r="N29" s="4"/>
      <c r="O29" s="4"/>
    </row>
    <row r="30" ht="13.55" customHeight="1">
      <c r="A30" t="s" s="24">
        <v>217</v>
      </c>
      <c r="B30" s="124">
        <v>0</v>
      </c>
      <c r="C30" s="124">
        <v>108</v>
      </c>
      <c r="D30" s="124">
        <v>0</v>
      </c>
      <c r="E30" s="124">
        <v>3</v>
      </c>
      <c r="F30" s="124">
        <v>0</v>
      </c>
      <c r="G30" s="124">
        <v>45</v>
      </c>
      <c r="H30" s="4"/>
      <c r="I30" s="4"/>
      <c r="J30" s="4"/>
      <c r="K30" s="4"/>
      <c r="L30" s="4"/>
      <c r="M30" s="4"/>
      <c r="N30" s="4"/>
      <c r="O30" s="4"/>
    </row>
    <row r="31" ht="13.55" customHeight="1">
      <c r="A31" t="s" s="24">
        <v>218</v>
      </c>
      <c r="B31" s="124">
        <v>0</v>
      </c>
      <c r="C31" s="124">
        <v>216</v>
      </c>
      <c r="D31" s="124">
        <v>0</v>
      </c>
      <c r="E31" s="124">
        <v>6</v>
      </c>
      <c r="F31" s="124">
        <v>0</v>
      </c>
      <c r="G31" s="124">
        <v>90</v>
      </c>
      <c r="H31" s="4"/>
      <c r="I31" s="4"/>
      <c r="J31" s="4"/>
      <c r="K31" s="4"/>
      <c r="L31" s="4"/>
      <c r="M31" s="4"/>
      <c r="N31" s="4"/>
      <c r="O31" s="4"/>
    </row>
    <row r="32" ht="13.55" customHeight="1">
      <c r="A32" t="s" s="24">
        <v>219</v>
      </c>
      <c r="B32" s="124">
        <v>0</v>
      </c>
      <c r="C32" s="124">
        <v>183</v>
      </c>
      <c r="D32" s="124">
        <v>0</v>
      </c>
      <c r="E32" s="124">
        <v>12</v>
      </c>
      <c r="F32" s="124">
        <v>0</v>
      </c>
      <c r="G32" s="124">
        <v>180</v>
      </c>
      <c r="H32" s="4"/>
      <c r="I32" s="4"/>
      <c r="J32" s="4"/>
      <c r="K32" s="4"/>
      <c r="L32" s="4"/>
      <c r="M32" s="4"/>
      <c r="N32" s="4"/>
      <c r="O32" s="4"/>
    </row>
    <row r="33" ht="13.55" customHeight="1">
      <c r="A33" t="s" s="24">
        <v>220</v>
      </c>
      <c r="B33" s="124">
        <v>0</v>
      </c>
      <c r="C33" s="124">
        <v>105</v>
      </c>
      <c r="D33" s="124">
        <v>0</v>
      </c>
      <c r="E33" s="124">
        <v>24</v>
      </c>
      <c r="F33" s="124">
        <v>0</v>
      </c>
      <c r="G33" s="124">
        <v>111</v>
      </c>
      <c r="H33" s="4"/>
      <c r="I33" s="4"/>
      <c r="J33" s="4"/>
      <c r="K33" s="4"/>
      <c r="L33" s="4"/>
      <c r="M33" s="4"/>
      <c r="N33" s="4"/>
      <c r="O33" s="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4.4" customHeight="1" outlineLevelRow="0" outlineLevelCol="0"/>
  <cols>
    <col min="1" max="1" width="12.8516" style="174" customWidth="1"/>
    <col min="2" max="2" width="12.6719" style="174" customWidth="1"/>
    <col min="3" max="3" width="123.672" style="174" customWidth="1"/>
    <col min="4" max="5" width="10.8516" style="174" customWidth="1"/>
    <col min="6" max="16384" width="10.8516" style="174" customWidth="1"/>
  </cols>
  <sheetData>
    <row r="1" ht="13.65" customHeight="1">
      <c r="A1" t="s" s="175">
        <v>226</v>
      </c>
      <c r="B1" t="s" s="176">
        <v>227</v>
      </c>
      <c r="C1" s="4"/>
      <c r="D1" s="4"/>
      <c r="E1" s="4"/>
    </row>
    <row r="2" ht="13.65" customHeight="1">
      <c r="A2" s="177"/>
      <c r="B2" s="138"/>
      <c r="C2" s="4"/>
      <c r="D2" s="4"/>
      <c r="E2" s="4"/>
    </row>
    <row r="3" ht="13.65" customHeight="1">
      <c r="A3" s="4"/>
      <c r="B3" s="4"/>
      <c r="C3" t="s" s="178">
        <v>228</v>
      </c>
      <c r="D3" s="4"/>
      <c r="E3" s="4"/>
    </row>
    <row r="4" ht="13.65" customHeight="1">
      <c r="A4" s="4"/>
      <c r="B4" s="179"/>
      <c r="C4" s="4"/>
      <c r="D4" s="4"/>
      <c r="E4" s="4"/>
    </row>
    <row r="5" ht="13.65" customHeight="1">
      <c r="A5" t="s" s="175">
        <v>229</v>
      </c>
      <c r="B5" t="s" s="24">
        <v>230</v>
      </c>
      <c r="C5" t="s" s="175">
        <v>231</v>
      </c>
      <c r="D5" s="4"/>
      <c r="E5" s="4"/>
    </row>
    <row r="6" ht="13.55" customHeight="1">
      <c r="A6" t="s" s="111">
        <v>232</v>
      </c>
      <c r="B6" t="s" s="24">
        <v>233</v>
      </c>
      <c r="C6" t="s" s="24">
        <v>234</v>
      </c>
      <c r="D6" s="4"/>
      <c r="E6" s="4"/>
    </row>
    <row r="7" ht="13.55" customHeight="1">
      <c r="A7" t="s" s="111">
        <v>235</v>
      </c>
      <c r="B7" t="s" s="24">
        <v>233</v>
      </c>
      <c r="C7" t="s" s="24">
        <v>236</v>
      </c>
      <c r="D7" s="4"/>
      <c r="E7" s="4"/>
    </row>
    <row r="8" ht="13.55" customHeight="1">
      <c r="A8" s="4"/>
      <c r="B8" s="4"/>
      <c r="C8" s="4"/>
      <c r="D8" s="4"/>
      <c r="E8" s="4"/>
    </row>
    <row r="9" ht="13.55" customHeight="1">
      <c r="A9" s="4"/>
      <c r="B9" s="4"/>
      <c r="C9" s="4"/>
      <c r="D9" s="4"/>
      <c r="E9" s="4"/>
    </row>
    <row r="10" ht="13.55" customHeight="1">
      <c r="A10" s="4"/>
      <c r="B10" s="4"/>
      <c r="C10" s="4"/>
      <c r="D10" s="4"/>
      <c r="E10" s="4"/>
    </row>
  </sheetData>
  <pageMargins left="0.7" right="0.7" top="0.787402" bottom="0.787402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