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scchat-my.sharepoint.com/personal/alexander_schmidt_scch_at/Documents/Desktop/"/>
    </mc:Choice>
  </mc:AlternateContent>
  <xr:revisionPtr revIDLastSave="1601" documentId="11_AD4DB114E441178AC67DF410B611F0C4693EDF25" xr6:coauthVersionLast="47" xr6:coauthVersionMax="47" xr10:uidLastSave="{56FB79F1-AB8E-46DB-B542-39165FC43219}"/>
  <bookViews>
    <workbookView xWindow="-105" yWindow="0" windowWidth="14610" windowHeight="15585" xr2:uid="{00000000-000D-0000-FFFF-FFFF00000000}"/>
  </bookViews>
  <sheets>
    <sheet name="GPT3.5" sheetId="1" r:id="rId1"/>
    <sheet name="GPT4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0" i="2" l="1"/>
  <c r="G309" i="2"/>
  <c r="G308" i="2"/>
  <c r="G307" i="2"/>
  <c r="G306" i="2"/>
  <c r="G305" i="2"/>
  <c r="F305" i="2"/>
  <c r="G304" i="2"/>
  <c r="G303" i="2"/>
  <c r="G302" i="2"/>
  <c r="F302" i="2"/>
  <c r="G301" i="2"/>
  <c r="G277" i="2"/>
  <c r="G276" i="2"/>
  <c r="G275" i="2"/>
  <c r="G274" i="2"/>
  <c r="G273" i="2"/>
  <c r="G272" i="2"/>
  <c r="G271" i="2"/>
  <c r="G270" i="2"/>
  <c r="G269" i="2"/>
  <c r="G268" i="2"/>
  <c r="G238" i="2"/>
  <c r="G237" i="2"/>
  <c r="G236" i="2"/>
  <c r="G235" i="2"/>
  <c r="G234" i="2"/>
  <c r="F234" i="2"/>
  <c r="G233" i="2"/>
  <c r="G232" i="2"/>
  <c r="G231" i="2"/>
  <c r="G230" i="2"/>
  <c r="G229" i="2"/>
  <c r="G310" i="1"/>
  <c r="G309" i="1"/>
  <c r="G308" i="1"/>
  <c r="G307" i="1"/>
  <c r="G306" i="1"/>
  <c r="G305" i="1"/>
  <c r="G304" i="1"/>
  <c r="G303" i="1"/>
  <c r="G302" i="1"/>
  <c r="G301" i="1"/>
  <c r="G276" i="1"/>
  <c r="G275" i="1"/>
  <c r="D278" i="1"/>
  <c r="G273" i="1"/>
  <c r="G272" i="1"/>
  <c r="G271" i="1"/>
  <c r="G270" i="1"/>
  <c r="G269" i="1"/>
  <c r="G268" i="1"/>
  <c r="G238" i="1"/>
  <c r="G237" i="1"/>
  <c r="G236" i="1"/>
  <c r="G235" i="1"/>
  <c r="G234" i="1"/>
  <c r="G233" i="1"/>
  <c r="G232" i="1"/>
  <c r="G231" i="1"/>
  <c r="G230" i="1"/>
  <c r="G229" i="1"/>
  <c r="D86" i="1"/>
  <c r="H391" i="1"/>
  <c r="H391" i="2"/>
  <c r="H389" i="2"/>
  <c r="H387" i="2"/>
  <c r="H385" i="2"/>
  <c r="J379" i="2"/>
  <c r="I379" i="2"/>
  <c r="H379" i="2"/>
  <c r="G379" i="2"/>
  <c r="F379" i="2"/>
  <c r="J357" i="2"/>
  <c r="I357" i="2"/>
  <c r="H357" i="2"/>
  <c r="G357" i="2"/>
  <c r="F357" i="2"/>
  <c r="J335" i="2"/>
  <c r="I335" i="2"/>
  <c r="H335" i="2"/>
  <c r="G335" i="2"/>
  <c r="F335" i="2"/>
  <c r="I310" i="2"/>
  <c r="H310" i="2"/>
  <c r="F310" i="2"/>
  <c r="E310" i="2"/>
  <c r="I309" i="2"/>
  <c r="H309" i="2"/>
  <c r="F309" i="2"/>
  <c r="E309" i="2"/>
  <c r="I308" i="2"/>
  <c r="H308" i="2"/>
  <c r="F308" i="2"/>
  <c r="E308" i="2"/>
  <c r="I307" i="2"/>
  <c r="H307" i="2"/>
  <c r="F307" i="2"/>
  <c r="E307" i="2"/>
  <c r="I306" i="2"/>
  <c r="H306" i="2"/>
  <c r="F306" i="2"/>
  <c r="E306" i="2"/>
  <c r="I305" i="2"/>
  <c r="H305" i="2"/>
  <c r="E305" i="2"/>
  <c r="I304" i="2"/>
  <c r="H304" i="2"/>
  <c r="F304" i="2"/>
  <c r="E304" i="2"/>
  <c r="I303" i="2"/>
  <c r="H303" i="2"/>
  <c r="F303" i="2"/>
  <c r="E303" i="2"/>
  <c r="I302" i="2"/>
  <c r="H302" i="2"/>
  <c r="E302" i="2"/>
  <c r="I301" i="2"/>
  <c r="H301" i="2"/>
  <c r="F301" i="2"/>
  <c r="E301" i="2"/>
  <c r="I277" i="2"/>
  <c r="H277" i="2"/>
  <c r="F277" i="2"/>
  <c r="E277" i="2"/>
  <c r="I276" i="2"/>
  <c r="H276" i="2"/>
  <c r="F276" i="2"/>
  <c r="E276" i="2"/>
  <c r="I275" i="2"/>
  <c r="H275" i="2"/>
  <c r="F275" i="2"/>
  <c r="E275" i="2"/>
  <c r="I274" i="2"/>
  <c r="H274" i="2"/>
  <c r="F274" i="2"/>
  <c r="E274" i="2"/>
  <c r="I273" i="2"/>
  <c r="H273" i="2"/>
  <c r="F273" i="2"/>
  <c r="E273" i="2"/>
  <c r="I272" i="2"/>
  <c r="H272" i="2"/>
  <c r="F272" i="2"/>
  <c r="E272" i="2"/>
  <c r="I271" i="2"/>
  <c r="H271" i="2"/>
  <c r="F271" i="2"/>
  <c r="E271" i="2"/>
  <c r="I270" i="2"/>
  <c r="H270" i="2"/>
  <c r="F270" i="2"/>
  <c r="E270" i="2"/>
  <c r="I269" i="2"/>
  <c r="H269" i="2"/>
  <c r="F269" i="2"/>
  <c r="E269" i="2"/>
  <c r="I268" i="2"/>
  <c r="H268" i="2"/>
  <c r="F268" i="2"/>
  <c r="E268" i="2"/>
  <c r="I238" i="2"/>
  <c r="H238" i="2"/>
  <c r="F238" i="2"/>
  <c r="E238" i="2"/>
  <c r="I237" i="2"/>
  <c r="H237" i="2"/>
  <c r="F237" i="2"/>
  <c r="E237" i="2"/>
  <c r="I236" i="2"/>
  <c r="H236" i="2"/>
  <c r="F236" i="2"/>
  <c r="E236" i="2"/>
  <c r="I235" i="2"/>
  <c r="H235" i="2"/>
  <c r="F235" i="2"/>
  <c r="E235" i="2"/>
  <c r="I234" i="2"/>
  <c r="H234" i="2"/>
  <c r="E234" i="2"/>
  <c r="I233" i="2"/>
  <c r="H233" i="2"/>
  <c r="F233" i="2"/>
  <c r="E233" i="2"/>
  <c r="I232" i="2"/>
  <c r="H232" i="2"/>
  <c r="F232" i="2"/>
  <c r="E232" i="2"/>
  <c r="I231" i="2"/>
  <c r="H231" i="2"/>
  <c r="F231" i="2"/>
  <c r="E231" i="2"/>
  <c r="I230" i="2"/>
  <c r="H230" i="2"/>
  <c r="F230" i="2"/>
  <c r="E230" i="2"/>
  <c r="I229" i="2"/>
  <c r="H229" i="2"/>
  <c r="F229" i="2"/>
  <c r="E229" i="2"/>
  <c r="I196" i="2"/>
  <c r="H196" i="2"/>
  <c r="G196" i="2"/>
  <c r="F196" i="2"/>
  <c r="E196" i="2"/>
  <c r="I174" i="2"/>
  <c r="H174" i="2"/>
  <c r="G174" i="2"/>
  <c r="F174" i="2"/>
  <c r="E174" i="2"/>
  <c r="I152" i="2"/>
  <c r="H152" i="2"/>
  <c r="G152" i="2"/>
  <c r="F152" i="2"/>
  <c r="E152" i="2"/>
  <c r="I130" i="2"/>
  <c r="H130" i="2"/>
  <c r="G130" i="2"/>
  <c r="F130" i="2"/>
  <c r="E130" i="2"/>
  <c r="I108" i="2"/>
  <c r="H108" i="2"/>
  <c r="G108" i="2"/>
  <c r="F108" i="2"/>
  <c r="E108" i="2"/>
  <c r="I86" i="2"/>
  <c r="H86" i="2"/>
  <c r="G86" i="2"/>
  <c r="F86" i="2"/>
  <c r="E86" i="2"/>
  <c r="I64" i="2"/>
  <c r="H64" i="2"/>
  <c r="G64" i="2"/>
  <c r="F64" i="2"/>
  <c r="E64" i="2"/>
  <c r="I42" i="2"/>
  <c r="H42" i="2"/>
  <c r="G42" i="2"/>
  <c r="F42" i="2"/>
  <c r="E42" i="2"/>
  <c r="I20" i="2"/>
  <c r="H20" i="2"/>
  <c r="G20" i="2"/>
  <c r="F20" i="2"/>
  <c r="E20" i="2"/>
  <c r="J379" i="1"/>
  <c r="I379" i="1"/>
  <c r="H379" i="1"/>
  <c r="G379" i="1"/>
  <c r="F379" i="1"/>
  <c r="J357" i="1"/>
  <c r="I357" i="1"/>
  <c r="H357" i="1"/>
  <c r="G357" i="1"/>
  <c r="F357" i="1"/>
  <c r="J335" i="1"/>
  <c r="I335" i="1"/>
  <c r="H335" i="1"/>
  <c r="G335" i="1"/>
  <c r="F335" i="1"/>
  <c r="D311" i="1"/>
  <c r="C311" i="1"/>
  <c r="B311" i="1"/>
  <c r="I310" i="1"/>
  <c r="H310" i="1"/>
  <c r="F310" i="1"/>
  <c r="E310" i="1"/>
  <c r="I309" i="1"/>
  <c r="H309" i="1"/>
  <c r="F309" i="1"/>
  <c r="E309" i="1"/>
  <c r="I308" i="1"/>
  <c r="H308" i="1"/>
  <c r="F308" i="1"/>
  <c r="E308" i="1"/>
  <c r="I307" i="1"/>
  <c r="H307" i="1"/>
  <c r="F307" i="1"/>
  <c r="E307" i="1"/>
  <c r="I306" i="1"/>
  <c r="H306" i="1"/>
  <c r="F306" i="1"/>
  <c r="E306" i="1"/>
  <c r="I305" i="1"/>
  <c r="H305" i="1"/>
  <c r="F305" i="1"/>
  <c r="E305" i="1"/>
  <c r="I304" i="1"/>
  <c r="H304" i="1"/>
  <c r="F304" i="1"/>
  <c r="E304" i="1"/>
  <c r="I303" i="1"/>
  <c r="H303" i="1"/>
  <c r="F303" i="1"/>
  <c r="E303" i="1"/>
  <c r="I302" i="1"/>
  <c r="H302" i="1"/>
  <c r="F302" i="1"/>
  <c r="E302" i="1"/>
  <c r="I301" i="1"/>
  <c r="H301" i="1"/>
  <c r="F301" i="1"/>
  <c r="E301" i="1"/>
  <c r="C278" i="1"/>
  <c r="B278" i="1"/>
  <c r="I276" i="1"/>
  <c r="H276" i="1"/>
  <c r="F276" i="1"/>
  <c r="E276" i="1"/>
  <c r="I275" i="1"/>
  <c r="H275" i="1"/>
  <c r="F275" i="1"/>
  <c r="E275" i="1"/>
  <c r="I273" i="1"/>
  <c r="H273" i="1"/>
  <c r="F273" i="1"/>
  <c r="E273" i="1"/>
  <c r="I272" i="1"/>
  <c r="H272" i="1"/>
  <c r="F272" i="1"/>
  <c r="E272" i="1"/>
  <c r="I271" i="1"/>
  <c r="H271" i="1"/>
  <c r="F271" i="1"/>
  <c r="E271" i="1"/>
  <c r="I270" i="1"/>
  <c r="H270" i="1"/>
  <c r="F270" i="1"/>
  <c r="E270" i="1"/>
  <c r="I269" i="1"/>
  <c r="H269" i="1"/>
  <c r="F269" i="1"/>
  <c r="E269" i="1"/>
  <c r="I268" i="1"/>
  <c r="H268" i="1"/>
  <c r="F268" i="1"/>
  <c r="E268" i="1"/>
  <c r="C239" i="1"/>
  <c r="B239" i="1"/>
  <c r="I238" i="1"/>
  <c r="H238" i="1"/>
  <c r="F238" i="1"/>
  <c r="E238" i="1"/>
  <c r="I237" i="1"/>
  <c r="H237" i="1"/>
  <c r="F237" i="1"/>
  <c r="E237" i="1"/>
  <c r="I236" i="1"/>
  <c r="H236" i="1"/>
  <c r="F236" i="1"/>
  <c r="E236" i="1"/>
  <c r="I235" i="1"/>
  <c r="H235" i="1"/>
  <c r="F235" i="1"/>
  <c r="E235" i="1"/>
  <c r="I234" i="1"/>
  <c r="H234" i="1"/>
  <c r="F234" i="1"/>
  <c r="E234" i="1"/>
  <c r="I233" i="1"/>
  <c r="H233" i="1"/>
  <c r="F233" i="1"/>
  <c r="E233" i="1"/>
  <c r="I232" i="1"/>
  <c r="H232" i="1"/>
  <c r="F232" i="1"/>
  <c r="E232" i="1"/>
  <c r="I231" i="1"/>
  <c r="H231" i="1"/>
  <c r="F231" i="1"/>
  <c r="E231" i="1"/>
  <c r="I230" i="1"/>
  <c r="H230" i="1"/>
  <c r="F230" i="1"/>
  <c r="E230" i="1"/>
  <c r="I229" i="1"/>
  <c r="H229" i="1"/>
  <c r="F229" i="1"/>
  <c r="E229" i="1"/>
  <c r="I196" i="1"/>
  <c r="H196" i="1"/>
  <c r="G196" i="1"/>
  <c r="F196" i="1"/>
  <c r="E196" i="1"/>
  <c r="I174" i="1"/>
  <c r="H174" i="1"/>
  <c r="G174" i="1"/>
  <c r="F174" i="1"/>
  <c r="E174" i="1"/>
  <c r="I152" i="1"/>
  <c r="H152" i="1"/>
  <c r="G152" i="1"/>
  <c r="F152" i="1"/>
  <c r="E152" i="1"/>
  <c r="I130" i="1"/>
  <c r="H130" i="1"/>
  <c r="G130" i="1"/>
  <c r="F130" i="1"/>
  <c r="E130" i="1"/>
  <c r="D130" i="1"/>
  <c r="C130" i="1"/>
  <c r="B130" i="1"/>
  <c r="I108" i="1"/>
  <c r="H108" i="1"/>
  <c r="G108" i="1"/>
  <c r="F108" i="1"/>
  <c r="E108" i="1"/>
  <c r="D108" i="1"/>
  <c r="C108" i="1"/>
  <c r="I86" i="1"/>
  <c r="H86" i="1"/>
  <c r="G86" i="1"/>
  <c r="F86" i="1"/>
  <c r="E86" i="1"/>
  <c r="I64" i="1"/>
  <c r="H64" i="1"/>
  <c r="G64" i="1"/>
  <c r="F64" i="1"/>
  <c r="E64" i="1"/>
  <c r="I42" i="1"/>
  <c r="H42" i="1"/>
  <c r="G42" i="1"/>
  <c r="F42" i="1"/>
  <c r="E42" i="1"/>
  <c r="D42" i="1"/>
  <c r="I20" i="1"/>
  <c r="H20" i="1"/>
  <c r="G20" i="1"/>
  <c r="F20" i="1"/>
  <c r="E20" i="1"/>
  <c r="G311" i="2" l="1"/>
  <c r="G278" i="2"/>
  <c r="G239" i="2"/>
  <c r="G311" i="1"/>
  <c r="G278" i="1"/>
  <c r="G239" i="1"/>
  <c r="H389" i="1"/>
  <c r="H387" i="1"/>
  <c r="H385" i="1"/>
  <c r="I239" i="1"/>
  <c r="E311" i="1"/>
  <c r="F311" i="1"/>
  <c r="H239" i="1"/>
  <c r="F278" i="1"/>
  <c r="I311" i="1"/>
  <c r="F239" i="1"/>
  <c r="I278" i="1"/>
  <c r="H278" i="1"/>
  <c r="E239" i="1"/>
  <c r="E278" i="1"/>
  <c r="H311" i="1"/>
  <c r="E239" i="2"/>
  <c r="H311" i="2"/>
  <c r="I278" i="2"/>
  <c r="H239" i="2"/>
  <c r="E278" i="2"/>
  <c r="F239" i="2"/>
  <c r="F278" i="2"/>
  <c r="I311" i="2"/>
  <c r="H278" i="2"/>
  <c r="E311" i="2"/>
  <c r="I239" i="2"/>
  <c r="F311" i="2"/>
</calcChain>
</file>

<file path=xl/sharedStrings.xml><?xml version="1.0" encoding="utf-8"?>
<sst xmlns="http://schemas.openxmlformats.org/spreadsheetml/2006/main" count="1943" uniqueCount="447">
  <si>
    <t>Given this is the current URL: "http://localhost:8080/owners/find"</t>
  </si>
  <si>
    <t>When I search for an owner with the last name "Franklin"</t>
  </si>
  <si>
    <t>Then "George Franklin" can be seen as an owner</t>
  </si>
  <si>
    <t>Results:</t>
  </si>
  <si>
    <t>Run</t>
  </si>
  <si>
    <t>Interactions</t>
  </si>
  <si>
    <t>Duration [s]</t>
  </si>
  <si>
    <t>Tokens</t>
  </si>
  <si>
    <t>Scripts generated</t>
  </si>
  <si>
    <t>Comment</t>
  </si>
  <si>
    <t>Y</t>
  </si>
  <si>
    <t>Average</t>
  </si>
  <si>
    <t>Given this is the current URL: "http://localhost:8080/owners/new"</t>
  </si>
  <si>
    <t>When I add a person with first name "John" and last name "Smith" as a new pet owner</t>
  </si>
  <si>
    <t>Then "John Smith" is an owner</t>
  </si>
  <si>
    <t>N</t>
  </si>
  <si>
    <t>No valid phone number entered</t>
  </si>
  <si>
    <t>No owner created because no valid phone number was entered</t>
  </si>
  <si>
    <t>Given this is the current URL: "http://localhost:8080/owners/2/pets/new"</t>
  </si>
  <si>
    <t>When I add "Jamie" as a "cat" born on "2023-05-12" as a new pet for the existing owner "Betty Davis"</t>
  </si>
  <si>
    <t>Then "Betty Davis" has a cat named "Jamie"</t>
  </si>
  <si>
    <t>Given this is the current URL: "http://localhost:8080/owners/4/edit"</t>
  </si>
  <si>
    <t>When I change the "address" of "Harold Davis" to "123 Main Street" and the "city" to "Springfield"</t>
  </si>
  <si>
    <t>Then the new "address" of "Harold Davis" is "123 Main Street" in the new city "Springfield"</t>
  </si>
  <si>
    <t>Data inserted but form not submitted</t>
  </si>
  <si>
    <t>Form submitted but data not changed</t>
  </si>
  <si>
    <t>Given this is the current URL: "http://localhost:8080/owners/6/edit"</t>
  </si>
  <si>
    <t>When I change the "telephone number" of "Jean Coleman" to "6095556643"</t>
  </si>
  <si>
    <t>Then the new "telephone number" of "Jean Coleman" is "6095556643"</t>
  </si>
  <si>
    <t>Data inserted but from not submitted</t>
  </si>
  <si>
    <t>Given this is the current URL: "http://localhost:8080/owners/7/pets/9/edit"</t>
  </si>
  <si>
    <t>When I change the pet type of "Jeff Black"s existing pet "Lucky" to "cat"</t>
  </si>
  <si>
    <t>Then the pet named "Lucky" is a "cat"</t>
  </si>
  <si>
    <t>Correct pet type selected but form not submitted</t>
  </si>
  <si>
    <t>Form submitted but pet type not selected</t>
  </si>
  <si>
    <t>Given this is the current URL: "http://localhost:8080/vets.html"</t>
  </si>
  <si>
    <t>When I search for the speciality of the veterinarian "Helen Leary"</t>
  </si>
  <si>
    <t>Then I find the speciality "radiology" for "Helen Leary"</t>
  </si>
  <si>
    <t>When I check the specialities of the veterinarians for a "dentist"</t>
  </si>
  <si>
    <t>Then I find the veterinarian "Linda Douglas" with speciality containing "dentist"</t>
  </si>
  <si>
    <t>Given this is the current URL: "http://localhost:8080/owners/3/pets/3/visits/new"</t>
  </si>
  <si>
    <t>When I add a visit for the pet "Rosy" of the existing owner "Eduardo Rodriquez" on "23rd May 2024" about "paw injury"</t>
  </si>
  <si>
    <t>Then the pet "Rosy" has an appointment about "paw injury" on "23rd May 2024"</t>
  </si>
  <si>
    <t>Visit added but with wrong date</t>
  </si>
  <si>
    <t>When I add a person with first name "Tom" and last name "Smith" as a new pet owner with address "412 Main Street" with city "Springfield" and phone number "6095916230"</t>
  </si>
  <si>
    <t>Given the owner "Tom Smith" exists and this owner page is open</t>
  </si>
  <si>
    <t>When I edit the owner and change the "city" to "New York City"</t>
  </si>
  <si>
    <t>When I add "Sam" as a "cat" born on "2023-05-03" as a new pet for "Tom Smith"</t>
  </si>
  <si>
    <t>When I add "Mike" as a "snake" born on "2023-04-01" as a new pet for "Tom Smith"</t>
  </si>
  <si>
    <t>Given the owner "Tom Smith" exists and this owner page is open and this owner has a cat named "Sam"</t>
  </si>
  <si>
    <t>When I add a visit for "Tom Smith"'s pet "Sam" the cat about "paw injury" on "22nd August 2024"</t>
  </si>
  <si>
    <t>Given the owner "Tom Smith" exists and this owner page is open and this owner has a snake named "Mike"</t>
  </si>
  <si>
    <t>When I edit the pet and change the pet type of "Tom Smith"'s pet "Mike" to "hamster"</t>
  </si>
  <si>
    <t>Given the owner "Tom Smith" exists and this owner page is open and this owner has a hamster named "Mike"</t>
  </si>
  <si>
    <t>When I add a visit for "Tom Smith"'s pet "Mike" the hamster about "teeth problems" on "28th July 2024"</t>
  </si>
  <si>
    <t>Then all the inserted data can be found in the application</t>
  </si>
  <si>
    <t>Failed in step 4: Tried entering the pet type without knowing how the element looks like and could not recover</t>
  </si>
  <si>
    <t>Failed in step 5: Tried filling the hidden input field "petId"</t>
  </si>
  <si>
    <t>Failed in step 4: Too many errors</t>
  </si>
  <si>
    <t>Given this is the current URL: "http://localhost:8080/"</t>
  </si>
  <si>
    <t>When I navigate to the "Find Owners" section</t>
  </si>
  <si>
    <t>Given the "Find Owners" section page is open</t>
  </si>
  <si>
    <t>When I search for an owner with last name "Cooper"</t>
  </si>
  <si>
    <t>Then the application tells me that none such owner exists</t>
  </si>
  <si>
    <t>When I navigate to the "Add Owners" section</t>
  </si>
  <si>
    <t>Given the "Add Owners" section page is open</t>
  </si>
  <si>
    <t>When I add a person with first name "Angelina" and last name "Cooper" as a new pet owner with address "357 Second Street" with city "Chicago" and phone number "6095366426"</t>
  </si>
  <si>
    <t>Given the "Find Owners" section page is not open</t>
  </si>
  <si>
    <t>Then the application shows the owner "Angelina Cooper" to me</t>
  </si>
  <si>
    <t>In step 1: Fail reported because names were filled and searched but navigation was successful</t>
  </si>
  <si>
    <t>In step 5: Coordinator told Coder to enter different strings in search bar, but Find Owners section did not get left</t>
  </si>
  <si>
    <t>Failed in step 1: Searched empty name which is why an udesired navigation to a different page happened</t>
  </si>
  <si>
    <t>When I navigate to the overview of the veterinarians</t>
  </si>
  <si>
    <t>Given the first page with an overview of the veterinarians is open</t>
  </si>
  <si>
    <t>When I search for every veterinarian with speciality "none" on every veterinarian page</t>
  </si>
  <si>
    <t>Then I find 2 veterinarians</t>
  </si>
  <si>
    <t>Given the current page is any page of the veterinarians overview</t>
  </si>
  <si>
    <t>When I navigate to the first page the overview of the veterinarians</t>
  </si>
  <si>
    <t>When I search for every veterinarian with speciality "radiology" on every veterinarian page</t>
  </si>
  <si>
    <t>Failed in step 3: Coordinator instructed the coder to move to page 2</t>
  </si>
  <si>
    <t>In step 3: Coordinator stated failure but the step was successful</t>
  </si>
  <si>
    <t>Failed in step 4: Could not manage to count the amount</t>
  </si>
  <si>
    <t>Page 2 not checked</t>
  </si>
  <si>
    <t>Given this is the current url: "http://localhost:8080/owners/find"</t>
  </si>
  <si>
    <t>When I click on the "Filter" button next to the search bar</t>
  </si>
  <si>
    <t>Then I see five options to filter owners</t>
  </si>
  <si>
    <t>"voluntarily" aborted</t>
  </si>
  <si>
    <t>Coder came up with different variations of possible filter elements -&gt; not found -&gt; errors</t>
  </si>
  <si>
    <t>Coder came up with different variations of possible filter elements</t>
  </si>
  <si>
    <t>No filters found and ended up in "thanking chain"</t>
  </si>
  <si>
    <t>Coder just pressed the "Find Owner" button</t>
  </si>
  <si>
    <t>Tried filling a last name which led to errors</t>
  </si>
  <si>
    <t>Couldn't find anything filter-related</t>
  </si>
  <si>
    <t>Given this is the current url: "http://localhost:8080/owners/1/pets/new"</t>
  </si>
  <si>
    <t>When I add "Simba" as a "lion" born on "2023-05-12" as a new pet for the existing owner "George Franklin"</t>
  </si>
  <si>
    <t>Then "George Franklin" has a lion named "Simba"</t>
  </si>
  <si>
    <t>Pet added as a bird (default option)</t>
  </si>
  <si>
    <t>Page errors while trying to get available pet types</t>
  </si>
  <si>
    <t>Pet added as a bird (default option) followed by code errors</t>
  </si>
  <si>
    <t>Tried selecting lion over and over again</t>
  </si>
  <si>
    <t>When I add a person with first name "Jackie" and last name "Chan" as a new pet owner with address "345 Jack Street" with city "Springfield" and phone number "7266/61936"</t>
  </si>
  <si>
    <t>Then "Jackie Chan" is added as an owner</t>
  </si>
  <si>
    <t>Completely new phone number generated</t>
  </si>
  <si>
    <t>Phone number adapted ("/" removed)</t>
  </si>
  <si>
    <t>Phone number adapted ("/" removed + 0 added)</t>
  </si>
  <si>
    <t>Phone number adapted ("/" and all following digits removed)</t>
  </si>
  <si>
    <t>Type "lion" not found</t>
  </si>
  <si>
    <t>Tried creating type "lion" but did not work -&gt; type not found</t>
  </si>
  <si>
    <t>Tried creating type "lion" but did not work -&gt; selected "cat"</t>
  </si>
  <si>
    <t>Selected type "cat"</t>
  </si>
  <si>
    <t>Phone number adapted ("/" and a "6" removed)</t>
  </si>
  <si>
    <t>Simple scenarios</t>
  </si>
  <si>
    <t>Complex scenarios</t>
  </si>
  <si>
    <t>Negative tests</t>
  </si>
  <si>
    <t>Prompt 15</t>
  </si>
  <si>
    <t>Prompt 14</t>
  </si>
  <si>
    <t>Prompt 1</t>
  </si>
  <si>
    <t>Prompt 2</t>
  </si>
  <si>
    <t>Prompt 3</t>
  </si>
  <si>
    <t>Prompt 4</t>
  </si>
  <si>
    <t>Prompt 5</t>
  </si>
  <si>
    <t>Prompt 6</t>
  </si>
  <si>
    <t>Prompt 7</t>
  </si>
  <si>
    <t>Prompt 8</t>
  </si>
  <si>
    <t>Prompt 9</t>
  </si>
  <si>
    <t>Prompt 10</t>
  </si>
  <si>
    <t>Prompt 11</t>
  </si>
  <si>
    <t>Prompt 12</t>
  </si>
  <si>
    <t>Prompt 13</t>
  </si>
  <si>
    <t>Simple scripts actual success:</t>
  </si>
  <si>
    <t>Complex scripts actual success:</t>
  </si>
  <si>
    <t>Scripts combined actual success:</t>
  </si>
  <si>
    <t>Tried creating type "lion" but did not work -&gt; type not found + Code Error reported by Analyst but not by Executor</t>
  </si>
  <si>
    <t>Everything very slow for some reason</t>
  </si>
  <si>
    <t>Negative tests aborted voluntarily*:</t>
  </si>
  <si>
    <t>* Voluntarily aborted means "No" as reported success, interactions less than 50 and code errors less than 5</t>
  </si>
  <si>
    <t>Results summarized</t>
  </si>
  <si>
    <t>In step 5: Fail reported because of thanking chain</t>
  </si>
  <si>
    <t>Code errors</t>
  </si>
  <si>
    <t>Matching success</t>
  </si>
  <si>
    <t>Manually checked success</t>
  </si>
  <si>
    <t>Reported success</t>
  </si>
  <si>
    <t>Task done successfully but agents ended up in thanking chain</t>
  </si>
  <si>
    <t>Run ID</t>
  </si>
  <si>
    <t>Run IDs</t>
  </si>
  <si>
    <t>run_1715938694</t>
  </si>
  <si>
    <t>run_1715938748</t>
  </si>
  <si>
    <t>run_1715938794</t>
  </si>
  <si>
    <t>run_1715938840</t>
  </si>
  <si>
    <t>run_1715938885</t>
  </si>
  <si>
    <t>run_1716800672</t>
  </si>
  <si>
    <t>run_1716800840</t>
  </si>
  <si>
    <t>run_1716800893</t>
  </si>
  <si>
    <t>run_1716800947</t>
  </si>
  <si>
    <t>run_1716800991</t>
  </si>
  <si>
    <t>run_1715938953</t>
  </si>
  <si>
    <t>run_1715939087</t>
  </si>
  <si>
    <t>run_1715939201</t>
  </si>
  <si>
    <t>run_1715939331</t>
  </si>
  <si>
    <t>run_1715939438</t>
  </si>
  <si>
    <t>run_1716801161</t>
  </si>
  <si>
    <t>run_1716801345</t>
  </si>
  <si>
    <t>run_1716801494</t>
  </si>
  <si>
    <t>run_1717662407</t>
  </si>
  <si>
    <t>run_1716801767</t>
  </si>
  <si>
    <t>run_1715939635</t>
  </si>
  <si>
    <t>run_1715939737</t>
  </si>
  <si>
    <t>run_1715939831</t>
  </si>
  <si>
    <t>run_1715939915</t>
  </si>
  <si>
    <t>run_1715940019</t>
  </si>
  <si>
    <t>run_1716802296</t>
  </si>
  <si>
    <t>run_1716802404</t>
  </si>
  <si>
    <t>run_1716802495</t>
  </si>
  <si>
    <t>run_1716802585</t>
  </si>
  <si>
    <t>run_1716802678</t>
  </si>
  <si>
    <t>run_1715940946</t>
  </si>
  <si>
    <t>run_1715941051</t>
  </si>
  <si>
    <t>run_1715941146</t>
  </si>
  <si>
    <t>run_1715941253</t>
  </si>
  <si>
    <t>run_1715941344</t>
  </si>
  <si>
    <t>run_1716802822</t>
  </si>
  <si>
    <t>run_1716802909</t>
  </si>
  <si>
    <t>run_1716803023</t>
  </si>
  <si>
    <t>run_1717662668</t>
  </si>
  <si>
    <t>run_1716803496</t>
  </si>
  <si>
    <t>run_1715941749</t>
  </si>
  <si>
    <t>run_1715941824</t>
  </si>
  <si>
    <t>run_1715941910</t>
  </si>
  <si>
    <t>run_1715941992</t>
  </si>
  <si>
    <t>run_1715942073</t>
  </si>
  <si>
    <t>run_1716806215</t>
  </si>
  <si>
    <t>run_1716806360</t>
  </si>
  <si>
    <t>run_1716806457</t>
  </si>
  <si>
    <t>run_1717662853</t>
  </si>
  <si>
    <t>run_1716806774</t>
  </si>
  <si>
    <t>run_1715942225</t>
  </si>
  <si>
    <t>run_1715942321</t>
  </si>
  <si>
    <t>run_1715942401</t>
  </si>
  <si>
    <t>run_1715942536</t>
  </si>
  <si>
    <t>run_1715942731</t>
  </si>
  <si>
    <t>run_1716807028</t>
  </si>
  <si>
    <t>run_1716807114</t>
  </si>
  <si>
    <t>run_1716807188</t>
  </si>
  <si>
    <t>run_1716807274</t>
  </si>
  <si>
    <t>run_1716807337</t>
  </si>
  <si>
    <t>run_1715942802</t>
  </si>
  <si>
    <t>run_1716799587</t>
  </si>
  <si>
    <t>run_1715942961</t>
  </si>
  <si>
    <t>run_1715943021</t>
  </si>
  <si>
    <t>run_1715943230</t>
  </si>
  <si>
    <t>run_1716807571</t>
  </si>
  <si>
    <t>run_1716807709</t>
  </si>
  <si>
    <t>run_1716807771</t>
  </si>
  <si>
    <t>run_1716807832</t>
  </si>
  <si>
    <t>run_1716807892</t>
  </si>
  <si>
    <t>run_1715943308</t>
  </si>
  <si>
    <t>run_1715943371</t>
  </si>
  <si>
    <t>run_1715943453</t>
  </si>
  <si>
    <t>run_1715943501</t>
  </si>
  <si>
    <t>run_1715943544</t>
  </si>
  <si>
    <t>run_1716808041</t>
  </si>
  <si>
    <t>run_1716808107</t>
  </si>
  <si>
    <t>run_1716808156</t>
  </si>
  <si>
    <t>run_1716808194</t>
  </si>
  <si>
    <t>run_1716808242</t>
  </si>
  <si>
    <t>run_1715943604</t>
  </si>
  <si>
    <t>run_1715943713</t>
  </si>
  <si>
    <t>run_1715943837</t>
  </si>
  <si>
    <t>run_1715943917</t>
  </si>
  <si>
    <t>run_1715943990</t>
  </si>
  <si>
    <t>run_1716808405</t>
  </si>
  <si>
    <t>run_1716808476</t>
  </si>
  <si>
    <t>run_1716808582</t>
  </si>
  <si>
    <t>run_1716808657</t>
  </si>
  <si>
    <t>run_1716808726</t>
  </si>
  <si>
    <t>run_1717666361</t>
  </si>
  <si>
    <t>run_1717666628</t>
  </si>
  <si>
    <t>run_1717666806</t>
  </si>
  <si>
    <t>run_1717666943</t>
  </si>
  <si>
    <t>run_1717667623</t>
  </si>
  <si>
    <t>run_1717671787</t>
  </si>
  <si>
    <t>run_1717671962</t>
  </si>
  <si>
    <t>run_1717672285</t>
  </si>
  <si>
    <t>run_1717672588</t>
  </si>
  <si>
    <t>run_1717672754</t>
  </si>
  <si>
    <t>run_1717675016</t>
  </si>
  <si>
    <t>run_1717675252</t>
  </si>
  <si>
    <t>run_1717675590</t>
  </si>
  <si>
    <t>run_1717676236</t>
  </si>
  <si>
    <t>run_1717676422</t>
  </si>
  <si>
    <t>run_1717676800</t>
  </si>
  <si>
    <t>run_1717677863</t>
  </si>
  <si>
    <t>run_1717678727</t>
  </si>
  <si>
    <t>run_1717678905</t>
  </si>
  <si>
    <t>run_1717679245</t>
  </si>
  <si>
    <t>run_1718010702</t>
  </si>
  <si>
    <t>run_1718010877</t>
  </si>
  <si>
    <t>run_1718011010</t>
  </si>
  <si>
    <t>run_1718011247</t>
  </si>
  <si>
    <t>run_1718011407</t>
  </si>
  <si>
    <t>run_1718011536</t>
  </si>
  <si>
    <t>run_1718011665</t>
  </si>
  <si>
    <t>run_1718011806</t>
  </si>
  <si>
    <t>run_1718011962</t>
  </si>
  <si>
    <t>run_1718012098</t>
  </si>
  <si>
    <t>run_1715934679, run_1715934732, run_1715934789, run_1715935297</t>
  </si>
  <si>
    <t>run_1715936902, run_1715936954, run_1715937015, run_1715937077, run_1715937261</t>
  </si>
  <si>
    <t>run_1716808914, run_1716809085, run_1716809147, run_1716809223, run_1716809297, run_1716809356, run_1716809411</t>
  </si>
  <si>
    <t>run_1716809620, run_1716809703, run_1716809760, run_1716809837, run_1716809907, run_1716809975, run_1716810032</t>
  </si>
  <si>
    <t>run_1716810159, run_1716810271, run_1716810348, run_1716810407, run_1716810475, run_1716810542, run_1716810609</t>
  </si>
  <si>
    <t>run_1716810784, run_1716810919, run_1716810992, run_1716811060, run_1716811124, run_1716811178, run_1716811249</t>
  </si>
  <si>
    <t>run_1716811398, run_1716811453, run_1716811518, run_1716811686</t>
  </si>
  <si>
    <t>Failed in step 5: Coordinator told Coder to search for "Cooper" which is why Find Owners section got left</t>
  </si>
  <si>
    <t>run_1717663609, run_1717663668, run_1717663714, run_1717663770, run_1717663823</t>
  </si>
  <si>
    <t>run_1715931831, run_1715931948, run_1715932007, run_1715932067, run_1715932138, run_1715932188</t>
  </si>
  <si>
    <t>run_1717664044, run_1717664113, run_1717664157, run_1717664204, run_1717664381, run_1717664470</t>
  </si>
  <si>
    <t>run_1715932916, run_1715933019, run_1715933068, run_1715933120, run_1715933188, run_1715933241</t>
  </si>
  <si>
    <t>run_1715933991, run_1715934043, run_1715934084, run_1715934175, run_1715934253, run_1715934373</t>
  </si>
  <si>
    <t>run_1716811977, run_1716812056, run_1716812106, run_1716812157, run_1716812207, run_1716812254</t>
  </si>
  <si>
    <t>run_1716812477</t>
  </si>
  <si>
    <t>run_1716812719, run_1716812852, run_1716812951, run_1716813044, run_1716813116, run_1716813181</t>
  </si>
  <si>
    <t>run_1716813515, run_1716813637, run_1716813700, run_1716813784, run_1716813897, run_1716813957</t>
  </si>
  <si>
    <t>run_1716814357</t>
  </si>
  <si>
    <t>run_1715926698, run_1715926769, run_1715926824, run_1715926900</t>
  </si>
  <si>
    <t>run_1715927009, run_1715927086, run_1715927138, run_1715927193</t>
  </si>
  <si>
    <t>run_1715927313, run_1715927380, run_1715927549</t>
  </si>
  <si>
    <t>run_1715927657, run_1715927705, run_1715927900, run_1715928058</t>
  </si>
  <si>
    <t>run_1715930458, run_1715930553, run_1715930659, run_1715930840</t>
  </si>
  <si>
    <t>run_1716815207, run_1716815365, run_1716815418, run_1716815483</t>
  </si>
  <si>
    <t>run_1716815625, run_1716815834</t>
  </si>
  <si>
    <t>Failed in step 2</t>
  </si>
  <si>
    <t>run_1717664625, run_1717664695, run_1717664744, run_1717664938</t>
  </si>
  <si>
    <t>run_1716817766, run_1716817823, run_1716817865, run_1716817941</t>
  </si>
  <si>
    <t>run_1717665050, run_1717665116, run_1717665190, run_1717665263</t>
  </si>
  <si>
    <t>run_1717138355</t>
  </si>
  <si>
    <t>run_1717138541</t>
  </si>
  <si>
    <t>run_1717138603</t>
  </si>
  <si>
    <t>run_1717138664</t>
  </si>
  <si>
    <t>run_1717138731</t>
  </si>
  <si>
    <t>run_1717501695</t>
  </si>
  <si>
    <t>run_1717501765</t>
  </si>
  <si>
    <t>run_1717501828</t>
  </si>
  <si>
    <t>run_1717501895</t>
  </si>
  <si>
    <t>run_1717501971</t>
  </si>
  <si>
    <t>run_1717406317</t>
  </si>
  <si>
    <t>run_1717139975</t>
  </si>
  <si>
    <t>run_1717406703</t>
  </si>
  <si>
    <t>run_1717406958</t>
  </si>
  <si>
    <t>run_1717407213</t>
  </si>
  <si>
    <t>run_1717502423</t>
  </si>
  <si>
    <t>run_1717502729</t>
  </si>
  <si>
    <t>run_1717502982</t>
  </si>
  <si>
    <t>run_1717503235</t>
  </si>
  <si>
    <t>run_1717503404</t>
  </si>
  <si>
    <t>run_1717407417</t>
  </si>
  <si>
    <t>run_1717407957</t>
  </si>
  <si>
    <t>run_1717408332</t>
  </si>
  <si>
    <t>run_1717408508</t>
  </si>
  <si>
    <t>run_1717408670</t>
  </si>
  <si>
    <t>run_1717503629</t>
  </si>
  <si>
    <t>run_1717503762</t>
  </si>
  <si>
    <t>run_1717503931</t>
  </si>
  <si>
    <t>run_1717504154</t>
  </si>
  <si>
    <t>run_1717504322</t>
  </si>
  <si>
    <t>run_1717408848</t>
  </si>
  <si>
    <t>run_1717408964</t>
  </si>
  <si>
    <t>run_1717409072</t>
  </si>
  <si>
    <t>run_1717409193</t>
  </si>
  <si>
    <t>run_1717409309</t>
  </si>
  <si>
    <t>run_1717504791</t>
  </si>
  <si>
    <t>run_1717504965</t>
  </si>
  <si>
    <t>run_1717505100</t>
  </si>
  <si>
    <t>run_1717505233</t>
  </si>
  <si>
    <t>run_1717505348</t>
  </si>
  <si>
    <t>run_1717409441</t>
  </si>
  <si>
    <t>run_1717409546</t>
  </si>
  <si>
    <t>run_1717409658</t>
  </si>
  <si>
    <t>run_1717409786</t>
  </si>
  <si>
    <t>run_1717409908</t>
  </si>
  <si>
    <t>run_1717564215</t>
  </si>
  <si>
    <t>run_1717564356</t>
  </si>
  <si>
    <t>run_1717564492</t>
  </si>
  <si>
    <t>run_1717564621</t>
  </si>
  <si>
    <t>run_1717564729</t>
  </si>
  <si>
    <t>run_1717415110</t>
  </si>
  <si>
    <t>run_1717415292</t>
  </si>
  <si>
    <t>run_1717415428</t>
  </si>
  <si>
    <t>run_1717415545</t>
  </si>
  <si>
    <t>run_1717415697</t>
  </si>
  <si>
    <t>run_1717564954</t>
  </si>
  <si>
    <t>run_1717565061</t>
  </si>
  <si>
    <t>run_1717565193</t>
  </si>
  <si>
    <t>run_1717565317</t>
  </si>
  <si>
    <t>run_1717565433</t>
  </si>
  <si>
    <t>run_1717416012</t>
  </si>
  <si>
    <t>run_1717416105</t>
  </si>
  <si>
    <t>run_1717416167</t>
  </si>
  <si>
    <t>run_1717416232</t>
  </si>
  <si>
    <t>run_1717416307</t>
  </si>
  <si>
    <t>run_1717565536</t>
  </si>
  <si>
    <t>run_1717565635</t>
  </si>
  <si>
    <t>run_1717565785</t>
  </si>
  <si>
    <t>run_1717566087</t>
  </si>
  <si>
    <t>run_1717566176</t>
  </si>
  <si>
    <t>run_1717416443</t>
  </si>
  <si>
    <t>run_1717416509</t>
  </si>
  <si>
    <t>run_1717416564</t>
  </si>
  <si>
    <t>run_1717416620</t>
  </si>
  <si>
    <t>run_1717416709</t>
  </si>
  <si>
    <t>run_1717566309</t>
  </si>
  <si>
    <t>run_1717566394</t>
  </si>
  <si>
    <t>run_1717566473</t>
  </si>
  <si>
    <t>run_1717566554</t>
  </si>
  <si>
    <t>run_1717566652</t>
  </si>
  <si>
    <t>run_1717417320</t>
  </si>
  <si>
    <t>run_1717417485</t>
  </si>
  <si>
    <t>run_1717417746</t>
  </si>
  <si>
    <t>run_1717417922</t>
  </si>
  <si>
    <t>run_1717418088</t>
  </si>
  <si>
    <t>run_1717566874</t>
  </si>
  <si>
    <t>run_1717567014</t>
  </si>
  <si>
    <t>run_1717567189</t>
  </si>
  <si>
    <t>run_1717567325</t>
  </si>
  <si>
    <t>run_1717567433</t>
  </si>
  <si>
    <t>run_1718012407</t>
  </si>
  <si>
    <t>run_1718012677</t>
  </si>
  <si>
    <t>run_1718012818</t>
  </si>
  <si>
    <t>run_1718012933</t>
  </si>
  <si>
    <t>run_1718013075</t>
  </si>
  <si>
    <t>run_1718013198</t>
  </si>
  <si>
    <t>run_1718013405</t>
  </si>
  <si>
    <t>run_1718013515</t>
  </si>
  <si>
    <t>run_1718015548</t>
  </si>
  <si>
    <t>run_1718015683</t>
  </si>
  <si>
    <t>run_1718015827</t>
  </si>
  <si>
    <t>run_1718016071</t>
  </si>
  <si>
    <t>run_1718016233</t>
  </si>
  <si>
    <t>run_1718016422</t>
  </si>
  <si>
    <t>run_1718016622</t>
  </si>
  <si>
    <t>run_1718016816</t>
  </si>
  <si>
    <t>run_1718016990</t>
  </si>
  <si>
    <t>run_1718017193</t>
  </si>
  <si>
    <t>run_1718017378</t>
  </si>
  <si>
    <t>run_1718017578</t>
  </si>
  <si>
    <t>run_1718017927</t>
  </si>
  <si>
    <t>run_1718018649</t>
  </si>
  <si>
    <t>run_1718018080</t>
  </si>
  <si>
    <t>run_1718018368</t>
  </si>
  <si>
    <t>run_1718018945</t>
  </si>
  <si>
    <t>run_1718019183</t>
  </si>
  <si>
    <t>run_1718019506</t>
  </si>
  <si>
    <t>run_1718019886</t>
  </si>
  <si>
    <t>run_1718020177</t>
  </si>
  <si>
    <t>run_1718020311</t>
  </si>
  <si>
    <t>run_1717418781, run_1717418913, run_1717419024, run_1717419231, run_1717419352, run_1717419456, run_1717419579</t>
  </si>
  <si>
    <t>run_1717499737, run_1717499976, run_1717500214, run_1717500502, run_1717500761, run_1717500996, run_1717501150</t>
  </si>
  <si>
    <t>run_1717477806, run_1717477910, run_1717477993, run_1717478098, run_1717478182, run_1717478259, run_1717478360</t>
  </si>
  <si>
    <t>run_1717478611, run_1717478797, run_1717478954, run_1717479035, run_1717479130, run_1717479211, run_1717479314</t>
  </si>
  <si>
    <t>run_1717487739, run_1717487830, run_1717487923, run_1717488089, run_1717488270, run_1717488385, run_1717488549</t>
  </si>
  <si>
    <t>run_1717568372, run_1717568465, run_1717568546, run_1717568634, run_1717568722, run_1717568819, run_1717568923</t>
  </si>
  <si>
    <t>run_1717569173, run_1717569277, run_1717569442, run_1717569534, run_1717569639, run_1717569731, run_1717569822</t>
  </si>
  <si>
    <t>run_1717572268, run_1717572366, run_1717572461, run_1717572559, run_1717572658, run_1717572772, run_1717572876</t>
  </si>
  <si>
    <t>run_1717573211, run_1717573311, run_1717573422, run_1717573522, run_1717573618, run_1717573721, run_1717573810</t>
  </si>
  <si>
    <t>run_1717574274, run_1717574378, run_1717574556, run_1717574715, run_1717574834, run_1717574941, run_1717575056</t>
  </si>
  <si>
    <t>run_1717488934, run_1717489022, run_1717489098, run_1717489298, run_1717489403, run_1717489522</t>
  </si>
  <si>
    <t>run_1717489726, run_1717489810, run_1717489909, run_1717490093, run_1717490208, run_1717490327</t>
  </si>
  <si>
    <t>run_1717490590, run_1717490690, run_1717490810, run_1717490900, run_1717491008, run_1717491112</t>
  </si>
  <si>
    <t>run_1717491484, run_1717491616, run_1717491709, run_1717491912, run_1717492015, run_1717492173</t>
  </si>
  <si>
    <t>run_1717493488, run_1717493557, run_1717493637, run_1717493817, run_1717493910, run_1717493985</t>
  </si>
  <si>
    <t>run_1717575450, run_1717575567, run_1717575661, run_1717575835, run_1717575945, run_1717576059</t>
  </si>
  <si>
    <t>run_1717576262, run_1717576358, run_1717576447, run_1717576634, run_1717576737, run_1717576849</t>
  </si>
  <si>
    <t>run_1717577077, run_1717577174, run_1717577294, run_1717577501, run_1717577608, run_1717577709</t>
  </si>
  <si>
    <t>run_1717578596, run_1717578661, run_1717578748, run_1717578891, run_1717578985, run_1717579076</t>
  </si>
  <si>
    <t>run_1717579221, run_1717579284, run_1717579348, run_1717579529, run_1717579643, run_1717579716</t>
  </si>
  <si>
    <t>run_1717494172, run_1717494249, run_1717494326, run_1717494400</t>
  </si>
  <si>
    <t>run_1717494580, run_1717494653, run_1717494721, run_1717494791</t>
  </si>
  <si>
    <t>run_1717497824, run_1717497897, run_1717497967, run_1717498049</t>
  </si>
  <si>
    <t>run_1717498260, run_1717498335, run_1717498409, run_1717498484</t>
  </si>
  <si>
    <t>run_1717498730, run_1717498839, run_1717498958, run_1717499046</t>
  </si>
  <si>
    <t>run_1717580440, run_1717580502, run_1717580573, run_1717580639</t>
  </si>
  <si>
    <t>run_1717580810, run_1717580899, run_1717580960, run_1717581022</t>
  </si>
  <si>
    <t>run_1717584503, run_1717584573, run_1717584643, run_1717584706</t>
  </si>
  <si>
    <t>run_1717584868, run_1717584935, run_1717585003, run_1717585070</t>
  </si>
  <si>
    <t>run_1717585262, run_1717585347, run_1717585435, run_1717585506</t>
  </si>
  <si>
    <t>run_1715936347, run_1715936404, run_1715936464, run_1715936536, run_1715936607, run_1715936671, run_1715936777</t>
  </si>
  <si>
    <t>run_1715937398, run_1715937451, run_1715937504, run_1715937559, run_1715937616, run_1715937678, run_1715937737</t>
  </si>
  <si>
    <t>run_1715937894, run_1715937950, run_1715938011, run_1715938071, run_1715938124, run_1715938185, run_1715938245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</si>
</sst>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color rgb="FFA31515"/>
      <name val="Consolas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B5CEA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0" fillId="0" borderId="5" xfId="0" applyBorder="1"/>
    <xf numFmtId="1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5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0" fontId="0" fillId="3" borderId="0" xfId="0" applyFill="1"/>
    <xf numFmtId="0" fontId="5" fillId="3" borderId="0" xfId="0" applyFont="1" applyFill="1"/>
    <xf numFmtId="0" fontId="0" fillId="0" borderId="12" xfId="0" applyBorder="1"/>
    <xf numFmtId="0" fontId="6" fillId="0" borderId="0" xfId="0" applyFont="1"/>
    <xf numFmtId="0" fontId="0" fillId="0" borderId="6" xfId="0" applyBorder="1"/>
    <xf numFmtId="0" fontId="0" fillId="0" borderId="13" xfId="0" applyBorder="1"/>
    <xf numFmtId="9" fontId="2" fillId="0" borderId="7" xfId="1" applyFont="1" applyBorder="1"/>
    <xf numFmtId="0" fontId="0" fillId="0" borderId="8" xfId="0" applyBorder="1"/>
    <xf numFmtId="9" fontId="2" fillId="0" borderId="9" xfId="1" applyFont="1" applyBorder="1"/>
    <xf numFmtId="0" fontId="2" fillId="0" borderId="9" xfId="0" applyFont="1" applyBorder="1"/>
    <xf numFmtId="0" fontId="0" fillId="0" borderId="10" xfId="0" applyBorder="1"/>
    <xf numFmtId="10" fontId="2" fillId="0" borderId="11" xfId="1" applyNumberFormat="1" applyFont="1" applyBorder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5"/>
  <sheetViews>
    <sheetView tabSelected="1" topLeftCell="F243" workbookViewId="0">
      <selection activeCell="J260" sqref="J260"/>
    </sheetView>
  </sheetViews>
  <sheetFormatPr defaultRowHeight="15" x14ac:dyDescent="0.25"/>
  <cols>
    <col min="1" max="2" width="20.5703125" customWidth="1"/>
    <col min="3" max="3" width="23.5703125" customWidth="1"/>
    <col min="4" max="4" width="16.85546875" customWidth="1"/>
    <col min="5" max="5" width="23.42578125" customWidth="1"/>
    <col min="6" max="6" width="23" customWidth="1"/>
    <col min="7" max="7" width="22.5703125" customWidth="1"/>
    <col min="8" max="8" width="29.85546875" customWidth="1"/>
    <col min="9" max="9" width="27.85546875" customWidth="1"/>
    <col min="10" max="10" width="100.42578125" customWidth="1"/>
    <col min="11" max="11" width="106.85546875" customWidth="1"/>
    <col min="12" max="12" width="32.5703125" customWidth="1"/>
  </cols>
  <sheetData>
    <row r="1" spans="1:12" ht="18.75" x14ac:dyDescent="0.3">
      <c r="A1" s="15"/>
      <c r="B1" s="15"/>
      <c r="C1" s="15"/>
      <c r="D1" s="15"/>
      <c r="E1" s="15"/>
      <c r="F1" s="15"/>
      <c r="G1" s="16" t="s">
        <v>111</v>
      </c>
      <c r="H1" s="15"/>
      <c r="I1" s="15"/>
      <c r="J1" s="15"/>
      <c r="K1" s="15"/>
      <c r="L1" s="15"/>
    </row>
    <row r="2" spans="1:12" x14ac:dyDescent="0.25">
      <c r="A2" s="1"/>
    </row>
    <row r="3" spans="1:12" ht="15.75" x14ac:dyDescent="0.25">
      <c r="A3" s="18" t="s">
        <v>116</v>
      </c>
      <c r="B3" s="2"/>
    </row>
    <row r="4" spans="1:12" x14ac:dyDescent="0.25">
      <c r="B4" s="3" t="s">
        <v>0</v>
      </c>
    </row>
    <row r="5" spans="1:12" x14ac:dyDescent="0.25">
      <c r="B5" s="3" t="s">
        <v>1</v>
      </c>
    </row>
    <row r="6" spans="1:12" x14ac:dyDescent="0.25">
      <c r="B6" s="3" t="s">
        <v>2</v>
      </c>
    </row>
    <row r="7" spans="1:12" x14ac:dyDescent="0.25">
      <c r="A7" s="1" t="s">
        <v>3</v>
      </c>
    </row>
    <row r="9" spans="1:12" x14ac:dyDescent="0.25">
      <c r="A9" s="4" t="s">
        <v>4</v>
      </c>
      <c r="B9" s="5" t="s">
        <v>141</v>
      </c>
      <c r="C9" s="5" t="s">
        <v>140</v>
      </c>
      <c r="D9" s="5" t="s">
        <v>139</v>
      </c>
      <c r="E9" s="5" t="s">
        <v>5</v>
      </c>
      <c r="F9" s="5" t="s">
        <v>6</v>
      </c>
      <c r="G9" s="5" t="s">
        <v>7</v>
      </c>
      <c r="H9" s="5" t="s">
        <v>138</v>
      </c>
      <c r="I9" s="5" t="s">
        <v>8</v>
      </c>
      <c r="J9" s="5" t="s">
        <v>9</v>
      </c>
      <c r="K9" s="5" t="s">
        <v>143</v>
      </c>
    </row>
    <row r="10" spans="1:12" x14ac:dyDescent="0.25">
      <c r="A10" s="6">
        <v>1</v>
      </c>
      <c r="B10" t="s">
        <v>10</v>
      </c>
      <c r="C10" t="s">
        <v>10</v>
      </c>
      <c r="D10" t="s">
        <v>10</v>
      </c>
      <c r="E10">
        <v>9</v>
      </c>
      <c r="F10">
        <v>23.69</v>
      </c>
      <c r="G10">
        <v>9400</v>
      </c>
      <c r="H10">
        <v>0</v>
      </c>
      <c r="I10">
        <v>2</v>
      </c>
      <c r="K10" t="s">
        <v>145</v>
      </c>
    </row>
    <row r="11" spans="1:12" x14ac:dyDescent="0.25">
      <c r="A11" s="6">
        <v>2</v>
      </c>
      <c r="B11" t="s">
        <v>10</v>
      </c>
      <c r="C11" t="s">
        <v>10</v>
      </c>
      <c r="D11" t="s">
        <v>10</v>
      </c>
      <c r="E11">
        <v>9</v>
      </c>
      <c r="F11">
        <v>21.94</v>
      </c>
      <c r="G11">
        <v>9172</v>
      </c>
      <c r="H11">
        <v>0</v>
      </c>
      <c r="I11">
        <v>2</v>
      </c>
      <c r="K11" t="s">
        <v>146</v>
      </c>
    </row>
    <row r="12" spans="1:12" x14ac:dyDescent="0.25">
      <c r="A12" s="6">
        <v>3</v>
      </c>
      <c r="B12" t="s">
        <v>10</v>
      </c>
      <c r="C12" t="s">
        <v>10</v>
      </c>
      <c r="D12" t="s">
        <v>10</v>
      </c>
      <c r="E12">
        <v>9</v>
      </c>
      <c r="F12">
        <v>24.27</v>
      </c>
      <c r="G12">
        <v>9667</v>
      </c>
      <c r="H12">
        <v>0</v>
      </c>
      <c r="I12">
        <v>2</v>
      </c>
      <c r="K12" t="s">
        <v>147</v>
      </c>
    </row>
    <row r="13" spans="1:12" x14ac:dyDescent="0.25">
      <c r="A13" s="6">
        <v>4</v>
      </c>
      <c r="B13" t="s">
        <v>10</v>
      </c>
      <c r="C13" t="s">
        <v>10</v>
      </c>
      <c r="D13" t="s">
        <v>10</v>
      </c>
      <c r="E13">
        <v>9</v>
      </c>
      <c r="F13">
        <v>22.61</v>
      </c>
      <c r="G13">
        <v>9528</v>
      </c>
      <c r="H13">
        <v>0</v>
      </c>
      <c r="I13">
        <v>2</v>
      </c>
      <c r="K13" t="s">
        <v>148</v>
      </c>
    </row>
    <row r="14" spans="1:12" x14ac:dyDescent="0.25">
      <c r="A14" s="6">
        <v>5</v>
      </c>
      <c r="B14" t="s">
        <v>10</v>
      </c>
      <c r="C14" t="s">
        <v>10</v>
      </c>
      <c r="D14" t="s">
        <v>10</v>
      </c>
      <c r="E14">
        <v>9</v>
      </c>
      <c r="F14">
        <v>22.03</v>
      </c>
      <c r="G14">
        <v>9475</v>
      </c>
      <c r="H14">
        <v>0</v>
      </c>
      <c r="I14">
        <v>2</v>
      </c>
      <c r="K14" t="s">
        <v>149</v>
      </c>
    </row>
    <row r="15" spans="1:12" x14ac:dyDescent="0.25">
      <c r="A15" s="6">
        <v>6</v>
      </c>
      <c r="B15" t="s">
        <v>10</v>
      </c>
      <c r="C15" t="s">
        <v>10</v>
      </c>
      <c r="D15" t="s">
        <v>10</v>
      </c>
      <c r="E15">
        <v>9</v>
      </c>
      <c r="F15">
        <v>23.19</v>
      </c>
      <c r="G15">
        <v>9404</v>
      </c>
      <c r="H15">
        <v>0</v>
      </c>
      <c r="I15">
        <v>2</v>
      </c>
      <c r="K15" t="s">
        <v>150</v>
      </c>
    </row>
    <row r="16" spans="1:12" x14ac:dyDescent="0.25">
      <c r="A16" s="6">
        <v>7</v>
      </c>
      <c r="B16" t="s">
        <v>10</v>
      </c>
      <c r="C16" t="s">
        <v>10</v>
      </c>
      <c r="D16" t="s">
        <v>10</v>
      </c>
      <c r="E16">
        <v>9</v>
      </c>
      <c r="F16">
        <v>21.05</v>
      </c>
      <c r="G16">
        <v>8957</v>
      </c>
      <c r="H16">
        <v>0</v>
      </c>
      <c r="I16">
        <v>2</v>
      </c>
      <c r="K16" t="s">
        <v>151</v>
      </c>
    </row>
    <row r="17" spans="1:12" x14ac:dyDescent="0.25">
      <c r="A17" s="6">
        <v>8</v>
      </c>
      <c r="B17" t="s">
        <v>10</v>
      </c>
      <c r="C17" t="s">
        <v>10</v>
      </c>
      <c r="D17" t="s">
        <v>10</v>
      </c>
      <c r="E17">
        <v>9</v>
      </c>
      <c r="F17">
        <v>23.67</v>
      </c>
      <c r="G17">
        <v>9700</v>
      </c>
      <c r="H17">
        <v>0</v>
      </c>
      <c r="I17">
        <v>2</v>
      </c>
      <c r="K17" t="s">
        <v>152</v>
      </c>
    </row>
    <row r="18" spans="1:12" x14ac:dyDescent="0.25">
      <c r="A18" s="6">
        <v>9</v>
      </c>
      <c r="B18" t="s">
        <v>10</v>
      </c>
      <c r="C18" t="s">
        <v>10</v>
      </c>
      <c r="D18" t="s">
        <v>10</v>
      </c>
      <c r="E18">
        <v>13</v>
      </c>
      <c r="F18">
        <v>31.66</v>
      </c>
      <c r="G18">
        <v>15545</v>
      </c>
      <c r="H18">
        <v>0</v>
      </c>
      <c r="I18">
        <v>3</v>
      </c>
      <c r="K18" t="s">
        <v>153</v>
      </c>
    </row>
    <row r="19" spans="1:12" x14ac:dyDescent="0.25">
      <c r="A19" s="6">
        <v>10</v>
      </c>
      <c r="B19" t="s">
        <v>10</v>
      </c>
      <c r="C19" t="s">
        <v>10</v>
      </c>
      <c r="D19" t="s">
        <v>10</v>
      </c>
      <c r="E19">
        <v>9</v>
      </c>
      <c r="F19">
        <v>23.24</v>
      </c>
      <c r="G19">
        <v>9488</v>
      </c>
      <c r="H19">
        <v>0</v>
      </c>
      <c r="I19">
        <v>2</v>
      </c>
      <c r="K19" t="s">
        <v>154</v>
      </c>
    </row>
    <row r="20" spans="1:12" x14ac:dyDescent="0.25">
      <c r="A20" s="7" t="s">
        <v>11</v>
      </c>
      <c r="B20" s="8">
        <v>1</v>
      </c>
      <c r="C20" s="8">
        <v>1</v>
      </c>
      <c r="D20" s="8">
        <v>1</v>
      </c>
      <c r="E20" s="8">
        <f>SUM(E10:E19)/10</f>
        <v>9.4</v>
      </c>
      <c r="F20" s="8">
        <f t="shared" ref="F20:I20" si="0">SUM(F10:F19)/10</f>
        <v>23.735000000000007</v>
      </c>
      <c r="G20" s="8">
        <f t="shared" si="0"/>
        <v>10033.6</v>
      </c>
      <c r="H20" s="8">
        <f t="shared" si="0"/>
        <v>0</v>
      </c>
      <c r="I20" s="8">
        <f t="shared" si="0"/>
        <v>2.1</v>
      </c>
      <c r="J20" s="8"/>
      <c r="K20" s="8"/>
    </row>
    <row r="21" spans="1:12" x14ac:dyDescent="0.25">
      <c r="A21" s="9"/>
      <c r="E21" s="10"/>
      <c r="F21" s="10"/>
      <c r="G21" s="10"/>
      <c r="H21" s="10"/>
      <c r="I21" s="10"/>
    </row>
    <row r="22" spans="1:12" x14ac:dyDescent="0.25">
      <c r="A22" s="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15.75" x14ac:dyDescent="0.25">
      <c r="A25" s="18" t="s">
        <v>117</v>
      </c>
      <c r="B25" s="2"/>
    </row>
    <row r="26" spans="1:12" x14ac:dyDescent="0.25">
      <c r="B26" s="3" t="s">
        <v>12</v>
      </c>
    </row>
    <row r="27" spans="1:12" x14ac:dyDescent="0.25">
      <c r="B27" s="3" t="s">
        <v>13</v>
      </c>
    </row>
    <row r="28" spans="1:12" x14ac:dyDescent="0.25">
      <c r="B28" s="3" t="s">
        <v>14</v>
      </c>
    </row>
    <row r="29" spans="1:12" x14ac:dyDescent="0.25">
      <c r="A29" s="1" t="s">
        <v>3</v>
      </c>
    </row>
    <row r="31" spans="1:12" x14ac:dyDescent="0.25">
      <c r="A31" s="4" t="s">
        <v>4</v>
      </c>
      <c r="B31" s="5" t="s">
        <v>141</v>
      </c>
      <c r="C31" s="5" t="s">
        <v>140</v>
      </c>
      <c r="D31" s="5" t="s">
        <v>139</v>
      </c>
      <c r="E31" s="5" t="s">
        <v>5</v>
      </c>
      <c r="F31" s="5" t="s">
        <v>6</v>
      </c>
      <c r="G31" s="5" t="s">
        <v>7</v>
      </c>
      <c r="H31" s="5" t="s">
        <v>138</v>
      </c>
      <c r="I31" s="5" t="s">
        <v>8</v>
      </c>
      <c r="J31" s="5" t="s">
        <v>9</v>
      </c>
      <c r="K31" s="5" t="s">
        <v>143</v>
      </c>
    </row>
    <row r="32" spans="1:12" x14ac:dyDescent="0.25">
      <c r="A32" s="6">
        <v>1</v>
      </c>
      <c r="B32" t="s">
        <v>10</v>
      </c>
      <c r="C32" t="s">
        <v>10</v>
      </c>
      <c r="D32" t="s">
        <v>10</v>
      </c>
      <c r="E32">
        <v>13</v>
      </c>
      <c r="F32">
        <v>37.29</v>
      </c>
      <c r="G32">
        <v>18803</v>
      </c>
      <c r="H32">
        <v>0</v>
      </c>
      <c r="I32">
        <v>3</v>
      </c>
      <c r="K32" t="s">
        <v>155</v>
      </c>
    </row>
    <row r="33" spans="1:12" x14ac:dyDescent="0.25">
      <c r="A33" s="6">
        <v>2</v>
      </c>
      <c r="B33" t="s">
        <v>15</v>
      </c>
      <c r="C33" t="s">
        <v>15</v>
      </c>
      <c r="D33" t="s">
        <v>10</v>
      </c>
      <c r="E33">
        <v>17</v>
      </c>
      <c r="F33">
        <v>51.77</v>
      </c>
      <c r="G33">
        <v>29894</v>
      </c>
      <c r="H33">
        <v>0</v>
      </c>
      <c r="I33">
        <v>4</v>
      </c>
      <c r="J33" t="s">
        <v>16</v>
      </c>
      <c r="K33" t="s">
        <v>156</v>
      </c>
    </row>
    <row r="34" spans="1:12" x14ac:dyDescent="0.25">
      <c r="A34" s="6">
        <v>3</v>
      </c>
      <c r="B34" t="s">
        <v>10</v>
      </c>
      <c r="C34" t="s">
        <v>10</v>
      </c>
      <c r="D34" t="s">
        <v>10</v>
      </c>
      <c r="E34">
        <v>13</v>
      </c>
      <c r="F34">
        <v>41.17</v>
      </c>
      <c r="G34">
        <v>18903</v>
      </c>
      <c r="H34">
        <v>0</v>
      </c>
      <c r="I34">
        <v>3</v>
      </c>
      <c r="K34" t="s">
        <v>157</v>
      </c>
    </row>
    <row r="35" spans="1:12" x14ac:dyDescent="0.25">
      <c r="A35" s="6">
        <v>4</v>
      </c>
      <c r="B35" t="s">
        <v>10</v>
      </c>
      <c r="C35" t="s">
        <v>15</v>
      </c>
      <c r="D35" t="s">
        <v>15</v>
      </c>
      <c r="E35">
        <v>21</v>
      </c>
      <c r="F35">
        <v>63.37</v>
      </c>
      <c r="G35">
        <v>41744</v>
      </c>
      <c r="H35">
        <v>0</v>
      </c>
      <c r="I35">
        <v>5</v>
      </c>
      <c r="J35" t="s">
        <v>17</v>
      </c>
      <c r="K35" t="s">
        <v>158</v>
      </c>
    </row>
    <row r="36" spans="1:12" x14ac:dyDescent="0.25">
      <c r="A36" s="6">
        <v>5</v>
      </c>
      <c r="B36" t="s">
        <v>10</v>
      </c>
      <c r="C36" t="s">
        <v>10</v>
      </c>
      <c r="D36" t="s">
        <v>10</v>
      </c>
      <c r="E36">
        <v>17</v>
      </c>
      <c r="F36">
        <v>47.93</v>
      </c>
      <c r="G36">
        <v>28181</v>
      </c>
      <c r="H36">
        <v>0</v>
      </c>
      <c r="I36">
        <v>4</v>
      </c>
      <c r="K36" t="s">
        <v>159</v>
      </c>
    </row>
    <row r="37" spans="1:12" x14ac:dyDescent="0.25">
      <c r="A37" s="6">
        <v>6</v>
      </c>
      <c r="B37" t="s">
        <v>10</v>
      </c>
      <c r="C37" t="s">
        <v>10</v>
      </c>
      <c r="D37" t="s">
        <v>10</v>
      </c>
      <c r="E37">
        <v>13</v>
      </c>
      <c r="F37">
        <v>44.56</v>
      </c>
      <c r="G37">
        <v>18479</v>
      </c>
      <c r="H37">
        <v>0</v>
      </c>
      <c r="I37">
        <v>3</v>
      </c>
      <c r="K37" t="s">
        <v>160</v>
      </c>
    </row>
    <row r="38" spans="1:12" x14ac:dyDescent="0.25">
      <c r="A38" s="6">
        <v>7</v>
      </c>
      <c r="B38" t="s">
        <v>10</v>
      </c>
      <c r="C38" t="s">
        <v>10</v>
      </c>
      <c r="D38" t="s">
        <v>10</v>
      </c>
      <c r="E38">
        <v>13</v>
      </c>
      <c r="F38">
        <v>38.659999999999997</v>
      </c>
      <c r="G38">
        <v>18556</v>
      </c>
      <c r="H38">
        <v>0</v>
      </c>
      <c r="I38">
        <v>3</v>
      </c>
      <c r="K38" t="s">
        <v>161</v>
      </c>
    </row>
    <row r="39" spans="1:12" x14ac:dyDescent="0.25">
      <c r="A39" s="6">
        <v>8</v>
      </c>
      <c r="B39" t="s">
        <v>10</v>
      </c>
      <c r="C39" t="s">
        <v>10</v>
      </c>
      <c r="D39" t="s">
        <v>10</v>
      </c>
      <c r="E39">
        <v>25</v>
      </c>
      <c r="F39">
        <v>79.680000000000007</v>
      </c>
      <c r="G39">
        <v>56530</v>
      </c>
      <c r="H39">
        <v>0</v>
      </c>
      <c r="I39">
        <v>6</v>
      </c>
      <c r="K39" t="s">
        <v>162</v>
      </c>
    </row>
    <row r="40" spans="1:12" x14ac:dyDescent="0.25">
      <c r="A40" s="6">
        <v>9</v>
      </c>
      <c r="B40" t="s">
        <v>10</v>
      </c>
      <c r="C40" t="s">
        <v>10</v>
      </c>
      <c r="D40" t="s">
        <v>10</v>
      </c>
      <c r="E40">
        <v>13</v>
      </c>
      <c r="F40">
        <v>41.55</v>
      </c>
      <c r="G40">
        <v>19080</v>
      </c>
      <c r="H40">
        <v>0</v>
      </c>
      <c r="I40">
        <v>3</v>
      </c>
      <c r="K40" t="s">
        <v>163</v>
      </c>
    </row>
    <row r="41" spans="1:12" x14ac:dyDescent="0.25">
      <c r="A41" s="6">
        <v>10</v>
      </c>
      <c r="B41" t="s">
        <v>10</v>
      </c>
      <c r="C41" t="s">
        <v>15</v>
      </c>
      <c r="D41" t="s">
        <v>15</v>
      </c>
      <c r="E41">
        <v>21</v>
      </c>
      <c r="F41">
        <v>67.37</v>
      </c>
      <c r="G41">
        <v>41578</v>
      </c>
      <c r="H41">
        <v>0</v>
      </c>
      <c r="I41">
        <v>5</v>
      </c>
      <c r="J41" t="s">
        <v>17</v>
      </c>
      <c r="K41" t="s">
        <v>164</v>
      </c>
    </row>
    <row r="42" spans="1:12" x14ac:dyDescent="0.25">
      <c r="A42" s="7" t="s">
        <v>11</v>
      </c>
      <c r="B42" s="8">
        <v>0.9</v>
      </c>
      <c r="C42" s="8">
        <v>0.7</v>
      </c>
      <c r="D42" s="8">
        <f>8/10</f>
        <v>0.8</v>
      </c>
      <c r="E42" s="8">
        <f>SUM(E32:E41)/10</f>
        <v>16.600000000000001</v>
      </c>
      <c r="F42" s="8">
        <f>SUM(F32:F41)/10</f>
        <v>51.335000000000001</v>
      </c>
      <c r="G42" s="8">
        <f t="shared" ref="G42:I42" si="1">SUM(G32:G41)/10</f>
        <v>29174.799999999999</v>
      </c>
      <c r="H42" s="8">
        <f t="shared" si="1"/>
        <v>0</v>
      </c>
      <c r="I42" s="8">
        <f t="shared" si="1"/>
        <v>3.9</v>
      </c>
      <c r="J42" s="8"/>
      <c r="K42" s="8"/>
    </row>
    <row r="46" spans="1:12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ht="15.75" x14ac:dyDescent="0.25">
      <c r="A47" s="18" t="s">
        <v>118</v>
      </c>
      <c r="B47" s="2"/>
    </row>
    <row r="48" spans="1:12" x14ac:dyDescent="0.25">
      <c r="B48" s="3" t="s">
        <v>18</v>
      </c>
    </row>
    <row r="49" spans="1:11" x14ac:dyDescent="0.25">
      <c r="B49" s="3" t="s">
        <v>19</v>
      </c>
    </row>
    <row r="50" spans="1:11" x14ac:dyDescent="0.25">
      <c r="B50" s="3" t="s">
        <v>20</v>
      </c>
    </row>
    <row r="51" spans="1:11" x14ac:dyDescent="0.25">
      <c r="A51" s="1" t="s">
        <v>3</v>
      </c>
    </row>
    <row r="53" spans="1:11" x14ac:dyDescent="0.25">
      <c r="A53" s="4" t="s">
        <v>4</v>
      </c>
      <c r="B53" s="5" t="s">
        <v>141</v>
      </c>
      <c r="C53" s="5" t="s">
        <v>140</v>
      </c>
      <c r="D53" s="5" t="s">
        <v>139</v>
      </c>
      <c r="E53" s="5" t="s">
        <v>5</v>
      </c>
      <c r="F53" s="5" t="s">
        <v>6</v>
      </c>
      <c r="G53" s="5" t="s">
        <v>7</v>
      </c>
      <c r="H53" s="5" t="s">
        <v>138</v>
      </c>
      <c r="I53" s="5" t="s">
        <v>8</v>
      </c>
      <c r="J53" s="5" t="s">
        <v>9</v>
      </c>
      <c r="K53" s="5" t="s">
        <v>143</v>
      </c>
    </row>
    <row r="54" spans="1:11" x14ac:dyDescent="0.25">
      <c r="A54" s="6">
        <v>1</v>
      </c>
      <c r="B54" t="s">
        <v>10</v>
      </c>
      <c r="C54" t="s">
        <v>10</v>
      </c>
      <c r="D54" t="s">
        <v>10</v>
      </c>
      <c r="E54">
        <v>9</v>
      </c>
      <c r="F54">
        <v>31.71</v>
      </c>
      <c r="G54">
        <v>12336</v>
      </c>
      <c r="H54">
        <v>0</v>
      </c>
      <c r="I54">
        <v>2</v>
      </c>
      <c r="K54" t="s">
        <v>165</v>
      </c>
    </row>
    <row r="55" spans="1:11" x14ac:dyDescent="0.25">
      <c r="A55" s="6">
        <v>2</v>
      </c>
      <c r="B55" t="s">
        <v>10</v>
      </c>
      <c r="C55" t="s">
        <v>10</v>
      </c>
      <c r="D55" t="s">
        <v>10</v>
      </c>
      <c r="E55">
        <v>9</v>
      </c>
      <c r="F55">
        <v>27.54</v>
      </c>
      <c r="G55">
        <v>11679</v>
      </c>
      <c r="H55">
        <v>0</v>
      </c>
      <c r="I55">
        <v>2</v>
      </c>
      <c r="K55" t="s">
        <v>166</v>
      </c>
    </row>
    <row r="56" spans="1:11" x14ac:dyDescent="0.25">
      <c r="A56" s="6">
        <v>3</v>
      </c>
      <c r="B56" t="s">
        <v>10</v>
      </c>
      <c r="C56" t="s">
        <v>10</v>
      </c>
      <c r="D56" t="s">
        <v>10</v>
      </c>
      <c r="E56">
        <v>9</v>
      </c>
      <c r="F56">
        <v>25.53</v>
      </c>
      <c r="G56">
        <v>8418</v>
      </c>
      <c r="H56">
        <v>0</v>
      </c>
      <c r="I56">
        <v>2</v>
      </c>
      <c r="K56" t="s">
        <v>167</v>
      </c>
    </row>
    <row r="57" spans="1:11" x14ac:dyDescent="0.25">
      <c r="A57" s="6">
        <v>4</v>
      </c>
      <c r="B57" t="s">
        <v>10</v>
      </c>
      <c r="C57" t="s">
        <v>10</v>
      </c>
      <c r="D57" t="s">
        <v>10</v>
      </c>
      <c r="E57">
        <v>9</v>
      </c>
      <c r="F57">
        <v>29.75</v>
      </c>
      <c r="G57">
        <v>11840</v>
      </c>
      <c r="H57">
        <v>0</v>
      </c>
      <c r="I57">
        <v>2</v>
      </c>
      <c r="K57" t="s">
        <v>168</v>
      </c>
    </row>
    <row r="58" spans="1:11" x14ac:dyDescent="0.25">
      <c r="A58" s="6">
        <v>5</v>
      </c>
      <c r="B58" t="s">
        <v>10</v>
      </c>
      <c r="C58" t="s">
        <v>10</v>
      </c>
      <c r="D58" t="s">
        <v>10</v>
      </c>
      <c r="E58">
        <v>9</v>
      </c>
      <c r="F58">
        <v>30.98</v>
      </c>
      <c r="G58">
        <v>11665</v>
      </c>
      <c r="H58">
        <v>0</v>
      </c>
      <c r="I58">
        <v>2</v>
      </c>
      <c r="K58" t="s">
        <v>169</v>
      </c>
    </row>
    <row r="59" spans="1:11" x14ac:dyDescent="0.25">
      <c r="A59" s="6">
        <v>6</v>
      </c>
      <c r="B59" t="s">
        <v>10</v>
      </c>
      <c r="C59" t="s">
        <v>10</v>
      </c>
      <c r="D59" t="s">
        <v>10</v>
      </c>
      <c r="E59">
        <v>9</v>
      </c>
      <c r="F59">
        <v>28.35</v>
      </c>
      <c r="G59">
        <v>11868</v>
      </c>
      <c r="H59">
        <v>0</v>
      </c>
      <c r="I59">
        <v>2</v>
      </c>
      <c r="K59" t="s">
        <v>170</v>
      </c>
    </row>
    <row r="60" spans="1:11" x14ac:dyDescent="0.25">
      <c r="A60" s="6">
        <v>7</v>
      </c>
      <c r="B60" t="s">
        <v>10</v>
      </c>
      <c r="C60" t="s">
        <v>10</v>
      </c>
      <c r="D60" t="s">
        <v>10</v>
      </c>
      <c r="E60">
        <v>9</v>
      </c>
      <c r="F60">
        <v>27.62</v>
      </c>
      <c r="G60">
        <v>11745</v>
      </c>
      <c r="H60">
        <v>0</v>
      </c>
      <c r="I60">
        <v>2</v>
      </c>
      <c r="K60" t="s">
        <v>171</v>
      </c>
    </row>
    <row r="61" spans="1:11" x14ac:dyDescent="0.25">
      <c r="A61" s="6">
        <v>8</v>
      </c>
      <c r="B61" t="s">
        <v>10</v>
      </c>
      <c r="C61" t="s">
        <v>10</v>
      </c>
      <c r="D61" t="s">
        <v>10</v>
      </c>
      <c r="E61">
        <v>9</v>
      </c>
      <c r="F61">
        <v>29.38</v>
      </c>
      <c r="G61">
        <v>11959</v>
      </c>
      <c r="H61">
        <v>0</v>
      </c>
      <c r="I61">
        <v>2</v>
      </c>
      <c r="K61" t="s">
        <v>172</v>
      </c>
    </row>
    <row r="62" spans="1:11" x14ac:dyDescent="0.25">
      <c r="A62" s="6">
        <v>9</v>
      </c>
      <c r="B62" t="s">
        <v>10</v>
      </c>
      <c r="C62" t="s">
        <v>10</v>
      </c>
      <c r="D62" t="s">
        <v>10</v>
      </c>
      <c r="E62">
        <v>9</v>
      </c>
      <c r="F62">
        <v>28.73</v>
      </c>
      <c r="G62">
        <v>11471</v>
      </c>
      <c r="H62">
        <v>0</v>
      </c>
      <c r="I62">
        <v>2</v>
      </c>
      <c r="K62" t="s">
        <v>173</v>
      </c>
    </row>
    <row r="63" spans="1:11" x14ac:dyDescent="0.25">
      <c r="A63" s="6">
        <v>10</v>
      </c>
      <c r="B63" t="s">
        <v>10</v>
      </c>
      <c r="C63" t="s">
        <v>10</v>
      </c>
      <c r="D63" t="s">
        <v>10</v>
      </c>
      <c r="E63">
        <v>9</v>
      </c>
      <c r="F63">
        <v>25.97</v>
      </c>
      <c r="G63">
        <v>11771</v>
      </c>
      <c r="H63">
        <v>0</v>
      </c>
      <c r="I63">
        <v>2</v>
      </c>
      <c r="K63" t="s">
        <v>174</v>
      </c>
    </row>
    <row r="64" spans="1:11" x14ac:dyDescent="0.25">
      <c r="A64" s="7" t="s">
        <v>11</v>
      </c>
      <c r="B64" s="8">
        <v>1</v>
      </c>
      <c r="C64" s="8">
        <v>1</v>
      </c>
      <c r="D64" s="8">
        <v>1</v>
      </c>
      <c r="E64" s="8">
        <f>SUM(E54:E63)/10</f>
        <v>9</v>
      </c>
      <c r="F64" s="8">
        <f t="shared" ref="F64:I64" si="2">SUM(F54:F63)/10</f>
        <v>28.555999999999994</v>
      </c>
      <c r="G64" s="8">
        <f t="shared" si="2"/>
        <v>11475.2</v>
      </c>
      <c r="H64" s="8">
        <f t="shared" si="2"/>
        <v>0</v>
      </c>
      <c r="I64" s="8">
        <f t="shared" si="2"/>
        <v>2</v>
      </c>
      <c r="J64" s="8"/>
      <c r="K64" s="8"/>
    </row>
    <row r="68" spans="1:1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1:12" ht="15.75" x14ac:dyDescent="0.25">
      <c r="A69" s="18" t="s">
        <v>119</v>
      </c>
      <c r="B69" s="2"/>
    </row>
    <row r="70" spans="1:12" x14ac:dyDescent="0.25">
      <c r="B70" s="3" t="s">
        <v>21</v>
      </c>
    </row>
    <row r="71" spans="1:12" x14ac:dyDescent="0.25">
      <c r="B71" s="3" t="s">
        <v>22</v>
      </c>
    </row>
    <row r="72" spans="1:12" x14ac:dyDescent="0.25">
      <c r="B72" s="3" t="s">
        <v>23</v>
      </c>
    </row>
    <row r="73" spans="1:12" x14ac:dyDescent="0.25">
      <c r="A73" s="1" t="s">
        <v>3</v>
      </c>
    </row>
    <row r="75" spans="1:12" x14ac:dyDescent="0.25">
      <c r="A75" s="4" t="s">
        <v>4</v>
      </c>
      <c r="B75" s="5" t="s">
        <v>141</v>
      </c>
      <c r="C75" s="5" t="s">
        <v>140</v>
      </c>
      <c r="D75" s="5" t="s">
        <v>139</v>
      </c>
      <c r="E75" s="5" t="s">
        <v>5</v>
      </c>
      <c r="F75" s="5" t="s">
        <v>6</v>
      </c>
      <c r="G75" s="5" t="s">
        <v>7</v>
      </c>
      <c r="H75" s="5" t="s">
        <v>138</v>
      </c>
      <c r="I75" s="5" t="s">
        <v>8</v>
      </c>
      <c r="J75" s="5" t="s">
        <v>9</v>
      </c>
      <c r="K75" s="5" t="s">
        <v>143</v>
      </c>
    </row>
    <row r="76" spans="1:12" x14ac:dyDescent="0.25">
      <c r="A76" s="6">
        <v>1</v>
      </c>
      <c r="B76" t="s">
        <v>10</v>
      </c>
      <c r="C76" t="s">
        <v>15</v>
      </c>
      <c r="D76" t="s">
        <v>15</v>
      </c>
      <c r="E76">
        <v>17</v>
      </c>
      <c r="F76">
        <v>46.28</v>
      </c>
      <c r="G76">
        <v>22332</v>
      </c>
      <c r="H76">
        <v>1</v>
      </c>
      <c r="I76">
        <v>4</v>
      </c>
      <c r="J76" t="s">
        <v>24</v>
      </c>
      <c r="K76" t="s">
        <v>175</v>
      </c>
    </row>
    <row r="77" spans="1:12" x14ac:dyDescent="0.25">
      <c r="A77" s="6">
        <v>2</v>
      </c>
      <c r="B77" t="s">
        <v>10</v>
      </c>
      <c r="C77" t="s">
        <v>10</v>
      </c>
      <c r="D77" t="s">
        <v>10</v>
      </c>
      <c r="E77">
        <v>17</v>
      </c>
      <c r="F77">
        <v>42.43</v>
      </c>
      <c r="G77">
        <v>28025</v>
      </c>
      <c r="H77">
        <v>0</v>
      </c>
      <c r="I77">
        <v>4</v>
      </c>
      <c r="K77" t="s">
        <v>176</v>
      </c>
    </row>
    <row r="78" spans="1:12" x14ac:dyDescent="0.25">
      <c r="A78" s="6">
        <v>3</v>
      </c>
      <c r="B78" t="s">
        <v>10</v>
      </c>
      <c r="C78" t="s">
        <v>10</v>
      </c>
      <c r="D78" t="s">
        <v>10</v>
      </c>
      <c r="E78">
        <v>17</v>
      </c>
      <c r="F78">
        <v>51.32</v>
      </c>
      <c r="G78">
        <v>23087</v>
      </c>
      <c r="H78">
        <v>1</v>
      </c>
      <c r="I78">
        <v>4</v>
      </c>
      <c r="K78" t="s">
        <v>177</v>
      </c>
    </row>
    <row r="79" spans="1:12" x14ac:dyDescent="0.25">
      <c r="A79" s="6">
        <v>4</v>
      </c>
      <c r="B79" t="s">
        <v>10</v>
      </c>
      <c r="C79" t="s">
        <v>10</v>
      </c>
      <c r="D79" t="s">
        <v>10</v>
      </c>
      <c r="E79">
        <v>13</v>
      </c>
      <c r="F79">
        <v>38.04</v>
      </c>
      <c r="G79">
        <v>19374</v>
      </c>
      <c r="H79">
        <v>0</v>
      </c>
      <c r="I79">
        <v>3</v>
      </c>
      <c r="K79" t="s">
        <v>178</v>
      </c>
    </row>
    <row r="80" spans="1:12" x14ac:dyDescent="0.25">
      <c r="A80" s="6">
        <v>5</v>
      </c>
      <c r="B80" t="s">
        <v>10</v>
      </c>
      <c r="C80" t="s">
        <v>10</v>
      </c>
      <c r="D80" t="s">
        <v>10</v>
      </c>
      <c r="E80">
        <v>13</v>
      </c>
      <c r="F80">
        <v>38.119999999999997</v>
      </c>
      <c r="G80">
        <v>19076</v>
      </c>
      <c r="H80">
        <v>0</v>
      </c>
      <c r="I80">
        <v>3</v>
      </c>
      <c r="K80" t="s">
        <v>179</v>
      </c>
    </row>
    <row r="81" spans="1:12" x14ac:dyDescent="0.25">
      <c r="A81" s="6">
        <v>6</v>
      </c>
      <c r="B81" t="s">
        <v>10</v>
      </c>
      <c r="C81" t="s">
        <v>15</v>
      </c>
      <c r="D81" t="s">
        <v>15</v>
      </c>
      <c r="E81">
        <v>9</v>
      </c>
      <c r="F81">
        <v>23.08</v>
      </c>
      <c r="G81">
        <v>11375</v>
      </c>
      <c r="H81">
        <v>0</v>
      </c>
      <c r="I81">
        <v>2</v>
      </c>
      <c r="J81" t="s">
        <v>24</v>
      </c>
      <c r="K81" t="s">
        <v>180</v>
      </c>
    </row>
    <row r="82" spans="1:12" x14ac:dyDescent="0.25">
      <c r="A82" s="6">
        <v>7</v>
      </c>
      <c r="B82" t="s">
        <v>10</v>
      </c>
      <c r="C82" t="s">
        <v>10</v>
      </c>
      <c r="D82" t="s">
        <v>10</v>
      </c>
      <c r="E82">
        <v>17</v>
      </c>
      <c r="F82">
        <v>41.19</v>
      </c>
      <c r="G82">
        <v>27920</v>
      </c>
      <c r="H82">
        <v>0</v>
      </c>
      <c r="I82">
        <v>4</v>
      </c>
      <c r="K82" t="s">
        <v>181</v>
      </c>
    </row>
    <row r="83" spans="1:12" x14ac:dyDescent="0.25">
      <c r="A83" s="6">
        <v>8</v>
      </c>
      <c r="B83" t="s">
        <v>10</v>
      </c>
      <c r="C83" t="s">
        <v>10</v>
      </c>
      <c r="D83" t="s">
        <v>10</v>
      </c>
      <c r="E83">
        <v>13</v>
      </c>
      <c r="F83">
        <v>34.01</v>
      </c>
      <c r="G83">
        <v>19137</v>
      </c>
      <c r="H83">
        <v>0</v>
      </c>
      <c r="I83">
        <v>3</v>
      </c>
      <c r="K83" t="s">
        <v>182</v>
      </c>
    </row>
    <row r="84" spans="1:12" x14ac:dyDescent="0.25">
      <c r="A84" s="6">
        <v>9</v>
      </c>
      <c r="B84" t="s">
        <v>10</v>
      </c>
      <c r="C84" t="s">
        <v>10</v>
      </c>
      <c r="D84" t="s">
        <v>10</v>
      </c>
      <c r="E84">
        <v>13</v>
      </c>
      <c r="F84">
        <v>33.78</v>
      </c>
      <c r="G84">
        <v>19021</v>
      </c>
      <c r="H84">
        <v>0</v>
      </c>
      <c r="I84">
        <v>3</v>
      </c>
      <c r="K84" t="s">
        <v>183</v>
      </c>
    </row>
    <row r="85" spans="1:12" x14ac:dyDescent="0.25">
      <c r="A85" s="6">
        <v>10</v>
      </c>
      <c r="B85" t="s">
        <v>10</v>
      </c>
      <c r="C85" t="s">
        <v>15</v>
      </c>
      <c r="D85" t="s">
        <v>15</v>
      </c>
      <c r="E85">
        <v>9</v>
      </c>
      <c r="F85">
        <v>19.989999999999998</v>
      </c>
      <c r="G85">
        <v>10603</v>
      </c>
      <c r="H85">
        <v>0</v>
      </c>
      <c r="I85">
        <v>2</v>
      </c>
      <c r="J85" t="s">
        <v>25</v>
      </c>
      <c r="K85" t="s">
        <v>184</v>
      </c>
    </row>
    <row r="86" spans="1:12" x14ac:dyDescent="0.25">
      <c r="A86" s="7" t="s">
        <v>11</v>
      </c>
      <c r="B86" s="8">
        <v>1</v>
      </c>
      <c r="C86" s="8">
        <v>0.7</v>
      </c>
      <c r="D86" s="8">
        <f>7/10</f>
        <v>0.7</v>
      </c>
      <c r="E86" s="8">
        <f>SUM(E76:E85)/10</f>
        <v>13.8</v>
      </c>
      <c r="F86" s="8">
        <f t="shared" ref="F86:I86" si="3">SUM(F76:F85)/10</f>
        <v>36.823999999999998</v>
      </c>
      <c r="G86" s="8">
        <f t="shared" si="3"/>
        <v>19995</v>
      </c>
      <c r="H86" s="8">
        <f t="shared" si="3"/>
        <v>0.2</v>
      </c>
      <c r="I86" s="8">
        <f t="shared" si="3"/>
        <v>3.2</v>
      </c>
      <c r="J86" s="8"/>
      <c r="K86" s="8"/>
    </row>
    <row r="90" spans="1:1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 ht="15.75" x14ac:dyDescent="0.25">
      <c r="A91" s="18" t="s">
        <v>120</v>
      </c>
      <c r="B91" s="2"/>
    </row>
    <row r="92" spans="1:12" x14ac:dyDescent="0.25">
      <c r="B92" s="3" t="s">
        <v>26</v>
      </c>
    </row>
    <row r="93" spans="1:12" x14ac:dyDescent="0.25">
      <c r="B93" s="3" t="s">
        <v>27</v>
      </c>
    </row>
    <row r="94" spans="1:12" x14ac:dyDescent="0.25">
      <c r="B94" s="3" t="s">
        <v>28</v>
      </c>
    </row>
    <row r="95" spans="1:12" x14ac:dyDescent="0.25">
      <c r="A95" s="1" t="s">
        <v>3</v>
      </c>
    </row>
    <row r="97" spans="1:12" x14ac:dyDescent="0.25">
      <c r="A97" s="4" t="s">
        <v>4</v>
      </c>
      <c r="B97" s="5" t="s">
        <v>141</v>
      </c>
      <c r="C97" s="5" t="s">
        <v>140</v>
      </c>
      <c r="D97" s="5" t="s">
        <v>139</v>
      </c>
      <c r="E97" s="5" t="s">
        <v>5</v>
      </c>
      <c r="F97" s="5" t="s">
        <v>6</v>
      </c>
      <c r="G97" s="5" t="s">
        <v>7</v>
      </c>
      <c r="H97" s="5" t="s">
        <v>138</v>
      </c>
      <c r="I97" s="5" t="s">
        <v>8</v>
      </c>
      <c r="J97" s="5" t="s">
        <v>9</v>
      </c>
      <c r="K97" s="5" t="s">
        <v>143</v>
      </c>
    </row>
    <row r="98" spans="1:12" x14ac:dyDescent="0.25">
      <c r="A98" s="6">
        <v>1</v>
      </c>
      <c r="B98" t="s">
        <v>10</v>
      </c>
      <c r="C98" t="s">
        <v>10</v>
      </c>
      <c r="D98" t="s">
        <v>10</v>
      </c>
      <c r="E98">
        <v>13</v>
      </c>
      <c r="F98">
        <v>36.49</v>
      </c>
      <c r="G98">
        <v>19219</v>
      </c>
      <c r="H98">
        <v>0</v>
      </c>
      <c r="I98">
        <v>3</v>
      </c>
      <c r="K98" t="s">
        <v>185</v>
      </c>
    </row>
    <row r="99" spans="1:12" x14ac:dyDescent="0.25">
      <c r="A99" s="6">
        <v>2</v>
      </c>
      <c r="B99" t="s">
        <v>10</v>
      </c>
      <c r="C99" t="s">
        <v>10</v>
      </c>
      <c r="D99" t="s">
        <v>10</v>
      </c>
      <c r="E99">
        <v>9</v>
      </c>
      <c r="F99">
        <v>24.31</v>
      </c>
      <c r="G99">
        <v>11576</v>
      </c>
      <c r="H99">
        <v>0</v>
      </c>
      <c r="I99">
        <v>2</v>
      </c>
      <c r="K99" t="s">
        <v>186</v>
      </c>
    </row>
    <row r="100" spans="1:12" x14ac:dyDescent="0.25">
      <c r="A100" s="6">
        <v>3</v>
      </c>
      <c r="B100" t="s">
        <v>10</v>
      </c>
      <c r="C100" t="s">
        <v>10</v>
      </c>
      <c r="D100" t="s">
        <v>10</v>
      </c>
      <c r="E100">
        <v>13</v>
      </c>
      <c r="F100">
        <v>36.94</v>
      </c>
      <c r="G100">
        <v>19700</v>
      </c>
      <c r="H100">
        <v>0</v>
      </c>
      <c r="I100">
        <v>3</v>
      </c>
      <c r="K100" t="s">
        <v>187</v>
      </c>
    </row>
    <row r="101" spans="1:12" x14ac:dyDescent="0.25">
      <c r="A101" s="6">
        <v>4</v>
      </c>
      <c r="B101" t="s">
        <v>10</v>
      </c>
      <c r="C101" t="s">
        <v>10</v>
      </c>
      <c r="D101" t="s">
        <v>10</v>
      </c>
      <c r="E101">
        <v>13</v>
      </c>
      <c r="F101">
        <v>34.549999999999997</v>
      </c>
      <c r="G101">
        <v>19033</v>
      </c>
      <c r="H101">
        <v>0</v>
      </c>
      <c r="I101">
        <v>3</v>
      </c>
      <c r="K101" t="s">
        <v>188</v>
      </c>
    </row>
    <row r="102" spans="1:12" x14ac:dyDescent="0.25">
      <c r="A102" s="6">
        <v>5</v>
      </c>
      <c r="B102" t="s">
        <v>10</v>
      </c>
      <c r="C102" t="s">
        <v>10</v>
      </c>
      <c r="D102" t="s">
        <v>10</v>
      </c>
      <c r="E102">
        <v>13</v>
      </c>
      <c r="F102">
        <v>34.700000000000003</v>
      </c>
      <c r="G102">
        <v>19434</v>
      </c>
      <c r="H102">
        <v>0</v>
      </c>
      <c r="I102">
        <v>3</v>
      </c>
      <c r="K102" t="s">
        <v>189</v>
      </c>
    </row>
    <row r="103" spans="1:12" x14ac:dyDescent="0.25">
      <c r="A103" s="6">
        <v>6</v>
      </c>
      <c r="B103" t="s">
        <v>10</v>
      </c>
      <c r="C103" t="s">
        <v>15</v>
      </c>
      <c r="D103" t="s">
        <v>15</v>
      </c>
      <c r="E103">
        <v>9</v>
      </c>
      <c r="F103">
        <v>21.19</v>
      </c>
      <c r="G103">
        <v>10664</v>
      </c>
      <c r="H103">
        <v>0</v>
      </c>
      <c r="I103">
        <v>2</v>
      </c>
      <c r="J103" t="s">
        <v>29</v>
      </c>
      <c r="K103" t="s">
        <v>190</v>
      </c>
    </row>
    <row r="104" spans="1:12" x14ac:dyDescent="0.25">
      <c r="A104" s="6">
        <v>7</v>
      </c>
      <c r="B104" t="s">
        <v>10</v>
      </c>
      <c r="C104" t="s">
        <v>10</v>
      </c>
      <c r="D104" t="s">
        <v>10</v>
      </c>
      <c r="E104">
        <v>9</v>
      </c>
      <c r="F104">
        <v>21.5</v>
      </c>
      <c r="G104">
        <v>11473</v>
      </c>
      <c r="H104">
        <v>0</v>
      </c>
      <c r="I104">
        <v>2</v>
      </c>
      <c r="K104" t="s">
        <v>191</v>
      </c>
    </row>
    <row r="105" spans="1:12" x14ac:dyDescent="0.25">
      <c r="A105" s="6">
        <v>8</v>
      </c>
      <c r="B105" t="s">
        <v>10</v>
      </c>
      <c r="C105" t="s">
        <v>10</v>
      </c>
      <c r="D105" t="s">
        <v>10</v>
      </c>
      <c r="E105">
        <v>13</v>
      </c>
      <c r="F105">
        <v>31.97</v>
      </c>
      <c r="G105">
        <v>19132</v>
      </c>
      <c r="H105">
        <v>0</v>
      </c>
      <c r="I105">
        <v>3</v>
      </c>
      <c r="K105" t="s">
        <v>192</v>
      </c>
    </row>
    <row r="106" spans="1:12" x14ac:dyDescent="0.25">
      <c r="A106" s="6">
        <v>9</v>
      </c>
      <c r="B106" t="s">
        <v>10</v>
      </c>
      <c r="C106" t="s">
        <v>10</v>
      </c>
      <c r="D106" t="s">
        <v>10</v>
      </c>
      <c r="E106">
        <v>9</v>
      </c>
      <c r="F106">
        <v>21.31</v>
      </c>
      <c r="G106">
        <v>10603</v>
      </c>
      <c r="H106">
        <v>0</v>
      </c>
      <c r="I106">
        <v>2</v>
      </c>
      <c r="K106" t="s">
        <v>193</v>
      </c>
    </row>
    <row r="107" spans="1:12" x14ac:dyDescent="0.25">
      <c r="A107" s="6">
        <v>10</v>
      </c>
      <c r="B107" t="s">
        <v>10</v>
      </c>
      <c r="C107" t="s">
        <v>10</v>
      </c>
      <c r="D107" t="s">
        <v>10</v>
      </c>
      <c r="E107">
        <v>17</v>
      </c>
      <c r="F107">
        <v>41.56</v>
      </c>
      <c r="G107">
        <v>29130</v>
      </c>
      <c r="H107">
        <v>0</v>
      </c>
      <c r="I107">
        <v>4</v>
      </c>
      <c r="K107" t="s">
        <v>194</v>
      </c>
    </row>
    <row r="108" spans="1:12" x14ac:dyDescent="0.25">
      <c r="A108" s="7" t="s">
        <v>11</v>
      </c>
      <c r="B108" s="8">
        <v>1</v>
      </c>
      <c r="C108" s="8">
        <f>9/10</f>
        <v>0.9</v>
      </c>
      <c r="D108" s="8">
        <f>9/10</f>
        <v>0.9</v>
      </c>
      <c r="E108" s="8">
        <f>SUM(E98:E107)/10</f>
        <v>11.8</v>
      </c>
      <c r="F108" s="8">
        <f t="shared" ref="F108:I108" si="4">SUM(F98:F107)/10</f>
        <v>30.451999999999998</v>
      </c>
      <c r="G108" s="8">
        <f t="shared" si="4"/>
        <v>16996.400000000001</v>
      </c>
      <c r="H108" s="8">
        <f t="shared" si="4"/>
        <v>0</v>
      </c>
      <c r="I108" s="8">
        <f t="shared" si="4"/>
        <v>2.7</v>
      </c>
      <c r="J108" s="8"/>
      <c r="K108" s="8"/>
    </row>
    <row r="112" spans="1:12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1:11" ht="15.75" x14ac:dyDescent="0.25">
      <c r="A113" s="18" t="s">
        <v>121</v>
      </c>
      <c r="B113" s="2"/>
    </row>
    <row r="114" spans="1:11" x14ac:dyDescent="0.25">
      <c r="B114" s="3" t="s">
        <v>30</v>
      </c>
    </row>
    <row r="115" spans="1:11" x14ac:dyDescent="0.25">
      <c r="B115" s="3" t="s">
        <v>31</v>
      </c>
    </row>
    <row r="116" spans="1:11" x14ac:dyDescent="0.25">
      <c r="B116" s="3" t="s">
        <v>32</v>
      </c>
    </row>
    <row r="117" spans="1:11" x14ac:dyDescent="0.25">
      <c r="A117" s="1" t="s">
        <v>3</v>
      </c>
    </row>
    <row r="119" spans="1:11" x14ac:dyDescent="0.25">
      <c r="A119" s="4" t="s">
        <v>4</v>
      </c>
      <c r="B119" s="5" t="s">
        <v>141</v>
      </c>
      <c r="C119" s="5" t="s">
        <v>140</v>
      </c>
      <c r="D119" s="5" t="s">
        <v>139</v>
      </c>
      <c r="E119" s="5" t="s">
        <v>5</v>
      </c>
      <c r="F119" s="5" t="s">
        <v>6</v>
      </c>
      <c r="G119" s="5" t="s">
        <v>7</v>
      </c>
      <c r="H119" s="5" t="s">
        <v>138</v>
      </c>
      <c r="I119" s="5" t="s">
        <v>8</v>
      </c>
      <c r="J119" s="5" t="s">
        <v>9</v>
      </c>
      <c r="K119" s="5" t="s">
        <v>143</v>
      </c>
    </row>
    <row r="120" spans="1:11" x14ac:dyDescent="0.25">
      <c r="A120" s="6">
        <v>1</v>
      </c>
      <c r="B120" t="s">
        <v>10</v>
      </c>
      <c r="C120" t="s">
        <v>10</v>
      </c>
      <c r="D120" t="s">
        <v>10</v>
      </c>
      <c r="E120">
        <v>13</v>
      </c>
      <c r="F120">
        <v>34.28</v>
      </c>
      <c r="G120">
        <v>18098</v>
      </c>
      <c r="H120">
        <v>0</v>
      </c>
      <c r="I120">
        <v>3</v>
      </c>
      <c r="K120" t="s">
        <v>195</v>
      </c>
    </row>
    <row r="121" spans="1:11" x14ac:dyDescent="0.25">
      <c r="A121" s="6">
        <v>2</v>
      </c>
      <c r="B121" t="s">
        <v>10</v>
      </c>
      <c r="C121" t="s">
        <v>10</v>
      </c>
      <c r="D121" t="s">
        <v>10</v>
      </c>
      <c r="E121">
        <v>13</v>
      </c>
      <c r="F121">
        <v>37.49</v>
      </c>
      <c r="G121">
        <v>18055</v>
      </c>
      <c r="H121">
        <v>0</v>
      </c>
      <c r="I121">
        <v>3</v>
      </c>
      <c r="K121" t="s">
        <v>196</v>
      </c>
    </row>
    <row r="122" spans="1:11" x14ac:dyDescent="0.25">
      <c r="A122" s="6">
        <v>3</v>
      </c>
      <c r="B122" t="s">
        <v>10</v>
      </c>
      <c r="C122" t="s">
        <v>15</v>
      </c>
      <c r="D122" t="s">
        <v>15</v>
      </c>
      <c r="E122">
        <v>9</v>
      </c>
      <c r="F122">
        <v>29.91</v>
      </c>
      <c r="G122">
        <v>11318</v>
      </c>
      <c r="H122">
        <v>0</v>
      </c>
      <c r="I122">
        <v>2</v>
      </c>
      <c r="J122" t="s">
        <v>33</v>
      </c>
      <c r="K122" t="s">
        <v>197</v>
      </c>
    </row>
    <row r="123" spans="1:11" x14ac:dyDescent="0.25">
      <c r="A123" s="6">
        <v>4</v>
      </c>
      <c r="B123" t="s">
        <v>10</v>
      </c>
      <c r="C123" t="s">
        <v>15</v>
      </c>
      <c r="D123" t="s">
        <v>15</v>
      </c>
      <c r="E123">
        <v>9</v>
      </c>
      <c r="F123">
        <v>26.6</v>
      </c>
      <c r="G123">
        <v>10771</v>
      </c>
      <c r="H123">
        <v>0</v>
      </c>
      <c r="I123">
        <v>2</v>
      </c>
      <c r="J123" t="s">
        <v>34</v>
      </c>
      <c r="K123" t="s">
        <v>198</v>
      </c>
    </row>
    <row r="124" spans="1:11" x14ac:dyDescent="0.25">
      <c r="A124" s="6">
        <v>5</v>
      </c>
      <c r="B124" t="s">
        <v>10</v>
      </c>
      <c r="C124" t="s">
        <v>10</v>
      </c>
      <c r="D124" t="s">
        <v>10</v>
      </c>
      <c r="E124">
        <v>9</v>
      </c>
      <c r="F124">
        <v>23.44</v>
      </c>
      <c r="G124">
        <v>10669</v>
      </c>
      <c r="H124">
        <v>0</v>
      </c>
      <c r="I124">
        <v>2</v>
      </c>
      <c r="K124" t="s">
        <v>199</v>
      </c>
    </row>
    <row r="125" spans="1:11" x14ac:dyDescent="0.25">
      <c r="A125" s="6">
        <v>6</v>
      </c>
      <c r="B125" t="s">
        <v>10</v>
      </c>
      <c r="C125" t="s">
        <v>15</v>
      </c>
      <c r="D125" t="s">
        <v>15</v>
      </c>
      <c r="E125">
        <v>9</v>
      </c>
      <c r="F125">
        <v>20.8</v>
      </c>
      <c r="G125">
        <v>10653</v>
      </c>
      <c r="H125">
        <v>0</v>
      </c>
      <c r="I125">
        <v>2</v>
      </c>
      <c r="J125" t="s">
        <v>33</v>
      </c>
      <c r="K125" t="s">
        <v>200</v>
      </c>
    </row>
    <row r="126" spans="1:11" x14ac:dyDescent="0.25">
      <c r="A126" s="6">
        <v>7</v>
      </c>
      <c r="B126" t="s">
        <v>10</v>
      </c>
      <c r="C126" t="s">
        <v>10</v>
      </c>
      <c r="D126" t="s">
        <v>10</v>
      </c>
      <c r="E126">
        <v>21</v>
      </c>
      <c r="F126">
        <v>54.77</v>
      </c>
      <c r="G126">
        <v>32916</v>
      </c>
      <c r="H126">
        <v>1</v>
      </c>
      <c r="I126">
        <v>5</v>
      </c>
      <c r="K126" t="s">
        <v>201</v>
      </c>
    </row>
    <row r="127" spans="1:11" x14ac:dyDescent="0.25">
      <c r="A127" s="6">
        <v>8</v>
      </c>
      <c r="B127" t="s">
        <v>10</v>
      </c>
      <c r="C127" t="s">
        <v>10</v>
      </c>
      <c r="D127" t="s">
        <v>10</v>
      </c>
      <c r="E127">
        <v>13</v>
      </c>
      <c r="F127">
        <v>28.88</v>
      </c>
      <c r="G127">
        <v>17980</v>
      </c>
      <c r="H127">
        <v>0</v>
      </c>
      <c r="I127">
        <v>3</v>
      </c>
      <c r="K127" t="s">
        <v>202</v>
      </c>
    </row>
    <row r="128" spans="1:11" x14ac:dyDescent="0.25">
      <c r="A128" s="6">
        <v>9</v>
      </c>
      <c r="B128" t="s">
        <v>10</v>
      </c>
      <c r="C128" t="s">
        <v>10</v>
      </c>
      <c r="D128" t="s">
        <v>10</v>
      </c>
      <c r="E128">
        <v>9</v>
      </c>
      <c r="F128">
        <v>22.61</v>
      </c>
      <c r="G128">
        <v>10655</v>
      </c>
      <c r="H128">
        <v>0</v>
      </c>
      <c r="I128">
        <v>2</v>
      </c>
      <c r="K128" t="s">
        <v>203</v>
      </c>
    </row>
    <row r="129" spans="1:12" x14ac:dyDescent="0.25">
      <c r="A129" s="6">
        <v>10</v>
      </c>
      <c r="B129" t="s">
        <v>10</v>
      </c>
      <c r="C129" t="s">
        <v>10</v>
      </c>
      <c r="D129" t="s">
        <v>10</v>
      </c>
      <c r="E129">
        <v>9</v>
      </c>
      <c r="F129">
        <v>19.93</v>
      </c>
      <c r="G129">
        <v>10804</v>
      </c>
      <c r="H129">
        <v>0</v>
      </c>
      <c r="I129">
        <v>2</v>
      </c>
      <c r="K129" t="s">
        <v>204</v>
      </c>
    </row>
    <row r="130" spans="1:12" x14ac:dyDescent="0.25">
      <c r="A130" s="7" t="s">
        <v>11</v>
      </c>
      <c r="B130" s="8">
        <f>10/10</f>
        <v>1</v>
      </c>
      <c r="C130" s="8">
        <f>7/10</f>
        <v>0.7</v>
      </c>
      <c r="D130" s="8">
        <f>7/10</f>
        <v>0.7</v>
      </c>
      <c r="E130" s="12">
        <f>AVERAGE(E120:E129)</f>
        <v>11.4</v>
      </c>
      <c r="F130" s="12">
        <f t="shared" ref="F130:I130" si="5">AVERAGE(F120:F129)</f>
        <v>29.871000000000002</v>
      </c>
      <c r="G130" s="12">
        <f t="shared" si="5"/>
        <v>15191.9</v>
      </c>
      <c r="H130" s="8">
        <f t="shared" si="5"/>
        <v>0.1</v>
      </c>
      <c r="I130" s="12">
        <f t="shared" si="5"/>
        <v>2.6</v>
      </c>
      <c r="J130" s="8"/>
      <c r="K130" s="8"/>
    </row>
    <row r="134" spans="1:12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spans="1:12" ht="15.75" x14ac:dyDescent="0.25">
      <c r="A135" s="18" t="s">
        <v>122</v>
      </c>
      <c r="B135" s="2"/>
    </row>
    <row r="136" spans="1:12" x14ac:dyDescent="0.25">
      <c r="B136" s="3" t="s">
        <v>35</v>
      </c>
    </row>
    <row r="137" spans="1:12" x14ac:dyDescent="0.25">
      <c r="B137" s="3" t="s">
        <v>36</v>
      </c>
    </row>
    <row r="138" spans="1:12" x14ac:dyDescent="0.25">
      <c r="B138" s="3" t="s">
        <v>37</v>
      </c>
    </row>
    <row r="139" spans="1:12" x14ac:dyDescent="0.25">
      <c r="A139" s="1" t="s">
        <v>3</v>
      </c>
    </row>
    <row r="141" spans="1:12" x14ac:dyDescent="0.25">
      <c r="A141" s="4" t="s">
        <v>4</v>
      </c>
      <c r="B141" s="5" t="s">
        <v>141</v>
      </c>
      <c r="C141" s="5" t="s">
        <v>140</v>
      </c>
      <c r="D141" s="5" t="s">
        <v>139</v>
      </c>
      <c r="E141" s="5" t="s">
        <v>5</v>
      </c>
      <c r="F141" s="5" t="s">
        <v>6</v>
      </c>
      <c r="G141" s="5" t="s">
        <v>7</v>
      </c>
      <c r="H141" s="5" t="s">
        <v>138</v>
      </c>
      <c r="I141" s="5" t="s">
        <v>8</v>
      </c>
      <c r="J141" s="5" t="s">
        <v>9</v>
      </c>
      <c r="K141" s="5" t="s">
        <v>143</v>
      </c>
    </row>
    <row r="142" spans="1:12" x14ac:dyDescent="0.25">
      <c r="A142" s="6">
        <v>1</v>
      </c>
      <c r="B142" t="s">
        <v>10</v>
      </c>
      <c r="C142" t="s">
        <v>10</v>
      </c>
      <c r="D142" t="s">
        <v>10</v>
      </c>
      <c r="E142">
        <v>17</v>
      </c>
      <c r="F142">
        <v>37.200000000000003</v>
      </c>
      <c r="G142">
        <v>15008</v>
      </c>
      <c r="H142">
        <v>1</v>
      </c>
      <c r="I142">
        <v>3</v>
      </c>
      <c r="K142" t="s">
        <v>205</v>
      </c>
    </row>
    <row r="143" spans="1:12" x14ac:dyDescent="0.25">
      <c r="A143" s="6">
        <v>2</v>
      </c>
      <c r="B143" t="s">
        <v>10</v>
      </c>
      <c r="C143" t="s">
        <v>10</v>
      </c>
      <c r="D143" t="s">
        <v>10</v>
      </c>
      <c r="E143">
        <v>13</v>
      </c>
      <c r="F143">
        <v>33.03</v>
      </c>
      <c r="G143">
        <v>11959</v>
      </c>
      <c r="H143">
        <v>1</v>
      </c>
      <c r="I143">
        <v>3</v>
      </c>
      <c r="K143" t="s">
        <v>206</v>
      </c>
    </row>
    <row r="144" spans="1:12" x14ac:dyDescent="0.25">
      <c r="A144" s="6">
        <v>3</v>
      </c>
      <c r="B144" t="s">
        <v>10</v>
      </c>
      <c r="C144" t="s">
        <v>10</v>
      </c>
      <c r="D144" t="s">
        <v>10</v>
      </c>
      <c r="E144">
        <v>13</v>
      </c>
      <c r="F144">
        <v>33.01</v>
      </c>
      <c r="G144">
        <v>11891</v>
      </c>
      <c r="H144">
        <v>1</v>
      </c>
      <c r="I144">
        <v>3</v>
      </c>
      <c r="K144" t="s">
        <v>207</v>
      </c>
    </row>
    <row r="145" spans="1:12" x14ac:dyDescent="0.25">
      <c r="A145" s="6">
        <v>4</v>
      </c>
      <c r="B145" t="s">
        <v>10</v>
      </c>
      <c r="C145" t="s">
        <v>10</v>
      </c>
      <c r="D145" t="s">
        <v>10</v>
      </c>
      <c r="E145">
        <v>13</v>
      </c>
      <c r="F145">
        <v>34.67</v>
      </c>
      <c r="G145">
        <v>11409</v>
      </c>
      <c r="H145">
        <v>1</v>
      </c>
      <c r="I145">
        <v>3</v>
      </c>
      <c r="K145" t="s">
        <v>208</v>
      </c>
    </row>
    <row r="146" spans="1:12" x14ac:dyDescent="0.25">
      <c r="A146" s="6">
        <v>5</v>
      </c>
      <c r="B146" t="s">
        <v>10</v>
      </c>
      <c r="C146" t="s">
        <v>10</v>
      </c>
      <c r="D146" t="s">
        <v>10</v>
      </c>
      <c r="E146">
        <v>21</v>
      </c>
      <c r="F146">
        <v>177.06</v>
      </c>
      <c r="G146">
        <v>34308</v>
      </c>
      <c r="H146">
        <v>3</v>
      </c>
      <c r="I146">
        <v>5</v>
      </c>
      <c r="K146" t="s">
        <v>209</v>
      </c>
    </row>
    <row r="147" spans="1:12" x14ac:dyDescent="0.25">
      <c r="A147" s="6">
        <v>6</v>
      </c>
      <c r="B147" t="s">
        <v>15</v>
      </c>
      <c r="C147" t="s">
        <v>10</v>
      </c>
      <c r="D147" t="s">
        <v>15</v>
      </c>
      <c r="E147">
        <v>30</v>
      </c>
      <c r="F147">
        <v>96.7</v>
      </c>
      <c r="G147">
        <v>46303</v>
      </c>
      <c r="H147">
        <v>1</v>
      </c>
      <c r="I147">
        <v>4</v>
      </c>
      <c r="J147" t="s">
        <v>142</v>
      </c>
      <c r="K147" t="s">
        <v>210</v>
      </c>
    </row>
    <row r="148" spans="1:12" x14ac:dyDescent="0.25">
      <c r="A148" s="6">
        <v>7</v>
      </c>
      <c r="B148" t="s">
        <v>10</v>
      </c>
      <c r="C148" t="s">
        <v>10</v>
      </c>
      <c r="D148" t="s">
        <v>10</v>
      </c>
      <c r="E148">
        <v>13</v>
      </c>
      <c r="F148">
        <v>28.26</v>
      </c>
      <c r="G148">
        <v>11437</v>
      </c>
      <c r="H148">
        <v>0</v>
      </c>
      <c r="I148">
        <v>3</v>
      </c>
      <c r="K148" t="s">
        <v>211</v>
      </c>
    </row>
    <row r="149" spans="1:12" x14ac:dyDescent="0.25">
      <c r="A149" s="6">
        <v>8</v>
      </c>
      <c r="B149" t="s">
        <v>10</v>
      </c>
      <c r="C149" t="s">
        <v>10</v>
      </c>
      <c r="D149" t="s">
        <v>10</v>
      </c>
      <c r="E149">
        <v>13</v>
      </c>
      <c r="F149">
        <v>34.67</v>
      </c>
      <c r="G149">
        <v>16460</v>
      </c>
      <c r="H149">
        <v>0</v>
      </c>
      <c r="I149">
        <v>3</v>
      </c>
      <c r="K149" t="s">
        <v>212</v>
      </c>
    </row>
    <row r="150" spans="1:12" x14ac:dyDescent="0.25">
      <c r="A150" s="6">
        <v>9</v>
      </c>
      <c r="B150" t="s">
        <v>10</v>
      </c>
      <c r="C150" t="s">
        <v>10</v>
      </c>
      <c r="D150" t="s">
        <v>10</v>
      </c>
      <c r="E150">
        <v>13</v>
      </c>
      <c r="F150">
        <v>29.53</v>
      </c>
      <c r="G150">
        <v>11460</v>
      </c>
      <c r="H150">
        <v>1</v>
      </c>
      <c r="I150">
        <v>3</v>
      </c>
      <c r="K150" t="s">
        <v>213</v>
      </c>
    </row>
    <row r="151" spans="1:12" x14ac:dyDescent="0.25">
      <c r="A151" s="6">
        <v>10</v>
      </c>
      <c r="B151" t="s">
        <v>10</v>
      </c>
      <c r="C151" t="s">
        <v>10</v>
      </c>
      <c r="D151" t="s">
        <v>10</v>
      </c>
      <c r="E151">
        <v>13</v>
      </c>
      <c r="F151">
        <v>37.880000000000003</v>
      </c>
      <c r="G151">
        <v>12366</v>
      </c>
      <c r="H151">
        <v>1</v>
      </c>
      <c r="I151">
        <v>3</v>
      </c>
      <c r="K151" t="s">
        <v>214</v>
      </c>
    </row>
    <row r="152" spans="1:12" x14ac:dyDescent="0.25">
      <c r="A152" s="7" t="s">
        <v>11</v>
      </c>
      <c r="B152" s="8">
        <v>0.9</v>
      </c>
      <c r="C152" s="8">
        <v>1</v>
      </c>
      <c r="D152" s="8">
        <v>0.9</v>
      </c>
      <c r="E152" s="8">
        <f>SUM(E142:E151)/10</f>
        <v>15.9</v>
      </c>
      <c r="F152" s="8">
        <f t="shared" ref="F152:I152" si="6">SUM(F142:F151)/10</f>
        <v>54.201000000000001</v>
      </c>
      <c r="G152" s="8">
        <f t="shared" si="6"/>
        <v>18260.099999999999</v>
      </c>
      <c r="H152" s="8">
        <f t="shared" si="6"/>
        <v>1</v>
      </c>
      <c r="I152" s="8">
        <f t="shared" si="6"/>
        <v>3.3</v>
      </c>
      <c r="J152" s="8"/>
      <c r="K152" s="8"/>
    </row>
    <row r="156" spans="1:12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spans="1:12" ht="15.75" x14ac:dyDescent="0.25">
      <c r="A157" s="18" t="s">
        <v>123</v>
      </c>
      <c r="B157" s="2"/>
    </row>
    <row r="158" spans="1:12" x14ac:dyDescent="0.25">
      <c r="B158" s="3" t="s">
        <v>35</v>
      </c>
    </row>
    <row r="159" spans="1:12" x14ac:dyDescent="0.25">
      <c r="B159" s="3" t="s">
        <v>38</v>
      </c>
    </row>
    <row r="160" spans="1:12" x14ac:dyDescent="0.25">
      <c r="B160" s="3" t="s">
        <v>39</v>
      </c>
    </row>
    <row r="161" spans="1:11" x14ac:dyDescent="0.25">
      <c r="A161" s="1" t="s">
        <v>3</v>
      </c>
    </row>
    <row r="163" spans="1:11" x14ac:dyDescent="0.25">
      <c r="A163" s="4" t="s">
        <v>4</v>
      </c>
      <c r="B163" s="5" t="s">
        <v>141</v>
      </c>
      <c r="C163" s="5" t="s">
        <v>140</v>
      </c>
      <c r="D163" s="5" t="s">
        <v>139</v>
      </c>
      <c r="E163" s="5" t="s">
        <v>5</v>
      </c>
      <c r="F163" s="5" t="s">
        <v>6</v>
      </c>
      <c r="G163" s="5" t="s">
        <v>7</v>
      </c>
      <c r="H163" s="5" t="s">
        <v>138</v>
      </c>
      <c r="I163" s="5" t="s">
        <v>8</v>
      </c>
      <c r="J163" s="5" t="s">
        <v>9</v>
      </c>
      <c r="K163" s="5" t="s">
        <v>143</v>
      </c>
    </row>
    <row r="164" spans="1:11" x14ac:dyDescent="0.25">
      <c r="A164" s="6">
        <v>1</v>
      </c>
      <c r="B164" t="s">
        <v>10</v>
      </c>
      <c r="C164" t="s">
        <v>10</v>
      </c>
      <c r="D164" t="s">
        <v>10</v>
      </c>
      <c r="E164">
        <v>13</v>
      </c>
      <c r="F164">
        <v>40.299999999999997</v>
      </c>
      <c r="G164">
        <v>15224</v>
      </c>
      <c r="H164">
        <v>1</v>
      </c>
      <c r="I164">
        <v>3</v>
      </c>
      <c r="K164" t="s">
        <v>215</v>
      </c>
    </row>
    <row r="165" spans="1:11" x14ac:dyDescent="0.25">
      <c r="A165" s="6">
        <v>2</v>
      </c>
      <c r="B165" t="s">
        <v>10</v>
      </c>
      <c r="C165" t="s">
        <v>10</v>
      </c>
      <c r="D165" t="s">
        <v>10</v>
      </c>
      <c r="E165">
        <v>9</v>
      </c>
      <c r="F165">
        <v>23.63</v>
      </c>
      <c r="G165">
        <v>10047</v>
      </c>
      <c r="H165">
        <v>0</v>
      </c>
      <c r="I165">
        <v>2</v>
      </c>
      <c r="K165" t="s">
        <v>216</v>
      </c>
    </row>
    <row r="166" spans="1:11" x14ac:dyDescent="0.25">
      <c r="A166" s="6">
        <v>3</v>
      </c>
      <c r="B166" t="s">
        <v>10</v>
      </c>
      <c r="C166" t="s">
        <v>10</v>
      </c>
      <c r="D166" t="s">
        <v>10</v>
      </c>
      <c r="E166">
        <v>13</v>
      </c>
      <c r="F166">
        <v>37.04</v>
      </c>
      <c r="G166">
        <v>12593</v>
      </c>
      <c r="H166">
        <v>0</v>
      </c>
      <c r="I166">
        <v>3</v>
      </c>
      <c r="K166" t="s">
        <v>217</v>
      </c>
    </row>
    <row r="167" spans="1:11" x14ac:dyDescent="0.25">
      <c r="A167" s="6">
        <v>4</v>
      </c>
      <c r="B167" t="s">
        <v>10</v>
      </c>
      <c r="C167" t="s">
        <v>10</v>
      </c>
      <c r="D167" t="s">
        <v>10</v>
      </c>
      <c r="E167">
        <v>9</v>
      </c>
      <c r="F167">
        <v>22.78</v>
      </c>
      <c r="G167">
        <v>7759</v>
      </c>
      <c r="H167">
        <v>0</v>
      </c>
      <c r="I167">
        <v>2</v>
      </c>
      <c r="K167" t="s">
        <v>218</v>
      </c>
    </row>
    <row r="168" spans="1:11" x14ac:dyDescent="0.25">
      <c r="A168" s="6">
        <v>5</v>
      </c>
      <c r="B168" t="s">
        <v>10</v>
      </c>
      <c r="C168" t="s">
        <v>10</v>
      </c>
      <c r="D168" t="s">
        <v>10</v>
      </c>
      <c r="E168">
        <v>9</v>
      </c>
      <c r="F168">
        <v>20.71</v>
      </c>
      <c r="G168">
        <v>7711</v>
      </c>
      <c r="H168">
        <v>0</v>
      </c>
      <c r="I168">
        <v>2</v>
      </c>
      <c r="K168" t="s">
        <v>219</v>
      </c>
    </row>
    <row r="169" spans="1:11" x14ac:dyDescent="0.25">
      <c r="A169" s="6">
        <v>6</v>
      </c>
      <c r="B169" t="s">
        <v>10</v>
      </c>
      <c r="C169" t="s">
        <v>10</v>
      </c>
      <c r="D169" t="s">
        <v>10</v>
      </c>
      <c r="E169">
        <v>13</v>
      </c>
      <c r="F169">
        <v>32.340000000000003</v>
      </c>
      <c r="G169">
        <v>16968</v>
      </c>
      <c r="H169">
        <v>0</v>
      </c>
      <c r="I169">
        <v>3</v>
      </c>
      <c r="K169" t="s">
        <v>220</v>
      </c>
    </row>
    <row r="170" spans="1:11" x14ac:dyDescent="0.25">
      <c r="A170" s="6">
        <v>7</v>
      </c>
      <c r="B170" t="s">
        <v>10</v>
      </c>
      <c r="C170" t="s">
        <v>10</v>
      </c>
      <c r="D170" t="s">
        <v>10</v>
      </c>
      <c r="E170">
        <v>13</v>
      </c>
      <c r="F170">
        <v>29.36</v>
      </c>
      <c r="G170">
        <v>11530</v>
      </c>
      <c r="H170">
        <v>1</v>
      </c>
      <c r="I170">
        <v>3</v>
      </c>
      <c r="K170" t="s">
        <v>221</v>
      </c>
    </row>
    <row r="171" spans="1:11" x14ac:dyDescent="0.25">
      <c r="A171" s="6">
        <v>8</v>
      </c>
      <c r="B171" t="s">
        <v>10</v>
      </c>
      <c r="C171" t="s">
        <v>10</v>
      </c>
      <c r="D171" t="s">
        <v>10</v>
      </c>
      <c r="E171">
        <v>9</v>
      </c>
      <c r="F171">
        <v>21.17</v>
      </c>
      <c r="G171">
        <v>10022</v>
      </c>
      <c r="H171">
        <v>0</v>
      </c>
      <c r="I171">
        <v>2</v>
      </c>
      <c r="K171" t="s">
        <v>222</v>
      </c>
    </row>
    <row r="172" spans="1:11" x14ac:dyDescent="0.25">
      <c r="A172" s="6">
        <v>9</v>
      </c>
      <c r="B172" t="s">
        <v>10</v>
      </c>
      <c r="C172" t="s">
        <v>10</v>
      </c>
      <c r="D172" t="s">
        <v>10</v>
      </c>
      <c r="E172">
        <v>5</v>
      </c>
      <c r="F172">
        <v>11.83</v>
      </c>
      <c r="G172">
        <v>4501</v>
      </c>
      <c r="H172">
        <v>0</v>
      </c>
      <c r="I172">
        <v>1</v>
      </c>
      <c r="K172" t="s">
        <v>223</v>
      </c>
    </row>
    <row r="173" spans="1:11" x14ac:dyDescent="0.25">
      <c r="A173" s="6">
        <v>10</v>
      </c>
      <c r="B173" t="s">
        <v>10</v>
      </c>
      <c r="C173" t="s">
        <v>10</v>
      </c>
      <c r="D173" t="s">
        <v>10</v>
      </c>
      <c r="E173">
        <v>9</v>
      </c>
      <c r="F173">
        <v>21.64</v>
      </c>
      <c r="G173">
        <v>10009</v>
      </c>
      <c r="H173">
        <v>0</v>
      </c>
      <c r="I173">
        <v>2</v>
      </c>
      <c r="K173" t="s">
        <v>224</v>
      </c>
    </row>
    <row r="174" spans="1:11" x14ac:dyDescent="0.25">
      <c r="A174" s="7" t="s">
        <v>11</v>
      </c>
      <c r="B174" s="8">
        <v>1</v>
      </c>
      <c r="C174" s="8">
        <v>1</v>
      </c>
      <c r="D174" s="8">
        <v>1</v>
      </c>
      <c r="E174" s="8">
        <f>SUM(E164:E173)/10</f>
        <v>10.199999999999999</v>
      </c>
      <c r="F174" s="8">
        <f t="shared" ref="F174:I174" si="7">SUM(F164:F173)/10</f>
        <v>26.080000000000005</v>
      </c>
      <c r="G174" s="8">
        <f t="shared" si="7"/>
        <v>10636.4</v>
      </c>
      <c r="H174" s="8">
        <f t="shared" si="7"/>
        <v>0.2</v>
      </c>
      <c r="I174" s="8">
        <f t="shared" si="7"/>
        <v>2.2999999999999998</v>
      </c>
      <c r="J174" s="8"/>
      <c r="K174" s="8"/>
    </row>
    <row r="178" spans="1:12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1:12" ht="15.75" x14ac:dyDescent="0.25">
      <c r="A179" s="18" t="s">
        <v>124</v>
      </c>
      <c r="B179" s="2"/>
    </row>
    <row r="180" spans="1:12" x14ac:dyDescent="0.25">
      <c r="B180" s="3" t="s">
        <v>40</v>
      </c>
    </row>
    <row r="181" spans="1:12" x14ac:dyDescent="0.25">
      <c r="B181" s="3" t="s">
        <v>41</v>
      </c>
    </row>
    <row r="182" spans="1:12" x14ac:dyDescent="0.25">
      <c r="B182" s="3" t="s">
        <v>42</v>
      </c>
    </row>
    <row r="183" spans="1:12" x14ac:dyDescent="0.25">
      <c r="A183" s="1" t="s">
        <v>3</v>
      </c>
    </row>
    <row r="185" spans="1:12" x14ac:dyDescent="0.25">
      <c r="A185" s="4" t="s">
        <v>4</v>
      </c>
      <c r="B185" s="5" t="s">
        <v>141</v>
      </c>
      <c r="C185" s="5" t="s">
        <v>140</v>
      </c>
      <c r="D185" s="5" t="s">
        <v>139</v>
      </c>
      <c r="E185" s="5" t="s">
        <v>5</v>
      </c>
      <c r="F185" s="5" t="s">
        <v>6</v>
      </c>
      <c r="G185" s="5" t="s">
        <v>7</v>
      </c>
      <c r="H185" s="5" t="s">
        <v>138</v>
      </c>
      <c r="I185" s="5" t="s">
        <v>8</v>
      </c>
      <c r="J185" s="5" t="s">
        <v>9</v>
      </c>
      <c r="K185" s="5" t="s">
        <v>143</v>
      </c>
    </row>
    <row r="186" spans="1:12" x14ac:dyDescent="0.25">
      <c r="A186" s="6">
        <v>1</v>
      </c>
      <c r="B186" t="s">
        <v>10</v>
      </c>
      <c r="C186" t="s">
        <v>10</v>
      </c>
      <c r="D186" t="s">
        <v>10</v>
      </c>
      <c r="E186">
        <v>9</v>
      </c>
      <c r="F186">
        <v>24.99</v>
      </c>
      <c r="G186">
        <v>11492</v>
      </c>
      <c r="H186">
        <v>0</v>
      </c>
      <c r="I186">
        <v>2</v>
      </c>
      <c r="K186" t="s">
        <v>225</v>
      </c>
    </row>
    <row r="187" spans="1:12" x14ac:dyDescent="0.25">
      <c r="A187" s="6">
        <v>2</v>
      </c>
      <c r="B187" t="s">
        <v>10</v>
      </c>
      <c r="C187" t="s">
        <v>10</v>
      </c>
      <c r="D187" t="s">
        <v>10</v>
      </c>
      <c r="E187">
        <v>13</v>
      </c>
      <c r="F187">
        <v>43.86</v>
      </c>
      <c r="G187">
        <v>19939</v>
      </c>
      <c r="H187">
        <v>0</v>
      </c>
      <c r="I187">
        <v>3</v>
      </c>
      <c r="K187" t="s">
        <v>226</v>
      </c>
    </row>
    <row r="188" spans="1:12" x14ac:dyDescent="0.25">
      <c r="A188" s="6">
        <v>3</v>
      </c>
      <c r="B188" t="s">
        <v>10</v>
      </c>
      <c r="C188" t="s">
        <v>15</v>
      </c>
      <c r="D188" t="s">
        <v>15</v>
      </c>
      <c r="E188">
        <v>13</v>
      </c>
      <c r="F188">
        <v>38.83</v>
      </c>
      <c r="G188">
        <v>19306</v>
      </c>
      <c r="H188">
        <v>0</v>
      </c>
      <c r="I188">
        <v>3</v>
      </c>
      <c r="J188" t="s">
        <v>43</v>
      </c>
      <c r="K188" t="s">
        <v>227</v>
      </c>
    </row>
    <row r="189" spans="1:12" x14ac:dyDescent="0.25">
      <c r="A189" s="6">
        <v>4</v>
      </c>
      <c r="B189" t="s">
        <v>10</v>
      </c>
      <c r="C189" t="s">
        <v>10</v>
      </c>
      <c r="D189" t="s">
        <v>10</v>
      </c>
      <c r="E189">
        <v>9</v>
      </c>
      <c r="F189">
        <v>28.99</v>
      </c>
      <c r="G189">
        <v>11850</v>
      </c>
      <c r="H189">
        <v>0</v>
      </c>
      <c r="I189">
        <v>2</v>
      </c>
      <c r="K189" t="s">
        <v>228</v>
      </c>
    </row>
    <row r="190" spans="1:12" x14ac:dyDescent="0.25">
      <c r="A190" s="6">
        <v>5</v>
      </c>
      <c r="B190" t="s">
        <v>10</v>
      </c>
      <c r="C190" t="s">
        <v>10</v>
      </c>
      <c r="D190" t="s">
        <v>10</v>
      </c>
      <c r="E190">
        <v>9</v>
      </c>
      <c r="F190">
        <v>27.57</v>
      </c>
      <c r="G190">
        <v>11635</v>
      </c>
      <c r="H190">
        <v>0</v>
      </c>
      <c r="I190">
        <v>2</v>
      </c>
      <c r="K190" t="s">
        <v>229</v>
      </c>
    </row>
    <row r="191" spans="1:12" x14ac:dyDescent="0.25">
      <c r="A191" s="6">
        <v>6</v>
      </c>
      <c r="B191" t="s">
        <v>10</v>
      </c>
      <c r="C191" t="s">
        <v>10</v>
      </c>
      <c r="D191" t="s">
        <v>10</v>
      </c>
      <c r="E191">
        <v>13</v>
      </c>
      <c r="F191">
        <v>41.96</v>
      </c>
      <c r="G191">
        <v>19228</v>
      </c>
      <c r="H191">
        <v>0</v>
      </c>
      <c r="I191">
        <v>3</v>
      </c>
      <c r="K191" t="s">
        <v>230</v>
      </c>
    </row>
    <row r="192" spans="1:12" x14ac:dyDescent="0.25">
      <c r="A192" s="6">
        <v>7</v>
      </c>
      <c r="B192" t="s">
        <v>10</v>
      </c>
      <c r="C192" t="s">
        <v>10</v>
      </c>
      <c r="D192" t="s">
        <v>10</v>
      </c>
      <c r="E192">
        <v>9</v>
      </c>
      <c r="F192">
        <v>22.45</v>
      </c>
      <c r="G192">
        <v>11518</v>
      </c>
      <c r="H192">
        <v>0</v>
      </c>
      <c r="I192">
        <v>2</v>
      </c>
      <c r="K192" t="s">
        <v>231</v>
      </c>
    </row>
    <row r="193" spans="1:12" x14ac:dyDescent="0.25">
      <c r="A193" s="6">
        <v>8</v>
      </c>
      <c r="B193" t="s">
        <v>10</v>
      </c>
      <c r="C193" t="s">
        <v>10</v>
      </c>
      <c r="D193" t="s">
        <v>10</v>
      </c>
      <c r="E193">
        <v>13</v>
      </c>
      <c r="F193">
        <v>36.57</v>
      </c>
      <c r="G193">
        <v>19806</v>
      </c>
      <c r="H193">
        <v>0</v>
      </c>
      <c r="I193">
        <v>3</v>
      </c>
      <c r="K193" t="s">
        <v>232</v>
      </c>
    </row>
    <row r="194" spans="1:12" x14ac:dyDescent="0.25">
      <c r="A194" s="6">
        <v>9</v>
      </c>
      <c r="B194" t="s">
        <v>10</v>
      </c>
      <c r="C194" t="s">
        <v>10</v>
      </c>
      <c r="D194" t="s">
        <v>10</v>
      </c>
      <c r="E194">
        <v>9</v>
      </c>
      <c r="F194">
        <v>26.33</v>
      </c>
      <c r="G194">
        <v>11740</v>
      </c>
      <c r="H194">
        <v>0</v>
      </c>
      <c r="I194">
        <v>2</v>
      </c>
      <c r="K194" t="s">
        <v>233</v>
      </c>
    </row>
    <row r="195" spans="1:12" x14ac:dyDescent="0.25">
      <c r="A195" s="6">
        <v>10</v>
      </c>
      <c r="B195" t="s">
        <v>10</v>
      </c>
      <c r="C195" t="s">
        <v>10</v>
      </c>
      <c r="D195" t="s">
        <v>10</v>
      </c>
      <c r="E195">
        <v>9</v>
      </c>
      <c r="F195">
        <v>23.69</v>
      </c>
      <c r="G195">
        <v>11793</v>
      </c>
      <c r="H195">
        <v>0</v>
      </c>
      <c r="I195">
        <v>2</v>
      </c>
      <c r="K195" t="s">
        <v>234</v>
      </c>
    </row>
    <row r="196" spans="1:12" x14ac:dyDescent="0.25">
      <c r="A196" s="7" t="s">
        <v>11</v>
      </c>
      <c r="B196" s="8">
        <v>1</v>
      </c>
      <c r="C196" s="8">
        <v>0.9</v>
      </c>
      <c r="D196" s="8">
        <v>0.9</v>
      </c>
      <c r="E196" s="8">
        <f>SUM(E186:E195)/10</f>
        <v>10.6</v>
      </c>
      <c r="F196" s="8">
        <f t="shared" ref="F196:I196" si="8">SUM(F186:F195)/10</f>
        <v>31.523999999999994</v>
      </c>
      <c r="G196" s="8">
        <f t="shared" si="8"/>
        <v>14830.7</v>
      </c>
      <c r="H196" s="8">
        <f t="shared" si="8"/>
        <v>0</v>
      </c>
      <c r="I196" s="8">
        <f t="shared" si="8"/>
        <v>2.4</v>
      </c>
      <c r="J196" s="8"/>
      <c r="K196" s="8"/>
    </row>
    <row r="197" spans="1:12" x14ac:dyDescent="0.25">
      <c r="A197" s="9"/>
      <c r="E197" s="10"/>
      <c r="F197" s="10"/>
      <c r="G197" s="10"/>
      <c r="H197" s="10"/>
      <c r="I197" s="10"/>
    </row>
    <row r="198" spans="1:12" x14ac:dyDescent="0.25">
      <c r="A198" s="9"/>
      <c r="E198" s="10"/>
      <c r="F198" s="10"/>
      <c r="G198" s="10"/>
      <c r="H198" s="10"/>
      <c r="I198" s="10"/>
    </row>
    <row r="199" spans="1:12" ht="18.75" x14ac:dyDescent="0.3">
      <c r="A199" s="15"/>
      <c r="B199" s="15"/>
      <c r="C199" s="15"/>
      <c r="D199" s="15"/>
      <c r="E199" s="15"/>
      <c r="F199" s="15"/>
      <c r="G199" s="16" t="s">
        <v>112</v>
      </c>
      <c r="H199" s="15"/>
      <c r="I199" s="15"/>
      <c r="J199" s="15"/>
      <c r="K199" s="15"/>
      <c r="L199" s="15"/>
    </row>
    <row r="202" spans="1:12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spans="1:12" ht="15.75" x14ac:dyDescent="0.25">
      <c r="A203" s="18" t="s">
        <v>125</v>
      </c>
      <c r="B203" s="2"/>
    </row>
    <row r="204" spans="1:12" x14ac:dyDescent="0.25">
      <c r="B204" s="3" t="s">
        <v>12</v>
      </c>
      <c r="C204" s="3"/>
      <c r="D204" s="3"/>
      <c r="E204" s="3"/>
      <c r="F204" s="3"/>
    </row>
    <row r="205" spans="1:12" x14ac:dyDescent="0.25">
      <c r="B205" s="3" t="s">
        <v>44</v>
      </c>
      <c r="C205" s="3"/>
      <c r="D205" s="3"/>
      <c r="E205" s="3"/>
      <c r="F205" s="3"/>
    </row>
    <row r="206" spans="1:12" x14ac:dyDescent="0.25">
      <c r="B206" s="3"/>
      <c r="C206" s="3"/>
      <c r="D206" s="3"/>
      <c r="E206" s="3"/>
      <c r="F206" s="3"/>
    </row>
    <row r="207" spans="1:12" x14ac:dyDescent="0.25">
      <c r="B207" s="3" t="s">
        <v>45</v>
      </c>
      <c r="C207" s="3"/>
      <c r="D207" s="3"/>
      <c r="E207" s="3"/>
      <c r="F207" s="3"/>
    </row>
    <row r="208" spans="1:12" x14ac:dyDescent="0.25">
      <c r="B208" s="3" t="s">
        <v>46</v>
      </c>
      <c r="C208" s="3"/>
      <c r="D208" s="3"/>
      <c r="E208" s="3"/>
      <c r="F208" s="3"/>
    </row>
    <row r="209" spans="2:10" x14ac:dyDescent="0.25">
      <c r="B209" s="3"/>
      <c r="C209" s="3"/>
      <c r="D209" s="3"/>
      <c r="E209" s="3"/>
      <c r="F209" s="3"/>
    </row>
    <row r="210" spans="2:10" x14ac:dyDescent="0.25">
      <c r="B210" s="3" t="s">
        <v>45</v>
      </c>
      <c r="C210" s="3"/>
      <c r="D210" s="3"/>
      <c r="E210" s="3"/>
      <c r="F210" s="3"/>
    </row>
    <row r="211" spans="2:10" x14ac:dyDescent="0.25">
      <c r="B211" s="3" t="s">
        <v>47</v>
      </c>
      <c r="C211" s="3"/>
      <c r="D211" s="3"/>
      <c r="E211" s="3"/>
      <c r="F211" s="3"/>
    </row>
    <row r="212" spans="2:10" x14ac:dyDescent="0.25">
      <c r="B212" s="3"/>
      <c r="C212" s="3"/>
      <c r="D212" s="3"/>
      <c r="E212" s="3"/>
      <c r="F212" s="3"/>
    </row>
    <row r="213" spans="2:10" x14ac:dyDescent="0.25">
      <c r="B213" s="3" t="s">
        <v>45</v>
      </c>
      <c r="C213" s="3"/>
      <c r="D213" s="3"/>
      <c r="E213" s="3"/>
      <c r="F213" s="3"/>
    </row>
    <row r="214" spans="2:10" x14ac:dyDescent="0.25">
      <c r="B214" s="3" t="s">
        <v>48</v>
      </c>
      <c r="C214" s="3"/>
      <c r="D214" s="3"/>
      <c r="E214" s="3"/>
      <c r="F214" s="3"/>
    </row>
    <row r="215" spans="2:10" x14ac:dyDescent="0.25">
      <c r="B215" s="3"/>
      <c r="C215" s="3"/>
      <c r="D215" s="3"/>
      <c r="E215" s="3"/>
      <c r="F215" s="3"/>
    </row>
    <row r="216" spans="2:10" x14ac:dyDescent="0.25">
      <c r="B216" s="3" t="s">
        <v>49</v>
      </c>
      <c r="C216" s="3"/>
      <c r="D216" s="3"/>
      <c r="E216" s="3"/>
      <c r="F216" s="3"/>
    </row>
    <row r="217" spans="2:10" x14ac:dyDescent="0.25">
      <c r="B217" s="3" t="s">
        <v>50</v>
      </c>
      <c r="C217" s="3"/>
      <c r="D217" s="3"/>
      <c r="E217" s="3"/>
      <c r="F217" s="3"/>
    </row>
    <row r="218" spans="2:10" x14ac:dyDescent="0.25">
      <c r="B218" s="3"/>
      <c r="C218" s="3"/>
      <c r="D218" s="3"/>
      <c r="E218" s="3"/>
      <c r="F218" s="3"/>
    </row>
    <row r="219" spans="2:10" x14ac:dyDescent="0.25">
      <c r="B219" s="3" t="s">
        <v>51</v>
      </c>
      <c r="C219" s="3"/>
      <c r="D219" s="3"/>
      <c r="E219" s="3"/>
      <c r="F219" s="3"/>
    </row>
    <row r="220" spans="2:10" x14ac:dyDescent="0.25">
      <c r="B220" s="3" t="s">
        <v>52</v>
      </c>
      <c r="C220" s="3"/>
      <c r="D220" s="3"/>
      <c r="E220" s="3"/>
      <c r="F220" s="3"/>
    </row>
    <row r="221" spans="2:10" x14ac:dyDescent="0.25">
      <c r="B221" s="3"/>
      <c r="C221" s="3"/>
      <c r="D221" s="3"/>
      <c r="E221" s="3"/>
      <c r="F221" s="3"/>
    </row>
    <row r="222" spans="2:10" x14ac:dyDescent="0.25">
      <c r="B222" s="3" t="s">
        <v>53</v>
      </c>
      <c r="C222" s="3"/>
      <c r="D222" s="3"/>
      <c r="E222" s="3"/>
      <c r="F222" s="3"/>
    </row>
    <row r="223" spans="2:10" x14ac:dyDescent="0.25">
      <c r="B223" s="3" t="s">
        <v>54</v>
      </c>
      <c r="C223" s="3"/>
      <c r="D223" s="3"/>
      <c r="E223" s="3"/>
      <c r="F223" s="3"/>
    </row>
    <row r="224" spans="2:10" x14ac:dyDescent="0.25">
      <c r="B224" s="3" t="s">
        <v>55</v>
      </c>
      <c r="C224" s="3"/>
      <c r="D224" s="3"/>
      <c r="E224" s="3"/>
      <c r="F224" s="3"/>
      <c r="I224" s="3"/>
      <c r="J224" s="3"/>
    </row>
    <row r="226" spans="1:11" x14ac:dyDescent="0.25">
      <c r="A226" s="1" t="s">
        <v>3</v>
      </c>
    </row>
    <row r="228" spans="1:11" x14ac:dyDescent="0.25">
      <c r="A228" s="4" t="s">
        <v>4</v>
      </c>
      <c r="B228" s="5" t="s">
        <v>141</v>
      </c>
      <c r="C228" s="5" t="s">
        <v>140</v>
      </c>
      <c r="D228" s="5" t="s">
        <v>139</v>
      </c>
      <c r="E228" s="5" t="s">
        <v>5</v>
      </c>
      <c r="F228" s="5" t="s">
        <v>6</v>
      </c>
      <c r="G228" s="5" t="s">
        <v>7</v>
      </c>
      <c r="H228" s="5" t="s">
        <v>138</v>
      </c>
      <c r="I228" s="5" t="s">
        <v>8</v>
      </c>
      <c r="J228" s="5" t="s">
        <v>9</v>
      </c>
      <c r="K228" s="5" t="s">
        <v>144</v>
      </c>
    </row>
    <row r="229" spans="1:11" x14ac:dyDescent="0.25">
      <c r="A229" s="6">
        <v>1</v>
      </c>
      <c r="B229" t="s">
        <v>15</v>
      </c>
      <c r="C229" t="s">
        <v>15</v>
      </c>
      <c r="D229" t="s">
        <v>10</v>
      </c>
      <c r="E229">
        <f>9+13+13+28</f>
        <v>63</v>
      </c>
      <c r="F229">
        <f>29.56+32.8+33.81+435.28</f>
        <v>531.44999999999993</v>
      </c>
      <c r="G229">
        <f>11168+16875+17054+42543</f>
        <v>87640</v>
      </c>
      <c r="H229">
        <f>0+0+0+5</f>
        <v>5</v>
      </c>
      <c r="I229">
        <f>2+3+3+7</f>
        <v>15</v>
      </c>
      <c r="J229" t="s">
        <v>56</v>
      </c>
      <c r="K229" t="s">
        <v>265</v>
      </c>
    </row>
    <row r="230" spans="1:11" x14ac:dyDescent="0.25">
      <c r="A230" s="6">
        <v>2</v>
      </c>
      <c r="B230" t="s">
        <v>10</v>
      </c>
      <c r="C230" t="s">
        <v>10</v>
      </c>
      <c r="D230" t="s">
        <v>10</v>
      </c>
      <c r="E230">
        <f>13+13+13+13+13+13+13</f>
        <v>91</v>
      </c>
      <c r="F230">
        <f>39.66+33.23+38.51+39.92+43.43+41.94+40.36</f>
        <v>277.05</v>
      </c>
      <c r="G230">
        <f>19324+17051+17232+19316+20253+19875+20488</f>
        <v>133539</v>
      </c>
      <c r="H230">
        <f>0+0+0+0+0+0+0</f>
        <v>0</v>
      </c>
      <c r="I230">
        <f>3+3+3+3+3+3+3</f>
        <v>21</v>
      </c>
      <c r="K230" t="s">
        <v>444</v>
      </c>
    </row>
    <row r="231" spans="1:11" x14ac:dyDescent="0.25">
      <c r="A231" s="6">
        <v>3</v>
      </c>
      <c r="B231" t="s">
        <v>15</v>
      </c>
      <c r="C231" t="s">
        <v>15</v>
      </c>
      <c r="D231" t="s">
        <v>10</v>
      </c>
      <c r="E231">
        <f>9+13+13+13+21</f>
        <v>69</v>
      </c>
      <c r="F231">
        <f>35.52+30.91+38.43+36.88+161.06</f>
        <v>302.8</v>
      </c>
      <c r="G231">
        <f>11502+16824+17600+19161+36514</f>
        <v>101601</v>
      </c>
      <c r="H231">
        <f>0+0+0+0+3</f>
        <v>3</v>
      </c>
      <c r="I231">
        <f>2+3+3+3+5</f>
        <v>16</v>
      </c>
      <c r="J231" t="s">
        <v>57</v>
      </c>
      <c r="K231" t="s">
        <v>266</v>
      </c>
    </row>
    <row r="232" spans="1:11" x14ac:dyDescent="0.25">
      <c r="A232" s="6">
        <v>4</v>
      </c>
      <c r="B232" t="s">
        <v>10</v>
      </c>
      <c r="C232" t="s">
        <v>10</v>
      </c>
      <c r="D232" t="s">
        <v>10</v>
      </c>
      <c r="E232">
        <f>9+13+13+13+13+13+13</f>
        <v>87</v>
      </c>
      <c r="F232">
        <f>32.29+32.52+35.3+37.21+37.58+34.44+38.25</f>
        <v>247.58999999999997</v>
      </c>
      <c r="G232">
        <f>11283+16725+17345+19153+19879+19537+20567</f>
        <v>124489</v>
      </c>
      <c r="H232">
        <f>0+0+0+0+0+0+0</f>
        <v>0</v>
      </c>
      <c r="I232">
        <f>2+3+3+3+3+3+3</f>
        <v>20</v>
      </c>
      <c r="K232" t="s">
        <v>445</v>
      </c>
    </row>
    <row r="233" spans="1:11" x14ac:dyDescent="0.25">
      <c r="A233" s="6">
        <v>5</v>
      </c>
      <c r="B233" t="s">
        <v>10</v>
      </c>
      <c r="C233" t="s">
        <v>10</v>
      </c>
      <c r="D233" t="s">
        <v>10</v>
      </c>
      <c r="E233">
        <f>9+13+13+13+13+13+13</f>
        <v>87</v>
      </c>
      <c r="F233">
        <f>29.26+33.05+35.3+40.39+33.78+38+42.99</f>
        <v>252.77</v>
      </c>
      <c r="G233">
        <f>11466+16866+17057+19283+19301+19881+20808</f>
        <v>124662</v>
      </c>
      <c r="H233">
        <f>0+0+0+0+0+0+0</f>
        <v>0</v>
      </c>
      <c r="I233">
        <f>2+3+3+3+3+3+3</f>
        <v>20</v>
      </c>
      <c r="K233" t="s">
        <v>446</v>
      </c>
    </row>
    <row r="234" spans="1:11" x14ac:dyDescent="0.25">
      <c r="A234" s="6">
        <v>6</v>
      </c>
      <c r="B234" t="s">
        <v>10</v>
      </c>
      <c r="C234" t="s">
        <v>10</v>
      </c>
      <c r="D234" t="s">
        <v>10</v>
      </c>
      <c r="E234">
        <f>13+13+13+13+13+13+13</f>
        <v>91</v>
      </c>
      <c r="F234">
        <f>35.82+32.87+34.05+34.61+43.82+33.33+33.47</f>
        <v>247.97</v>
      </c>
      <c r="G234">
        <f>18820+17359+17646+19294+20083+20020+19788</f>
        <v>133010</v>
      </c>
      <c r="H234">
        <f>0+0+0+0+0+0+0</f>
        <v>0</v>
      </c>
      <c r="I234">
        <f>3+3+3+3+3+3+3</f>
        <v>21</v>
      </c>
      <c r="K234" t="s">
        <v>267</v>
      </c>
    </row>
    <row r="235" spans="1:11" x14ac:dyDescent="0.25">
      <c r="A235" s="6">
        <v>7</v>
      </c>
      <c r="B235" t="s">
        <v>10</v>
      </c>
      <c r="C235" t="s">
        <v>10</v>
      </c>
      <c r="D235" t="s">
        <v>10</v>
      </c>
      <c r="E235">
        <f>9+13+13+13+17+13+13</f>
        <v>91</v>
      </c>
      <c r="F235">
        <f>24.72+33.07+34.53+41.6+49.05+34.66+35.39</f>
        <v>253.01999999999998</v>
      </c>
      <c r="G235">
        <f>10731+16917+17490+19443+27912+20092+20284</f>
        <v>132869</v>
      </c>
      <c r="H235">
        <f>0+0+0+0+1+0+0</f>
        <v>1</v>
      </c>
      <c r="I235">
        <f>2+3+3+3+4+3+3</f>
        <v>21</v>
      </c>
      <c r="K235" t="s">
        <v>268</v>
      </c>
    </row>
    <row r="236" spans="1:11" x14ac:dyDescent="0.25">
      <c r="A236" s="6">
        <v>8</v>
      </c>
      <c r="B236" t="s">
        <v>10</v>
      </c>
      <c r="C236" t="s">
        <v>10</v>
      </c>
      <c r="D236" t="s">
        <v>10</v>
      </c>
      <c r="E236">
        <f>9+13+17+13+13+13+13</f>
        <v>91</v>
      </c>
      <c r="F236">
        <f>24.15+42.81+52.3+33.94+38.72+35.03+40.29</f>
        <v>267.24</v>
      </c>
      <c r="G236">
        <f>10632+17142+27409+19117+20531+19486+20795</f>
        <v>135112</v>
      </c>
      <c r="H236">
        <f>0+0+0+0+0+0+0</f>
        <v>0</v>
      </c>
      <c r="I236">
        <f>2+3+4+3+3+3+3</f>
        <v>21</v>
      </c>
      <c r="K236" t="s">
        <v>269</v>
      </c>
    </row>
    <row r="237" spans="1:11" x14ac:dyDescent="0.25">
      <c r="A237" s="6">
        <v>9</v>
      </c>
      <c r="B237" t="s">
        <v>10</v>
      </c>
      <c r="C237" t="s">
        <v>10</v>
      </c>
      <c r="D237" t="s">
        <v>10</v>
      </c>
      <c r="E237">
        <f>13+13+13+13+9+13+13</f>
        <v>87</v>
      </c>
      <c r="F237">
        <f>38.22+32.55+38.9+40.74+40.77+33.27+43.82</f>
        <v>268.27000000000004</v>
      </c>
      <c r="G237">
        <f>18983+16183+17738+19331+12529+19396+21144</f>
        <v>125304</v>
      </c>
      <c r="H237">
        <f>0+0+0+0+0+0+0</f>
        <v>0</v>
      </c>
      <c r="I237">
        <f>3+3+3+3+2+3+3</f>
        <v>20</v>
      </c>
      <c r="K237" t="s">
        <v>270</v>
      </c>
    </row>
    <row r="238" spans="1:11" x14ac:dyDescent="0.25">
      <c r="A238" s="6">
        <v>10</v>
      </c>
      <c r="B238" t="s">
        <v>15</v>
      </c>
      <c r="C238" t="s">
        <v>15</v>
      </c>
      <c r="D238" t="s">
        <v>10</v>
      </c>
      <c r="E238">
        <f>9+13+13+24</f>
        <v>59</v>
      </c>
      <c r="F238">
        <f>27.79+33.97+39.81+141.04</f>
        <v>242.60999999999999</v>
      </c>
      <c r="G238">
        <f>10757+16665+17232+29964</f>
        <v>74618</v>
      </c>
      <c r="H238">
        <f>0+0+0+5</f>
        <v>5</v>
      </c>
      <c r="I238">
        <f>2+3+3+6</f>
        <v>14</v>
      </c>
      <c r="J238" t="s">
        <v>58</v>
      </c>
      <c r="K238" t="s">
        <v>271</v>
      </c>
    </row>
    <row r="239" spans="1:11" x14ac:dyDescent="0.25">
      <c r="A239" s="7" t="s">
        <v>11</v>
      </c>
      <c r="B239" s="8">
        <f>7/10</f>
        <v>0.7</v>
      </c>
      <c r="C239" s="8">
        <f>7/10</f>
        <v>0.7</v>
      </c>
      <c r="D239" s="8">
        <v>1</v>
      </c>
      <c r="E239" s="8">
        <f>SUM(E229:E238)/10</f>
        <v>81.599999999999994</v>
      </c>
      <c r="F239" s="8">
        <f t="shared" ref="F239:I239" si="9">SUM(F229:F238)/10</f>
        <v>289.07699999999994</v>
      </c>
      <c r="G239" s="8">
        <f t="shared" si="9"/>
        <v>117284.4</v>
      </c>
      <c r="H239" s="8">
        <f t="shared" si="9"/>
        <v>1.4</v>
      </c>
      <c r="I239" s="8">
        <f t="shared" si="9"/>
        <v>18.899999999999999</v>
      </c>
      <c r="J239" s="8"/>
      <c r="K239" s="8"/>
    </row>
    <row r="240" spans="1:11" x14ac:dyDescent="0.25">
      <c r="A240" s="9"/>
      <c r="E240" s="10"/>
      <c r="F240" s="10"/>
      <c r="G240" s="10"/>
      <c r="H240" s="10"/>
      <c r="I240" s="10"/>
    </row>
    <row r="241" spans="1:12" x14ac:dyDescent="0.25">
      <c r="A241" s="9"/>
      <c r="E241" s="10"/>
      <c r="F241" s="10"/>
      <c r="G241" s="10"/>
      <c r="H241" s="10"/>
      <c r="I241" s="10"/>
    </row>
    <row r="242" spans="1:12" x14ac:dyDescent="0.25">
      <c r="A242" s="9"/>
      <c r="E242" s="10"/>
      <c r="F242" s="10"/>
      <c r="G242" s="10"/>
      <c r="H242" s="10"/>
      <c r="I242" s="10"/>
    </row>
    <row r="243" spans="1:12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spans="1:12" ht="15.75" x14ac:dyDescent="0.25">
      <c r="A244" s="18" t="s">
        <v>126</v>
      </c>
      <c r="B244" s="2"/>
    </row>
    <row r="245" spans="1:12" x14ac:dyDescent="0.25">
      <c r="B245" s="3" t="s">
        <v>59</v>
      </c>
      <c r="C245" s="3"/>
      <c r="D245" s="3"/>
      <c r="E245" s="3"/>
      <c r="F245" s="3"/>
    </row>
    <row r="246" spans="1:12" x14ac:dyDescent="0.25">
      <c r="B246" s="3" t="s">
        <v>60</v>
      </c>
      <c r="C246" s="3"/>
      <c r="D246" s="3"/>
      <c r="E246" s="3"/>
      <c r="F246" s="3"/>
    </row>
    <row r="247" spans="1:12" x14ac:dyDescent="0.25">
      <c r="B247" s="3"/>
      <c r="C247" s="3"/>
      <c r="D247" s="3"/>
      <c r="E247" s="3"/>
      <c r="F247" s="3"/>
    </row>
    <row r="248" spans="1:12" x14ac:dyDescent="0.25">
      <c r="B248" s="3" t="s">
        <v>61</v>
      </c>
      <c r="C248" s="3"/>
      <c r="D248" s="3"/>
      <c r="E248" s="3"/>
      <c r="F248" s="3"/>
    </row>
    <row r="249" spans="1:12" x14ac:dyDescent="0.25">
      <c r="B249" s="3" t="s">
        <v>62</v>
      </c>
      <c r="C249" s="3"/>
      <c r="D249" s="3"/>
      <c r="E249" s="3"/>
      <c r="F249" s="3"/>
    </row>
    <row r="250" spans="1:12" x14ac:dyDescent="0.25">
      <c r="B250" s="3" t="s">
        <v>63</v>
      </c>
      <c r="C250" s="3"/>
      <c r="D250" s="3"/>
      <c r="E250" s="3"/>
      <c r="F250" s="3"/>
    </row>
    <row r="251" spans="1:12" x14ac:dyDescent="0.25">
      <c r="B251" s="3"/>
      <c r="C251" s="3"/>
      <c r="D251" s="3"/>
      <c r="E251" s="3"/>
      <c r="F251" s="3"/>
    </row>
    <row r="252" spans="1:12" x14ac:dyDescent="0.25">
      <c r="B252" s="3" t="s">
        <v>61</v>
      </c>
      <c r="C252" s="3"/>
      <c r="D252" s="3"/>
      <c r="E252" s="3"/>
      <c r="F252" s="3"/>
    </row>
    <row r="253" spans="1:12" x14ac:dyDescent="0.25">
      <c r="B253" s="3" t="s">
        <v>64</v>
      </c>
      <c r="C253" s="3"/>
      <c r="D253" s="3"/>
      <c r="E253" s="3"/>
      <c r="F253" s="3"/>
    </row>
    <row r="254" spans="1:12" x14ac:dyDescent="0.25">
      <c r="B254" s="3"/>
      <c r="C254" s="3"/>
      <c r="D254" s="3"/>
      <c r="E254" s="3"/>
      <c r="F254" s="3"/>
    </row>
    <row r="255" spans="1:12" x14ac:dyDescent="0.25">
      <c r="B255" s="3" t="s">
        <v>65</v>
      </c>
      <c r="C255" s="3"/>
      <c r="D255" s="3"/>
      <c r="E255" s="3"/>
      <c r="F255" s="3"/>
    </row>
    <row r="256" spans="1:12" x14ac:dyDescent="0.25">
      <c r="B256" s="3" t="s">
        <v>66</v>
      </c>
      <c r="C256" s="3"/>
      <c r="D256" s="3"/>
      <c r="E256" s="3"/>
      <c r="F256" s="3"/>
    </row>
    <row r="257" spans="1:11" x14ac:dyDescent="0.25">
      <c r="B257" s="3"/>
      <c r="C257" s="3"/>
      <c r="D257" s="3"/>
      <c r="E257" s="3"/>
      <c r="F257" s="3"/>
    </row>
    <row r="258" spans="1:11" x14ac:dyDescent="0.25">
      <c r="B258" s="3" t="s">
        <v>67</v>
      </c>
      <c r="C258" s="3"/>
      <c r="D258" s="3"/>
      <c r="E258" s="3"/>
      <c r="F258" s="3"/>
    </row>
    <row r="259" spans="1:11" x14ac:dyDescent="0.25">
      <c r="B259" s="3" t="s">
        <v>60</v>
      </c>
      <c r="C259" s="3"/>
      <c r="D259" s="3"/>
      <c r="E259" s="3"/>
      <c r="F259" s="3"/>
    </row>
    <row r="260" spans="1:11" x14ac:dyDescent="0.25">
      <c r="B260" s="3"/>
      <c r="C260" s="3"/>
      <c r="D260" s="3"/>
      <c r="E260" s="3"/>
      <c r="F260" s="3"/>
    </row>
    <row r="261" spans="1:11" x14ac:dyDescent="0.25">
      <c r="B261" s="3" t="s">
        <v>61</v>
      </c>
      <c r="C261" s="3"/>
      <c r="D261" s="3"/>
      <c r="E261" s="3"/>
      <c r="F261" s="3"/>
    </row>
    <row r="262" spans="1:11" x14ac:dyDescent="0.25">
      <c r="B262" s="3" t="s">
        <v>62</v>
      </c>
      <c r="C262" s="3"/>
      <c r="D262" s="3"/>
      <c r="E262" s="3"/>
      <c r="F262" s="3"/>
    </row>
    <row r="263" spans="1:11" x14ac:dyDescent="0.25">
      <c r="B263" s="3" t="s">
        <v>68</v>
      </c>
      <c r="C263" s="3"/>
      <c r="D263" s="3"/>
      <c r="E263" s="3"/>
      <c r="F263" s="3"/>
    </row>
    <row r="264" spans="1:11" x14ac:dyDescent="0.25">
      <c r="B264" s="3"/>
    </row>
    <row r="265" spans="1:11" x14ac:dyDescent="0.25">
      <c r="A265" s="1" t="s">
        <v>3</v>
      </c>
    </row>
    <row r="267" spans="1:11" x14ac:dyDescent="0.25">
      <c r="A267" s="4" t="s">
        <v>4</v>
      </c>
      <c r="B267" s="5" t="s">
        <v>141</v>
      </c>
      <c r="C267" s="5" t="s">
        <v>140</v>
      </c>
      <c r="D267" s="5" t="s">
        <v>139</v>
      </c>
      <c r="E267" s="5" t="s">
        <v>5</v>
      </c>
      <c r="F267" s="5" t="s">
        <v>6</v>
      </c>
      <c r="G267" s="5" t="s">
        <v>7</v>
      </c>
      <c r="H267" s="5" t="s">
        <v>138</v>
      </c>
      <c r="I267" s="5" t="s">
        <v>8</v>
      </c>
      <c r="J267" s="5" t="s">
        <v>9</v>
      </c>
      <c r="K267" s="5" t="s">
        <v>144</v>
      </c>
    </row>
    <row r="268" spans="1:11" x14ac:dyDescent="0.25">
      <c r="A268" s="6">
        <v>1</v>
      </c>
      <c r="B268" t="s">
        <v>10</v>
      </c>
      <c r="C268" t="s">
        <v>15</v>
      </c>
      <c r="D268" t="s">
        <v>15</v>
      </c>
      <c r="E268">
        <f>9+9+9+13+13</f>
        <v>53</v>
      </c>
      <c r="F268">
        <f>25.55+24.84+23.22+36.8+32.67</f>
        <v>143.07999999999998</v>
      </c>
      <c r="G268">
        <f>9163+9118+9169+19085+15222</f>
        <v>61757</v>
      </c>
      <c r="H268">
        <f>0+0+0+0+0</f>
        <v>0</v>
      </c>
      <c r="I268">
        <f>2+2+2+3+3</f>
        <v>12</v>
      </c>
      <c r="J268" t="s">
        <v>272</v>
      </c>
      <c r="K268" t="s">
        <v>273</v>
      </c>
    </row>
    <row r="269" spans="1:11" x14ac:dyDescent="0.25">
      <c r="A269" s="6">
        <v>2</v>
      </c>
      <c r="B269" t="s">
        <v>15</v>
      </c>
      <c r="C269" t="s">
        <v>10</v>
      </c>
      <c r="D269" t="s">
        <v>15</v>
      </c>
      <c r="E269">
        <f>30+21+9+13+17+9</f>
        <v>99</v>
      </c>
      <c r="F269">
        <f>84.07+51.56+21.35+38.93+48.57+22.34</f>
        <v>266.82</v>
      </c>
      <c r="G269">
        <f>50875+29878+9151+19003+24013+8967</f>
        <v>141887</v>
      </c>
      <c r="H269">
        <f>0+1+0+0+0+0</f>
        <v>1</v>
      </c>
      <c r="I269">
        <f>6+5+2+3+4+2</f>
        <v>22</v>
      </c>
      <c r="J269" t="s">
        <v>69</v>
      </c>
      <c r="K269" t="s">
        <v>274</v>
      </c>
    </row>
    <row r="270" spans="1:11" x14ac:dyDescent="0.25">
      <c r="A270" s="6">
        <v>3</v>
      </c>
      <c r="B270" t="s">
        <v>15</v>
      </c>
      <c r="C270" t="s">
        <v>10</v>
      </c>
      <c r="D270" t="s">
        <v>15</v>
      </c>
      <c r="E270">
        <f>25+17+9+9+41+13</f>
        <v>114</v>
      </c>
      <c r="F270">
        <f>58.82+46.65+20.17+27.6+157.63+36.11</f>
        <v>346.98</v>
      </c>
      <c r="G270">
        <f>28926+21624+9054+10677+101886+15625</f>
        <v>187792</v>
      </c>
      <c r="H270">
        <f>0+0+0+0+0+0</f>
        <v>0</v>
      </c>
      <c r="I270">
        <f>3+4+2+2+10+3</f>
        <v>24</v>
      </c>
      <c r="J270" t="s">
        <v>70</v>
      </c>
      <c r="K270" t="s">
        <v>275</v>
      </c>
    </row>
    <row r="271" spans="1:11" x14ac:dyDescent="0.25">
      <c r="A271" s="6">
        <v>4</v>
      </c>
      <c r="B271" t="s">
        <v>10</v>
      </c>
      <c r="C271" t="s">
        <v>10</v>
      </c>
      <c r="D271" t="s">
        <v>10</v>
      </c>
      <c r="E271">
        <f>30+21+9+9+9+9</f>
        <v>87</v>
      </c>
      <c r="F271">
        <f>99.26+52.52+19.47+28.85+20.7+31.68</f>
        <v>252.48</v>
      </c>
      <c r="G271">
        <f>46388+28039+9028+10943+8967+8845</f>
        <v>112210</v>
      </c>
      <c r="H271">
        <f>0+1+0+0+0+0</f>
        <v>1</v>
      </c>
      <c r="I271">
        <f>8+5+2+2+2+2</f>
        <v>21</v>
      </c>
      <c r="J271" t="s">
        <v>69</v>
      </c>
      <c r="K271" t="s">
        <v>276</v>
      </c>
    </row>
    <row r="272" spans="1:11" x14ac:dyDescent="0.25">
      <c r="A272" s="6">
        <v>5</v>
      </c>
      <c r="B272" t="s">
        <v>15</v>
      </c>
      <c r="C272" t="s">
        <v>10</v>
      </c>
      <c r="D272" t="s">
        <v>15</v>
      </c>
      <c r="E272">
        <f>9+9+9+9+30+9</f>
        <v>75</v>
      </c>
      <c r="F272">
        <f>20.14+27.57+21.37+36.69+57.13+26.24</f>
        <v>189.14000000000001</v>
      </c>
      <c r="G272">
        <f>7863+9155+9048+10685+38344+9226</f>
        <v>84321</v>
      </c>
      <c r="H272">
        <f>0+0+0+0+0+0</f>
        <v>0</v>
      </c>
      <c r="I272">
        <f>2+2+2+2+3+2</f>
        <v>13</v>
      </c>
      <c r="J272" t="s">
        <v>137</v>
      </c>
      <c r="K272" t="s">
        <v>277</v>
      </c>
    </row>
    <row r="273" spans="1:12" x14ac:dyDescent="0.25">
      <c r="A273" s="6">
        <v>6</v>
      </c>
      <c r="B273" t="s">
        <v>10</v>
      </c>
      <c r="C273" t="s">
        <v>10</v>
      </c>
      <c r="D273" t="s">
        <v>10</v>
      </c>
      <c r="E273">
        <f>13+13+9+9+9+9</f>
        <v>62</v>
      </c>
      <c r="F273">
        <f>36.2+59.97+21.97+26.6+25.27+25.26</f>
        <v>195.27</v>
      </c>
      <c r="G273">
        <f>13636+15462+8740+10644+9312+9098</f>
        <v>66892</v>
      </c>
      <c r="H273">
        <f>0+0+0+0+0+0</f>
        <v>0</v>
      </c>
      <c r="I273">
        <f>3+3+2+2+2+2</f>
        <v>14</v>
      </c>
      <c r="K273" t="s">
        <v>278</v>
      </c>
    </row>
    <row r="274" spans="1:12" x14ac:dyDescent="0.25">
      <c r="A274" s="6">
        <v>7</v>
      </c>
      <c r="B274" t="s">
        <v>10</v>
      </c>
      <c r="C274" t="s">
        <v>15</v>
      </c>
      <c r="D274" t="s">
        <v>15</v>
      </c>
      <c r="E274">
        <v>13</v>
      </c>
      <c r="F274">
        <v>72.67</v>
      </c>
      <c r="G274">
        <v>20171</v>
      </c>
      <c r="H274">
        <v>0</v>
      </c>
      <c r="I274">
        <v>3</v>
      </c>
      <c r="J274" t="s">
        <v>71</v>
      </c>
      <c r="K274" t="s">
        <v>279</v>
      </c>
    </row>
    <row r="275" spans="1:12" x14ac:dyDescent="0.25">
      <c r="A275" s="6">
        <v>8</v>
      </c>
      <c r="B275" t="s">
        <v>15</v>
      </c>
      <c r="C275" t="s">
        <v>10</v>
      </c>
      <c r="D275" t="s">
        <v>15</v>
      </c>
      <c r="E275">
        <f>30+17+9+17+9+9</f>
        <v>91</v>
      </c>
      <c r="F275">
        <f>77.12+80.3+72.07+69.61+39.53+36.44</f>
        <v>375.07</v>
      </c>
      <c r="G275">
        <f>37779+23102+8909+16847+9157+8858</f>
        <v>104652</v>
      </c>
      <c r="H275">
        <f>0+0+0+1+0</f>
        <v>1</v>
      </c>
      <c r="I275">
        <f>3+4+2+4+2+2</f>
        <v>17</v>
      </c>
      <c r="J275" t="s">
        <v>69</v>
      </c>
      <c r="K275" t="s">
        <v>280</v>
      </c>
    </row>
    <row r="276" spans="1:12" x14ac:dyDescent="0.25">
      <c r="A276" s="6">
        <v>9</v>
      </c>
      <c r="B276" t="s">
        <v>15</v>
      </c>
      <c r="C276" t="s">
        <v>10</v>
      </c>
      <c r="D276" t="s">
        <v>15</v>
      </c>
      <c r="E276">
        <f>30+17+9+13+13+9</f>
        <v>91</v>
      </c>
      <c r="F276">
        <f>109.74+63.06+33.76+54.33+82.63+34.51</f>
        <v>378.03</v>
      </c>
      <c r="G276">
        <f>50938+20608+8949+18748+15160+9094</f>
        <v>123497</v>
      </c>
      <c r="H276">
        <f>0+1+0+0+0+0</f>
        <v>1</v>
      </c>
      <c r="I276">
        <f>6+4+2+3+3+2</f>
        <v>20</v>
      </c>
      <c r="J276" t="s">
        <v>69</v>
      </c>
      <c r="K276" t="s">
        <v>281</v>
      </c>
    </row>
    <row r="277" spans="1:12" x14ac:dyDescent="0.25">
      <c r="A277" s="6">
        <v>20</v>
      </c>
      <c r="B277" t="s">
        <v>10</v>
      </c>
      <c r="C277" t="s">
        <v>15</v>
      </c>
      <c r="D277" t="s">
        <v>15</v>
      </c>
      <c r="E277">
        <v>13</v>
      </c>
      <c r="F277">
        <v>68.739999999999995</v>
      </c>
      <c r="G277">
        <v>17145</v>
      </c>
      <c r="H277">
        <v>0</v>
      </c>
      <c r="I277">
        <v>3</v>
      </c>
      <c r="J277" t="s">
        <v>71</v>
      </c>
      <c r="K277" t="s">
        <v>282</v>
      </c>
    </row>
    <row r="278" spans="1:12" x14ac:dyDescent="0.25">
      <c r="A278" s="7" t="s">
        <v>11</v>
      </c>
      <c r="B278" s="8">
        <f>5/10</f>
        <v>0.5</v>
      </c>
      <c r="C278" s="8">
        <f>7/10</f>
        <v>0.7</v>
      </c>
      <c r="D278" s="8">
        <f>2/10</f>
        <v>0.2</v>
      </c>
      <c r="E278" s="8">
        <f>SUM(E268:E277)/10</f>
        <v>69.8</v>
      </c>
      <c r="F278" s="8">
        <f t="shared" ref="F278:I278" si="10">SUM(F268:F277)/10</f>
        <v>228.82799999999997</v>
      </c>
      <c r="G278" s="8">
        <f t="shared" si="10"/>
        <v>92032.4</v>
      </c>
      <c r="H278" s="8">
        <f t="shared" si="10"/>
        <v>0.4</v>
      </c>
      <c r="I278" s="8">
        <f t="shared" si="10"/>
        <v>14.9</v>
      </c>
      <c r="J278" s="8"/>
      <c r="K278" s="8"/>
    </row>
    <row r="282" spans="1:12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1:12" ht="15.75" x14ac:dyDescent="0.25">
      <c r="A283" s="18" t="s">
        <v>127</v>
      </c>
      <c r="B283" s="2"/>
    </row>
    <row r="284" spans="1:12" x14ac:dyDescent="0.25">
      <c r="B284" s="3" t="s">
        <v>59</v>
      </c>
      <c r="C284" s="3"/>
      <c r="D284" s="3"/>
      <c r="E284" s="3"/>
      <c r="F284" s="3"/>
    </row>
    <row r="285" spans="1:12" x14ac:dyDescent="0.25">
      <c r="B285" s="3" t="s">
        <v>72</v>
      </c>
      <c r="C285" s="3"/>
      <c r="D285" s="3"/>
      <c r="E285" s="3"/>
      <c r="F285" s="3"/>
    </row>
    <row r="286" spans="1:12" x14ac:dyDescent="0.25">
      <c r="B286" s="3"/>
      <c r="C286" s="3"/>
      <c r="D286" s="3"/>
      <c r="E286" s="3"/>
      <c r="F286" s="3"/>
    </row>
    <row r="287" spans="1:12" x14ac:dyDescent="0.25">
      <c r="B287" s="3" t="s">
        <v>73</v>
      </c>
      <c r="C287" s="3"/>
      <c r="D287" s="3"/>
      <c r="E287" s="3"/>
      <c r="F287" s="3"/>
    </row>
    <row r="288" spans="1:12" x14ac:dyDescent="0.25">
      <c r="B288" s="3" t="s">
        <v>74</v>
      </c>
      <c r="C288" s="3"/>
      <c r="D288" s="3"/>
      <c r="E288" s="3"/>
      <c r="F288" s="3"/>
    </row>
    <row r="289" spans="1:11" x14ac:dyDescent="0.25">
      <c r="B289" s="3" t="s">
        <v>75</v>
      </c>
      <c r="C289" s="3"/>
      <c r="D289" s="3"/>
      <c r="E289" s="3"/>
      <c r="F289" s="3"/>
    </row>
    <row r="290" spans="1:11" x14ac:dyDescent="0.25">
      <c r="B290" s="3"/>
      <c r="C290" s="3"/>
      <c r="D290" s="3"/>
      <c r="E290" s="3"/>
      <c r="F290" s="3"/>
    </row>
    <row r="291" spans="1:11" x14ac:dyDescent="0.25">
      <c r="B291" s="3" t="s">
        <v>76</v>
      </c>
      <c r="C291" s="3"/>
      <c r="D291" s="3"/>
      <c r="E291" s="3"/>
      <c r="F291" s="3"/>
    </row>
    <row r="292" spans="1:11" x14ac:dyDescent="0.25">
      <c r="B292" s="3" t="s">
        <v>77</v>
      </c>
      <c r="C292" s="3"/>
      <c r="D292" s="3"/>
      <c r="E292" s="3"/>
      <c r="F292" s="3"/>
    </row>
    <row r="293" spans="1:11" x14ac:dyDescent="0.25">
      <c r="B293" s="3"/>
      <c r="C293" s="3"/>
      <c r="D293" s="3"/>
      <c r="E293" s="3"/>
      <c r="F293" s="3"/>
    </row>
    <row r="294" spans="1:11" x14ac:dyDescent="0.25">
      <c r="B294" s="3" t="s">
        <v>73</v>
      </c>
      <c r="C294" s="3"/>
      <c r="D294" s="3"/>
      <c r="E294" s="3"/>
      <c r="F294" s="3"/>
    </row>
    <row r="295" spans="1:11" x14ac:dyDescent="0.25">
      <c r="B295" s="3" t="s">
        <v>78</v>
      </c>
      <c r="C295" s="3"/>
      <c r="D295" s="3"/>
      <c r="E295" s="3"/>
      <c r="F295" s="3"/>
    </row>
    <row r="296" spans="1:11" x14ac:dyDescent="0.25">
      <c r="B296" s="3" t="s">
        <v>75</v>
      </c>
      <c r="C296" s="3"/>
      <c r="D296" s="3"/>
      <c r="E296" s="3"/>
      <c r="F296" s="3"/>
    </row>
    <row r="297" spans="1:11" x14ac:dyDescent="0.25">
      <c r="B297" s="3"/>
    </row>
    <row r="298" spans="1:11" x14ac:dyDescent="0.25">
      <c r="A298" s="1" t="s">
        <v>3</v>
      </c>
    </row>
    <row r="300" spans="1:11" x14ac:dyDescent="0.25">
      <c r="A300" s="4" t="s">
        <v>4</v>
      </c>
      <c r="B300" s="5" t="s">
        <v>141</v>
      </c>
      <c r="C300" s="5" t="s">
        <v>140</v>
      </c>
      <c r="D300" s="5" t="s">
        <v>139</v>
      </c>
      <c r="E300" s="5" t="s">
        <v>5</v>
      </c>
      <c r="F300" s="5" t="s">
        <v>6</v>
      </c>
      <c r="G300" s="5" t="s">
        <v>7</v>
      </c>
      <c r="H300" s="5" t="s">
        <v>138</v>
      </c>
      <c r="I300" s="5" t="s">
        <v>8</v>
      </c>
      <c r="J300" s="5" t="s">
        <v>9</v>
      </c>
      <c r="K300" s="5" t="s">
        <v>144</v>
      </c>
    </row>
    <row r="301" spans="1:11" x14ac:dyDescent="0.25">
      <c r="A301" s="6">
        <v>1</v>
      </c>
      <c r="B301" t="s">
        <v>10</v>
      </c>
      <c r="C301" t="s">
        <v>10</v>
      </c>
      <c r="D301" t="s">
        <v>10</v>
      </c>
      <c r="E301">
        <f>9+17+9+17</f>
        <v>52</v>
      </c>
      <c r="F301">
        <f>21.36+55.52+26.08+52.81</f>
        <v>155.76999999999998</v>
      </c>
      <c r="G301">
        <f>8490+23339+9708+23286</f>
        <v>64823</v>
      </c>
      <c r="H301">
        <f>0+1+0+0</f>
        <v>1</v>
      </c>
      <c r="I301">
        <f>2+4+2+4</f>
        <v>12</v>
      </c>
      <c r="K301" t="s">
        <v>283</v>
      </c>
    </row>
    <row r="302" spans="1:11" x14ac:dyDescent="0.25">
      <c r="A302" s="6">
        <v>2</v>
      </c>
      <c r="B302" t="s">
        <v>10</v>
      </c>
      <c r="C302" t="s">
        <v>10</v>
      </c>
      <c r="D302" t="s">
        <v>10</v>
      </c>
      <c r="E302">
        <f>9+17+9+13</f>
        <v>48</v>
      </c>
      <c r="F302">
        <f>23.78+51.21+25.02+36.54</f>
        <v>136.55000000000001</v>
      </c>
      <c r="G302">
        <f>9028+23494+10051+17589</f>
        <v>60162</v>
      </c>
      <c r="H302">
        <f>0+0+0+0</f>
        <v>0</v>
      </c>
      <c r="I302">
        <f>2+4+2+3</f>
        <v>11</v>
      </c>
      <c r="K302" t="s">
        <v>284</v>
      </c>
    </row>
    <row r="303" spans="1:11" x14ac:dyDescent="0.25">
      <c r="A303" s="6">
        <v>3</v>
      </c>
      <c r="B303" t="s">
        <v>15</v>
      </c>
      <c r="C303" t="s">
        <v>15</v>
      </c>
      <c r="D303" t="s">
        <v>10</v>
      </c>
      <c r="E303">
        <f>9+13+20</f>
        <v>42</v>
      </c>
      <c r="F303">
        <f>21.78+36.94+143.17</f>
        <v>201.89</v>
      </c>
      <c r="G303">
        <f>8556+17075+22867</f>
        <v>48498</v>
      </c>
      <c r="H303">
        <f>0+0+3</f>
        <v>3</v>
      </c>
      <c r="I303">
        <f>2+3+5</f>
        <v>10</v>
      </c>
      <c r="J303" t="s">
        <v>79</v>
      </c>
      <c r="K303" t="s">
        <v>285</v>
      </c>
    </row>
    <row r="304" spans="1:11" x14ac:dyDescent="0.25">
      <c r="A304" s="6">
        <v>4</v>
      </c>
      <c r="B304" t="s">
        <v>15</v>
      </c>
      <c r="C304" t="s">
        <v>10</v>
      </c>
      <c r="D304" t="s">
        <v>15</v>
      </c>
      <c r="E304">
        <f>9+9+24+29</f>
        <v>71</v>
      </c>
      <c r="F304">
        <f>25.82+23.35+165.55+77.29</f>
        <v>292.01000000000005</v>
      </c>
      <c r="G304">
        <f>9233+10072+32545+51187</f>
        <v>103037</v>
      </c>
      <c r="H304">
        <f>0+0+3+2</f>
        <v>5</v>
      </c>
      <c r="I304">
        <f>2+2+6+7</f>
        <v>17</v>
      </c>
      <c r="J304" t="s">
        <v>80</v>
      </c>
      <c r="K304" t="s">
        <v>286</v>
      </c>
    </row>
    <row r="305" spans="1:12" x14ac:dyDescent="0.25">
      <c r="A305" s="6">
        <v>5</v>
      </c>
      <c r="B305" t="s">
        <v>15</v>
      </c>
      <c r="C305" t="s">
        <v>15</v>
      </c>
      <c r="D305" t="s">
        <v>10</v>
      </c>
      <c r="E305">
        <f>13+17+17+21</f>
        <v>68</v>
      </c>
      <c r="F305">
        <f>57.43+61.99+80.41+154.44</f>
        <v>354.27</v>
      </c>
      <c r="G305">
        <f>12582+24938+24993+31971</f>
        <v>94484</v>
      </c>
      <c r="H305">
        <f>1+1+1+3</f>
        <v>6</v>
      </c>
      <c r="I305">
        <f>3+4+4+5</f>
        <v>16</v>
      </c>
      <c r="J305" t="s">
        <v>81</v>
      </c>
      <c r="K305" t="s">
        <v>287</v>
      </c>
    </row>
    <row r="306" spans="1:12" x14ac:dyDescent="0.25">
      <c r="A306" s="6">
        <v>6</v>
      </c>
      <c r="B306" t="s">
        <v>10</v>
      </c>
      <c r="C306" t="s">
        <v>10</v>
      </c>
      <c r="D306" t="s">
        <v>10</v>
      </c>
      <c r="E306">
        <f>13+29+9+13</f>
        <v>64</v>
      </c>
      <c r="F306">
        <f>37.23+135.03+27.03+36.5</f>
        <v>235.79</v>
      </c>
      <c r="G306">
        <f>13098+44755+9823+17482</f>
        <v>85158</v>
      </c>
      <c r="H306">
        <f>1+1+0+0</f>
        <v>2</v>
      </c>
      <c r="I306">
        <f>3+7+2+3</f>
        <v>15</v>
      </c>
      <c r="K306" t="s">
        <v>288</v>
      </c>
    </row>
    <row r="307" spans="1:12" x14ac:dyDescent="0.25">
      <c r="A307" s="6">
        <v>7</v>
      </c>
      <c r="B307" t="s">
        <v>15</v>
      </c>
      <c r="C307" t="s">
        <v>15</v>
      </c>
      <c r="D307" t="s">
        <v>10</v>
      </c>
      <c r="E307">
        <f>21+25</f>
        <v>46</v>
      </c>
      <c r="F307">
        <f>58.99+178.89</f>
        <v>237.88</v>
      </c>
      <c r="G307">
        <f>28946+34380</f>
        <v>63326</v>
      </c>
      <c r="H307">
        <f>2+3</f>
        <v>5</v>
      </c>
      <c r="I307">
        <f>5+6</f>
        <v>11</v>
      </c>
      <c r="J307" t="s">
        <v>290</v>
      </c>
      <c r="K307" t="s">
        <v>289</v>
      </c>
    </row>
    <row r="308" spans="1:12" x14ac:dyDescent="0.25">
      <c r="A308" s="6">
        <v>8</v>
      </c>
      <c r="B308" t="s">
        <v>15</v>
      </c>
      <c r="C308" t="s">
        <v>15</v>
      </c>
      <c r="D308" t="s">
        <v>10</v>
      </c>
      <c r="E308">
        <f>9+9+9+25</f>
        <v>52</v>
      </c>
      <c r="F308">
        <f>28.54+27.56+25.15+170.08</f>
        <v>251.33</v>
      </c>
      <c r="G308">
        <f>8739+8141+9679+44457</f>
        <v>71016</v>
      </c>
      <c r="H308">
        <f>0+0+0+3</f>
        <v>3</v>
      </c>
      <c r="I308">
        <f>2+2+2+6</f>
        <v>12</v>
      </c>
      <c r="J308" t="s">
        <v>81</v>
      </c>
      <c r="K308" t="s">
        <v>291</v>
      </c>
    </row>
    <row r="309" spans="1:12" x14ac:dyDescent="0.25">
      <c r="A309" s="6">
        <v>9</v>
      </c>
      <c r="B309" t="s">
        <v>10</v>
      </c>
      <c r="C309" t="s">
        <v>10</v>
      </c>
      <c r="D309" t="s">
        <v>10</v>
      </c>
      <c r="E309">
        <f>9+13+9+25</f>
        <v>56</v>
      </c>
      <c r="F309">
        <f>27.91+43.59+24.38+64.11</f>
        <v>159.99</v>
      </c>
      <c r="G309">
        <f>8920+17918+9630+25056</f>
        <v>61524</v>
      </c>
      <c r="H309">
        <f>0+0+0+2</f>
        <v>2</v>
      </c>
      <c r="I309">
        <f>2+3+2+6</f>
        <v>13</v>
      </c>
      <c r="J309" t="s">
        <v>82</v>
      </c>
      <c r="K309" t="s">
        <v>292</v>
      </c>
    </row>
    <row r="310" spans="1:12" x14ac:dyDescent="0.25">
      <c r="A310" s="6">
        <v>10</v>
      </c>
      <c r="B310" t="s">
        <v>10</v>
      </c>
      <c r="C310" t="s">
        <v>10</v>
      </c>
      <c r="D310" t="s">
        <v>10</v>
      </c>
      <c r="E310">
        <f>9+13+9+17</f>
        <v>48</v>
      </c>
      <c r="F310">
        <f>25.64+45.76+50.91+55.75</f>
        <v>178.06</v>
      </c>
      <c r="G310">
        <f>8377+17383+9835+20262</f>
        <v>55857</v>
      </c>
      <c r="H310">
        <f>0+0+0+2</f>
        <v>2</v>
      </c>
      <c r="I310">
        <f>2+3+2+4</f>
        <v>11</v>
      </c>
      <c r="J310" t="s">
        <v>82</v>
      </c>
      <c r="K310" t="s">
        <v>293</v>
      </c>
    </row>
    <row r="311" spans="1:12" x14ac:dyDescent="0.25">
      <c r="A311" s="7" t="s">
        <v>11</v>
      </c>
      <c r="B311" s="8">
        <f>5/10</f>
        <v>0.5</v>
      </c>
      <c r="C311" s="8">
        <f>6/10</f>
        <v>0.6</v>
      </c>
      <c r="D311" s="8">
        <f>9/10</f>
        <v>0.9</v>
      </c>
      <c r="E311" s="8">
        <f>SUM(E301:E310)/10</f>
        <v>54.7</v>
      </c>
      <c r="F311" s="8">
        <f t="shared" ref="F311:I311" si="11">SUM(F301:F310)/10</f>
        <v>220.35399999999998</v>
      </c>
      <c r="G311" s="8">
        <f t="shared" si="11"/>
        <v>70788.5</v>
      </c>
      <c r="H311" s="8">
        <f t="shared" si="11"/>
        <v>2.9</v>
      </c>
      <c r="I311" s="8">
        <f t="shared" si="11"/>
        <v>12.8</v>
      </c>
      <c r="J311" s="8"/>
      <c r="K311" s="8"/>
    </row>
    <row r="314" spans="1:12" ht="18.75" x14ac:dyDescent="0.3">
      <c r="A314" s="15"/>
      <c r="B314" s="15"/>
      <c r="C314" s="15"/>
      <c r="D314" s="15"/>
      <c r="E314" s="15"/>
      <c r="F314" s="15"/>
      <c r="G314" s="16" t="s">
        <v>113</v>
      </c>
      <c r="H314" s="15"/>
      <c r="I314" s="15"/>
      <c r="J314" s="15"/>
      <c r="K314" s="15"/>
      <c r="L314" s="15"/>
    </row>
    <row r="317" spans="1:12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1:12" ht="15.75" x14ac:dyDescent="0.25">
      <c r="A318" s="18" t="s">
        <v>128</v>
      </c>
      <c r="B318" s="2"/>
    </row>
    <row r="319" spans="1:12" x14ac:dyDescent="0.25">
      <c r="B319" s="3" t="s">
        <v>83</v>
      </c>
    </row>
    <row r="320" spans="1:12" x14ac:dyDescent="0.25">
      <c r="B320" s="3" t="s">
        <v>84</v>
      </c>
    </row>
    <row r="321" spans="1:12" x14ac:dyDescent="0.25">
      <c r="B321" s="3" t="s">
        <v>85</v>
      </c>
    </row>
    <row r="322" spans="1:12" x14ac:dyDescent="0.25">
      <c r="A322" s="1" t="s">
        <v>3</v>
      </c>
    </row>
    <row r="324" spans="1:12" x14ac:dyDescent="0.25">
      <c r="A324" s="4" t="s">
        <v>4</v>
      </c>
      <c r="B324" s="5" t="s">
        <v>141</v>
      </c>
      <c r="C324" s="5" t="s">
        <v>140</v>
      </c>
      <c r="D324" s="5" t="s">
        <v>139</v>
      </c>
      <c r="E324" s="5" t="s">
        <v>86</v>
      </c>
      <c r="F324" s="5" t="s">
        <v>5</v>
      </c>
      <c r="G324" s="5" t="s">
        <v>6</v>
      </c>
      <c r="H324" s="5" t="s">
        <v>7</v>
      </c>
      <c r="I324" s="5" t="s">
        <v>138</v>
      </c>
      <c r="J324" s="5" t="s">
        <v>8</v>
      </c>
      <c r="K324" s="5" t="s">
        <v>9</v>
      </c>
      <c r="L324" s="5" t="s">
        <v>143</v>
      </c>
    </row>
    <row r="325" spans="1:12" x14ac:dyDescent="0.25">
      <c r="A325" s="6">
        <v>1</v>
      </c>
      <c r="B325" t="s">
        <v>15</v>
      </c>
      <c r="C325" t="s">
        <v>15</v>
      </c>
      <c r="D325" t="s">
        <v>10</v>
      </c>
      <c r="E325" t="s">
        <v>15</v>
      </c>
      <c r="F325">
        <v>28</v>
      </c>
      <c r="G325">
        <v>257.26</v>
      </c>
      <c r="H325">
        <v>41064</v>
      </c>
      <c r="I325">
        <v>5</v>
      </c>
      <c r="J325">
        <v>7</v>
      </c>
      <c r="K325" t="s">
        <v>87</v>
      </c>
      <c r="L325" t="s">
        <v>235</v>
      </c>
    </row>
    <row r="326" spans="1:12" x14ac:dyDescent="0.25">
      <c r="A326" s="6">
        <v>2</v>
      </c>
      <c r="B326" t="s">
        <v>15</v>
      </c>
      <c r="C326" t="s">
        <v>15</v>
      </c>
      <c r="D326" t="s">
        <v>10</v>
      </c>
      <c r="E326" t="s">
        <v>15</v>
      </c>
      <c r="F326">
        <v>50</v>
      </c>
      <c r="G326">
        <v>184.58</v>
      </c>
      <c r="H326">
        <v>71739</v>
      </c>
      <c r="I326">
        <v>0</v>
      </c>
      <c r="J326">
        <v>13</v>
      </c>
      <c r="K326" t="s">
        <v>88</v>
      </c>
      <c r="L326" t="s">
        <v>236</v>
      </c>
    </row>
    <row r="327" spans="1:12" x14ac:dyDescent="0.25">
      <c r="A327" s="6">
        <v>3</v>
      </c>
      <c r="B327" t="s">
        <v>15</v>
      </c>
      <c r="C327" t="s">
        <v>15</v>
      </c>
      <c r="D327" t="s">
        <v>10</v>
      </c>
      <c r="E327" t="s">
        <v>15</v>
      </c>
      <c r="F327">
        <v>50</v>
      </c>
      <c r="G327">
        <v>131.05000000000001</v>
      </c>
      <c r="H327">
        <v>123805</v>
      </c>
      <c r="I327">
        <v>0</v>
      </c>
      <c r="J327">
        <v>5</v>
      </c>
      <c r="K327" t="s">
        <v>89</v>
      </c>
      <c r="L327" t="s">
        <v>237</v>
      </c>
    </row>
    <row r="328" spans="1:12" x14ac:dyDescent="0.25">
      <c r="A328" s="6">
        <v>4</v>
      </c>
      <c r="B328" t="s">
        <v>15</v>
      </c>
      <c r="C328" t="s">
        <v>15</v>
      </c>
      <c r="D328" t="s">
        <v>10</v>
      </c>
      <c r="E328" t="s">
        <v>10</v>
      </c>
      <c r="F328">
        <v>17</v>
      </c>
      <c r="G328">
        <v>67.2</v>
      </c>
      <c r="H328">
        <v>27422</v>
      </c>
      <c r="I328">
        <v>0</v>
      </c>
      <c r="J328">
        <v>4</v>
      </c>
      <c r="L328" t="s">
        <v>238</v>
      </c>
    </row>
    <row r="329" spans="1:12" x14ac:dyDescent="0.25">
      <c r="A329" s="6">
        <v>5</v>
      </c>
      <c r="B329" t="s">
        <v>10</v>
      </c>
      <c r="C329" t="s">
        <v>15</v>
      </c>
      <c r="D329" t="s">
        <v>15</v>
      </c>
      <c r="E329" t="s">
        <v>15</v>
      </c>
      <c r="F329">
        <v>9</v>
      </c>
      <c r="G329">
        <v>29.67</v>
      </c>
      <c r="H329">
        <v>9581</v>
      </c>
      <c r="I329">
        <v>0</v>
      </c>
      <c r="J329">
        <v>2</v>
      </c>
      <c r="K329" t="s">
        <v>90</v>
      </c>
      <c r="L329" t="s">
        <v>239</v>
      </c>
    </row>
    <row r="330" spans="1:12" x14ac:dyDescent="0.25">
      <c r="A330" s="6">
        <v>6</v>
      </c>
      <c r="B330" t="s">
        <v>15</v>
      </c>
      <c r="C330" t="s">
        <v>15</v>
      </c>
      <c r="D330" t="s">
        <v>10</v>
      </c>
      <c r="E330" t="s">
        <v>15</v>
      </c>
      <c r="F330">
        <v>32</v>
      </c>
      <c r="G330">
        <v>249.47</v>
      </c>
      <c r="H330">
        <v>57786</v>
      </c>
      <c r="I330">
        <v>5</v>
      </c>
      <c r="J330">
        <v>8</v>
      </c>
      <c r="K330" t="s">
        <v>91</v>
      </c>
      <c r="L330" t="s">
        <v>240</v>
      </c>
    </row>
    <row r="331" spans="1:12" x14ac:dyDescent="0.25">
      <c r="A331" s="6">
        <v>7</v>
      </c>
      <c r="B331" t="s">
        <v>15</v>
      </c>
      <c r="C331" t="s">
        <v>15</v>
      </c>
      <c r="D331" t="s">
        <v>10</v>
      </c>
      <c r="E331" t="s">
        <v>10</v>
      </c>
      <c r="F331">
        <v>25</v>
      </c>
      <c r="G331">
        <v>75.42</v>
      </c>
      <c r="H331">
        <v>52399</v>
      </c>
      <c r="I331">
        <v>0</v>
      </c>
      <c r="J331">
        <v>6</v>
      </c>
      <c r="K331" t="s">
        <v>92</v>
      </c>
      <c r="L331" t="s">
        <v>241</v>
      </c>
    </row>
    <row r="332" spans="1:12" x14ac:dyDescent="0.25">
      <c r="A332" s="6">
        <v>8</v>
      </c>
      <c r="B332" t="s">
        <v>15</v>
      </c>
      <c r="C332" t="s">
        <v>15</v>
      </c>
      <c r="D332" t="s">
        <v>10</v>
      </c>
      <c r="E332" t="s">
        <v>15</v>
      </c>
      <c r="F332">
        <v>50</v>
      </c>
      <c r="G332">
        <v>149.16</v>
      </c>
      <c r="H332">
        <v>133133</v>
      </c>
      <c r="I332">
        <v>1</v>
      </c>
      <c r="J332">
        <v>8</v>
      </c>
      <c r="L332" t="s">
        <v>242</v>
      </c>
    </row>
    <row r="333" spans="1:12" x14ac:dyDescent="0.25">
      <c r="A333" s="6">
        <v>9</v>
      </c>
      <c r="B333" t="s">
        <v>15</v>
      </c>
      <c r="C333" t="s">
        <v>15</v>
      </c>
      <c r="D333" t="s">
        <v>10</v>
      </c>
      <c r="E333" t="s">
        <v>15</v>
      </c>
      <c r="F333">
        <v>50</v>
      </c>
      <c r="G333">
        <v>152.68</v>
      </c>
      <c r="H333">
        <v>128876</v>
      </c>
      <c r="I333">
        <v>1</v>
      </c>
      <c r="J333">
        <v>7</v>
      </c>
      <c r="K333" t="s">
        <v>89</v>
      </c>
      <c r="L333" t="s">
        <v>243</v>
      </c>
    </row>
    <row r="334" spans="1:12" x14ac:dyDescent="0.25">
      <c r="A334" s="6">
        <v>10</v>
      </c>
      <c r="B334" t="s">
        <v>15</v>
      </c>
      <c r="C334" t="s">
        <v>15</v>
      </c>
      <c r="D334" t="s">
        <v>10</v>
      </c>
      <c r="E334" t="s">
        <v>10</v>
      </c>
      <c r="F334">
        <v>21</v>
      </c>
      <c r="G334">
        <v>53.47</v>
      </c>
      <c r="H334">
        <v>37586</v>
      </c>
      <c r="I334">
        <v>0</v>
      </c>
      <c r="J334">
        <v>5</v>
      </c>
      <c r="K334" t="s">
        <v>92</v>
      </c>
      <c r="L334" t="s">
        <v>244</v>
      </c>
    </row>
    <row r="335" spans="1:12" x14ac:dyDescent="0.25">
      <c r="A335" s="7" t="s">
        <v>11</v>
      </c>
      <c r="B335" s="8">
        <v>0.1</v>
      </c>
      <c r="C335" s="8">
        <v>0</v>
      </c>
      <c r="D335" s="8">
        <v>0.9</v>
      </c>
      <c r="E335" s="8">
        <v>0.3</v>
      </c>
      <c r="F335" s="8">
        <f>SUM(F325:F334)/10</f>
        <v>33.200000000000003</v>
      </c>
      <c r="G335" s="8">
        <f t="shared" ref="G335:H335" si="12">SUM(G325:G334)/10</f>
        <v>134.99600000000004</v>
      </c>
      <c r="H335" s="8">
        <f t="shared" si="12"/>
        <v>68339.100000000006</v>
      </c>
      <c r="I335" s="8">
        <f>SUM(I325:I334)/10</f>
        <v>1.2</v>
      </c>
      <c r="J335" s="8">
        <f>SUM(J325:J334)/10</f>
        <v>6.5</v>
      </c>
      <c r="K335" s="8"/>
      <c r="L335" s="8"/>
    </row>
    <row r="339" spans="1:12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</row>
    <row r="340" spans="1:12" ht="15.75" x14ac:dyDescent="0.25">
      <c r="A340" s="18" t="s">
        <v>115</v>
      </c>
      <c r="B340" s="2"/>
    </row>
    <row r="341" spans="1:12" x14ac:dyDescent="0.25">
      <c r="B341" s="3" t="s">
        <v>93</v>
      </c>
    </row>
    <row r="342" spans="1:12" x14ac:dyDescent="0.25">
      <c r="B342" s="3" t="s">
        <v>94</v>
      </c>
    </row>
    <row r="343" spans="1:12" x14ac:dyDescent="0.25">
      <c r="B343" s="3" t="s">
        <v>95</v>
      </c>
    </row>
    <row r="344" spans="1:12" x14ac:dyDescent="0.25">
      <c r="A344" s="1" t="s">
        <v>3</v>
      </c>
    </row>
    <row r="346" spans="1:12" x14ac:dyDescent="0.25">
      <c r="A346" s="4" t="s">
        <v>4</v>
      </c>
      <c r="B346" s="5" t="s">
        <v>141</v>
      </c>
      <c r="C346" s="5" t="s">
        <v>140</v>
      </c>
      <c r="D346" s="5" t="s">
        <v>139</v>
      </c>
      <c r="E346" s="5" t="s">
        <v>86</v>
      </c>
      <c r="F346" s="5" t="s">
        <v>5</v>
      </c>
      <c r="G346" s="5" t="s">
        <v>6</v>
      </c>
      <c r="H346" s="5" t="s">
        <v>7</v>
      </c>
      <c r="I346" s="5" t="s">
        <v>138</v>
      </c>
      <c r="J346" s="5" t="s">
        <v>8</v>
      </c>
      <c r="K346" s="5" t="s">
        <v>9</v>
      </c>
      <c r="L346" s="5" t="s">
        <v>143</v>
      </c>
    </row>
    <row r="347" spans="1:12" x14ac:dyDescent="0.25">
      <c r="A347" s="6">
        <v>1</v>
      </c>
      <c r="B347" t="s">
        <v>10</v>
      </c>
      <c r="C347" t="s">
        <v>15</v>
      </c>
      <c r="D347" t="s">
        <v>15</v>
      </c>
      <c r="E347" t="s">
        <v>15</v>
      </c>
      <c r="F347">
        <v>13</v>
      </c>
      <c r="G347">
        <v>72.88</v>
      </c>
      <c r="H347">
        <v>17832</v>
      </c>
      <c r="I347">
        <v>1</v>
      </c>
      <c r="J347">
        <v>3</v>
      </c>
      <c r="K347" t="s">
        <v>96</v>
      </c>
      <c r="L347" t="s">
        <v>245</v>
      </c>
    </row>
    <row r="348" spans="1:12" x14ac:dyDescent="0.25">
      <c r="A348" s="6">
        <v>2</v>
      </c>
      <c r="B348" t="s">
        <v>15</v>
      </c>
      <c r="C348" t="s">
        <v>15</v>
      </c>
      <c r="D348" t="s">
        <v>10</v>
      </c>
      <c r="E348" t="s">
        <v>15</v>
      </c>
      <c r="F348">
        <v>24</v>
      </c>
      <c r="G348">
        <v>109.38</v>
      </c>
      <c r="H348">
        <v>28033</v>
      </c>
      <c r="I348">
        <v>5</v>
      </c>
      <c r="J348">
        <v>6</v>
      </c>
      <c r="K348" t="s">
        <v>97</v>
      </c>
      <c r="L348" t="s">
        <v>246</v>
      </c>
    </row>
    <row r="349" spans="1:12" x14ac:dyDescent="0.25">
      <c r="A349" s="6">
        <v>3</v>
      </c>
      <c r="B349" t="s">
        <v>15</v>
      </c>
      <c r="C349" t="s">
        <v>15</v>
      </c>
      <c r="D349" t="s">
        <v>10</v>
      </c>
      <c r="E349" t="s">
        <v>10</v>
      </c>
      <c r="F349">
        <v>21</v>
      </c>
      <c r="G349">
        <v>189.96</v>
      </c>
      <c r="H349">
        <v>32027</v>
      </c>
      <c r="I349">
        <v>4</v>
      </c>
      <c r="J349">
        <v>5</v>
      </c>
      <c r="L349" t="s">
        <v>247</v>
      </c>
    </row>
    <row r="350" spans="1:12" x14ac:dyDescent="0.25">
      <c r="A350" s="6">
        <v>4</v>
      </c>
      <c r="B350" t="s">
        <v>10</v>
      </c>
      <c r="C350" t="s">
        <v>15</v>
      </c>
      <c r="D350" t="s">
        <v>15</v>
      </c>
      <c r="E350" t="s">
        <v>15</v>
      </c>
      <c r="F350">
        <v>13</v>
      </c>
      <c r="G350">
        <v>73.680000000000007</v>
      </c>
      <c r="H350">
        <v>17801</v>
      </c>
      <c r="I350">
        <v>1</v>
      </c>
      <c r="J350">
        <v>3</v>
      </c>
      <c r="K350" t="s">
        <v>96</v>
      </c>
      <c r="L350" t="s">
        <v>248</v>
      </c>
    </row>
    <row r="351" spans="1:12" x14ac:dyDescent="0.25">
      <c r="A351" s="6">
        <v>5</v>
      </c>
      <c r="B351" t="s">
        <v>10</v>
      </c>
      <c r="C351" t="s">
        <v>15</v>
      </c>
      <c r="D351" t="s">
        <v>15</v>
      </c>
      <c r="E351" t="s">
        <v>15</v>
      </c>
      <c r="F351">
        <v>13</v>
      </c>
      <c r="G351">
        <v>75.58</v>
      </c>
      <c r="H351">
        <v>17906</v>
      </c>
      <c r="I351">
        <v>1</v>
      </c>
      <c r="J351">
        <v>3</v>
      </c>
      <c r="K351" t="s">
        <v>96</v>
      </c>
      <c r="L351" t="s">
        <v>249</v>
      </c>
    </row>
    <row r="352" spans="1:12" x14ac:dyDescent="0.25">
      <c r="A352" s="6">
        <v>6</v>
      </c>
      <c r="B352" t="s">
        <v>15</v>
      </c>
      <c r="C352" t="s">
        <v>15</v>
      </c>
      <c r="D352" t="s">
        <v>10</v>
      </c>
      <c r="E352" t="s">
        <v>15</v>
      </c>
      <c r="F352">
        <v>36</v>
      </c>
      <c r="G352">
        <v>282.89999999999998</v>
      </c>
      <c r="H352">
        <v>67185</v>
      </c>
      <c r="I352">
        <v>5</v>
      </c>
      <c r="J352">
        <v>9</v>
      </c>
      <c r="K352" t="s">
        <v>98</v>
      </c>
      <c r="L352" t="s">
        <v>250</v>
      </c>
    </row>
    <row r="353" spans="1:12" x14ac:dyDescent="0.25">
      <c r="A353" s="6">
        <v>7</v>
      </c>
      <c r="B353" t="s">
        <v>10</v>
      </c>
      <c r="C353" t="s">
        <v>15</v>
      </c>
      <c r="D353" t="s">
        <v>15</v>
      </c>
      <c r="E353" t="s">
        <v>15</v>
      </c>
      <c r="F353">
        <v>13</v>
      </c>
      <c r="G353">
        <v>70.900000000000006</v>
      </c>
      <c r="H353">
        <v>17784</v>
      </c>
      <c r="I353">
        <v>1</v>
      </c>
      <c r="J353">
        <v>3</v>
      </c>
      <c r="K353" t="s">
        <v>96</v>
      </c>
      <c r="L353" t="s">
        <v>251</v>
      </c>
    </row>
    <row r="354" spans="1:12" x14ac:dyDescent="0.25">
      <c r="A354" s="6">
        <v>8</v>
      </c>
      <c r="B354" t="s">
        <v>10</v>
      </c>
      <c r="C354" t="s">
        <v>15</v>
      </c>
      <c r="D354" t="s">
        <v>15</v>
      </c>
      <c r="E354" t="s">
        <v>15</v>
      </c>
      <c r="F354">
        <v>13</v>
      </c>
      <c r="G354">
        <v>173.48</v>
      </c>
      <c r="H354">
        <v>17965</v>
      </c>
      <c r="I354">
        <v>1</v>
      </c>
      <c r="J354">
        <v>3</v>
      </c>
      <c r="K354" t="s">
        <v>96</v>
      </c>
      <c r="L354" t="s">
        <v>252</v>
      </c>
    </row>
    <row r="355" spans="1:12" x14ac:dyDescent="0.25">
      <c r="A355" s="6">
        <v>9</v>
      </c>
      <c r="B355" t="s">
        <v>10</v>
      </c>
      <c r="C355" t="s">
        <v>15</v>
      </c>
      <c r="D355" t="s">
        <v>15</v>
      </c>
      <c r="E355" t="s">
        <v>15</v>
      </c>
      <c r="F355">
        <v>13</v>
      </c>
      <c r="G355">
        <v>74.77</v>
      </c>
      <c r="H355">
        <v>17853</v>
      </c>
      <c r="I355">
        <v>1</v>
      </c>
      <c r="J355">
        <v>3</v>
      </c>
      <c r="K355" t="s">
        <v>96</v>
      </c>
      <c r="L355" t="s">
        <v>253</v>
      </c>
    </row>
    <row r="356" spans="1:12" x14ac:dyDescent="0.25">
      <c r="A356" s="6">
        <v>10</v>
      </c>
      <c r="B356" t="s">
        <v>15</v>
      </c>
      <c r="C356" t="s">
        <v>15</v>
      </c>
      <c r="D356" t="s">
        <v>10</v>
      </c>
      <c r="E356" t="s">
        <v>15</v>
      </c>
      <c r="F356">
        <v>24</v>
      </c>
      <c r="G356">
        <v>237.16</v>
      </c>
      <c r="H356">
        <v>32799</v>
      </c>
      <c r="I356">
        <v>5</v>
      </c>
      <c r="J356">
        <v>6</v>
      </c>
      <c r="K356" t="s">
        <v>99</v>
      </c>
      <c r="L356" t="s">
        <v>254</v>
      </c>
    </row>
    <row r="357" spans="1:12" x14ac:dyDescent="0.25">
      <c r="A357" s="7" t="s">
        <v>11</v>
      </c>
      <c r="B357" s="8">
        <v>0.6</v>
      </c>
      <c r="C357" s="8">
        <v>0</v>
      </c>
      <c r="D357" s="8">
        <v>0.4</v>
      </c>
      <c r="E357" s="8">
        <v>0.1</v>
      </c>
      <c r="F357" s="8">
        <f>SUM(F347:F356)/10</f>
        <v>18.3</v>
      </c>
      <c r="G357" s="8">
        <f t="shared" ref="G357:H357" si="13">SUM(G347:G356)/10</f>
        <v>136.06900000000002</v>
      </c>
      <c r="H357" s="8">
        <f t="shared" si="13"/>
        <v>26718.5</v>
      </c>
      <c r="I357" s="8">
        <f>SUM(I347:I356)/10</f>
        <v>2.5</v>
      </c>
      <c r="J357" s="8">
        <f>SUM(J347:J356)/10</f>
        <v>4.4000000000000004</v>
      </c>
      <c r="K357" s="8"/>
      <c r="L357" s="8"/>
    </row>
    <row r="361" spans="1:12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 spans="1:12" ht="15.75" x14ac:dyDescent="0.25">
      <c r="A362" s="18" t="s">
        <v>114</v>
      </c>
      <c r="B362" s="2"/>
    </row>
    <row r="363" spans="1:12" x14ac:dyDescent="0.25">
      <c r="B363" s="3" t="s">
        <v>12</v>
      </c>
    </row>
    <row r="364" spans="1:12" x14ac:dyDescent="0.25">
      <c r="B364" s="3" t="s">
        <v>100</v>
      </c>
    </row>
    <row r="365" spans="1:12" x14ac:dyDescent="0.25">
      <c r="B365" s="3" t="s">
        <v>101</v>
      </c>
    </row>
    <row r="366" spans="1:12" x14ac:dyDescent="0.25">
      <c r="A366" s="1" t="s">
        <v>3</v>
      </c>
    </row>
    <row r="368" spans="1:12" x14ac:dyDescent="0.25">
      <c r="A368" s="4" t="s">
        <v>4</v>
      </c>
      <c r="B368" s="5" t="s">
        <v>141</v>
      </c>
      <c r="C368" s="5" t="s">
        <v>140</v>
      </c>
      <c r="D368" s="5" t="s">
        <v>139</v>
      </c>
      <c r="E368" s="5" t="s">
        <v>86</v>
      </c>
      <c r="F368" s="5" t="s">
        <v>5</v>
      </c>
      <c r="G368" s="5" t="s">
        <v>6</v>
      </c>
      <c r="H368" s="5" t="s">
        <v>7</v>
      </c>
      <c r="I368" s="5" t="s">
        <v>138</v>
      </c>
      <c r="J368" s="5" t="s">
        <v>8</v>
      </c>
      <c r="K368" s="5" t="s">
        <v>9</v>
      </c>
      <c r="L368" s="5" t="s">
        <v>143</v>
      </c>
    </row>
    <row r="369" spans="1:12" x14ac:dyDescent="0.25">
      <c r="A369" s="6">
        <v>1</v>
      </c>
      <c r="B369" t="s">
        <v>10</v>
      </c>
      <c r="C369" t="s">
        <v>15</v>
      </c>
      <c r="D369" t="s">
        <v>15</v>
      </c>
      <c r="E369" t="s">
        <v>15</v>
      </c>
      <c r="F369">
        <v>17</v>
      </c>
      <c r="G369">
        <v>52.46</v>
      </c>
      <c r="H369">
        <v>29542</v>
      </c>
      <c r="I369">
        <v>0</v>
      </c>
      <c r="J369">
        <v>4</v>
      </c>
      <c r="K369" t="s">
        <v>102</v>
      </c>
      <c r="L369" t="s">
        <v>255</v>
      </c>
    </row>
    <row r="370" spans="1:12" x14ac:dyDescent="0.25">
      <c r="A370" s="6">
        <v>2</v>
      </c>
      <c r="B370" t="s">
        <v>10</v>
      </c>
      <c r="C370" t="s">
        <v>15</v>
      </c>
      <c r="D370" t="s">
        <v>15</v>
      </c>
      <c r="E370" t="s">
        <v>15</v>
      </c>
      <c r="F370">
        <v>13</v>
      </c>
      <c r="G370">
        <v>43.3</v>
      </c>
      <c r="H370">
        <v>19846</v>
      </c>
      <c r="I370">
        <v>0</v>
      </c>
      <c r="J370">
        <v>3</v>
      </c>
      <c r="K370" t="s">
        <v>102</v>
      </c>
      <c r="L370" t="s">
        <v>256</v>
      </c>
    </row>
    <row r="371" spans="1:12" x14ac:dyDescent="0.25">
      <c r="A371" s="6">
        <v>3</v>
      </c>
      <c r="B371" t="s">
        <v>10</v>
      </c>
      <c r="C371" t="s">
        <v>15</v>
      </c>
      <c r="D371" t="s">
        <v>15</v>
      </c>
      <c r="E371" t="s">
        <v>15</v>
      </c>
      <c r="F371">
        <v>17</v>
      </c>
      <c r="G371">
        <v>58.44</v>
      </c>
      <c r="H371">
        <v>29815</v>
      </c>
      <c r="I371">
        <v>0</v>
      </c>
      <c r="J371">
        <v>4</v>
      </c>
      <c r="K371" t="s">
        <v>103</v>
      </c>
      <c r="L371" t="s">
        <v>257</v>
      </c>
    </row>
    <row r="372" spans="1:12" x14ac:dyDescent="0.25">
      <c r="A372" s="6">
        <v>4</v>
      </c>
      <c r="B372" t="s">
        <v>10</v>
      </c>
      <c r="C372" t="s">
        <v>15</v>
      </c>
      <c r="D372" t="s">
        <v>15</v>
      </c>
      <c r="E372" t="s">
        <v>15</v>
      </c>
      <c r="F372">
        <v>13</v>
      </c>
      <c r="G372">
        <v>39.01</v>
      </c>
      <c r="H372">
        <v>19071</v>
      </c>
      <c r="I372">
        <v>0</v>
      </c>
      <c r="J372">
        <v>3</v>
      </c>
      <c r="K372" t="s">
        <v>104</v>
      </c>
      <c r="L372" t="s">
        <v>258</v>
      </c>
    </row>
    <row r="373" spans="1:12" x14ac:dyDescent="0.25">
      <c r="A373" s="6">
        <v>5</v>
      </c>
      <c r="B373" t="s">
        <v>10</v>
      </c>
      <c r="C373" t="s">
        <v>15</v>
      </c>
      <c r="D373" t="s">
        <v>15</v>
      </c>
      <c r="E373" t="s">
        <v>15</v>
      </c>
      <c r="F373">
        <v>13</v>
      </c>
      <c r="G373">
        <v>39.86</v>
      </c>
      <c r="H373">
        <v>19454</v>
      </c>
      <c r="I373">
        <v>0</v>
      </c>
      <c r="J373">
        <v>3</v>
      </c>
      <c r="K373" t="s">
        <v>102</v>
      </c>
      <c r="L373" t="s">
        <v>259</v>
      </c>
    </row>
    <row r="374" spans="1:12" x14ac:dyDescent="0.25">
      <c r="A374" s="6">
        <v>6</v>
      </c>
      <c r="B374" t="s">
        <v>10</v>
      </c>
      <c r="C374" t="s">
        <v>15</v>
      </c>
      <c r="D374" t="s">
        <v>15</v>
      </c>
      <c r="E374" t="s">
        <v>15</v>
      </c>
      <c r="F374">
        <v>17</v>
      </c>
      <c r="G374">
        <v>54.33</v>
      </c>
      <c r="H374">
        <v>29793</v>
      </c>
      <c r="I374">
        <v>0</v>
      </c>
      <c r="J374">
        <v>4</v>
      </c>
      <c r="K374" t="s">
        <v>102</v>
      </c>
      <c r="L374" t="s">
        <v>260</v>
      </c>
    </row>
    <row r="375" spans="1:12" x14ac:dyDescent="0.25">
      <c r="A375" s="6">
        <v>7</v>
      </c>
      <c r="B375" t="s">
        <v>10</v>
      </c>
      <c r="C375" t="s">
        <v>15</v>
      </c>
      <c r="D375" t="s">
        <v>15</v>
      </c>
      <c r="E375" t="s">
        <v>15</v>
      </c>
      <c r="F375">
        <v>13</v>
      </c>
      <c r="G375">
        <v>37.880000000000003</v>
      </c>
      <c r="H375">
        <v>19075</v>
      </c>
      <c r="I375">
        <v>0</v>
      </c>
      <c r="J375">
        <v>3</v>
      </c>
      <c r="K375" t="s">
        <v>103</v>
      </c>
      <c r="L375" t="s">
        <v>261</v>
      </c>
    </row>
    <row r="376" spans="1:12" x14ac:dyDescent="0.25">
      <c r="A376" s="6">
        <v>8</v>
      </c>
      <c r="B376" t="s">
        <v>10</v>
      </c>
      <c r="C376" t="s">
        <v>15</v>
      </c>
      <c r="D376" t="s">
        <v>15</v>
      </c>
      <c r="E376" t="s">
        <v>15</v>
      </c>
      <c r="F376">
        <v>13</v>
      </c>
      <c r="G376">
        <v>44.03</v>
      </c>
      <c r="H376">
        <v>20176</v>
      </c>
      <c r="I376">
        <v>0</v>
      </c>
      <c r="J376">
        <v>3</v>
      </c>
      <c r="K376" t="s">
        <v>105</v>
      </c>
      <c r="L376" t="s">
        <v>262</v>
      </c>
    </row>
    <row r="377" spans="1:12" x14ac:dyDescent="0.25">
      <c r="A377" s="6">
        <v>9</v>
      </c>
      <c r="B377" t="s">
        <v>10</v>
      </c>
      <c r="C377" t="s">
        <v>15</v>
      </c>
      <c r="D377" t="s">
        <v>15</v>
      </c>
      <c r="E377" t="s">
        <v>15</v>
      </c>
      <c r="F377">
        <v>13</v>
      </c>
      <c r="G377">
        <v>43.04</v>
      </c>
      <c r="H377">
        <v>19904</v>
      </c>
      <c r="I377">
        <v>0</v>
      </c>
      <c r="J377">
        <v>3</v>
      </c>
      <c r="K377" t="s">
        <v>103</v>
      </c>
      <c r="L377" t="s">
        <v>263</v>
      </c>
    </row>
    <row r="378" spans="1:12" x14ac:dyDescent="0.25">
      <c r="A378" s="6">
        <v>10</v>
      </c>
      <c r="B378" t="s">
        <v>10</v>
      </c>
      <c r="C378" t="s">
        <v>15</v>
      </c>
      <c r="D378" t="s">
        <v>15</v>
      </c>
      <c r="E378" t="s">
        <v>15</v>
      </c>
      <c r="F378">
        <v>17</v>
      </c>
      <c r="G378">
        <v>53.97</v>
      </c>
      <c r="H378">
        <v>29988</v>
      </c>
      <c r="I378">
        <v>0</v>
      </c>
      <c r="J378">
        <v>4</v>
      </c>
      <c r="K378" t="s">
        <v>103</v>
      </c>
      <c r="L378" t="s">
        <v>264</v>
      </c>
    </row>
    <row r="379" spans="1:12" x14ac:dyDescent="0.25">
      <c r="A379" s="7" t="s">
        <v>11</v>
      </c>
      <c r="B379" s="8">
        <v>1</v>
      </c>
      <c r="C379" s="8">
        <v>0</v>
      </c>
      <c r="D379" s="8">
        <v>0</v>
      </c>
      <c r="E379" s="8">
        <v>0</v>
      </c>
      <c r="F379" s="8">
        <f>SUM(F369:F378)/10</f>
        <v>14.6</v>
      </c>
      <c r="G379" s="8">
        <f t="shared" ref="G379:H379" si="14">SUM(G369:G378)/10</f>
        <v>46.631999999999991</v>
      </c>
      <c r="H379" s="8">
        <f t="shared" si="14"/>
        <v>23666.400000000001</v>
      </c>
      <c r="I379" s="8">
        <f>SUM(I369:I378)/10</f>
        <v>0</v>
      </c>
      <c r="J379" s="8">
        <f>SUM(J369:J378)/10</f>
        <v>3.4</v>
      </c>
      <c r="K379" s="8"/>
      <c r="L379" s="8"/>
    </row>
    <row r="380" spans="1:12" x14ac:dyDescent="0.25">
      <c r="A380" s="1"/>
    </row>
    <row r="381" spans="1:12" x14ac:dyDescent="0.25">
      <c r="A381" s="1"/>
    </row>
    <row r="382" spans="1:12" ht="18.75" x14ac:dyDescent="0.3">
      <c r="A382" s="15"/>
      <c r="B382" s="15"/>
      <c r="C382" s="15"/>
      <c r="D382" s="15"/>
      <c r="E382" s="15"/>
      <c r="F382" s="15"/>
      <c r="G382" s="16" t="s">
        <v>136</v>
      </c>
      <c r="H382" s="15"/>
      <c r="I382" s="15"/>
      <c r="J382" s="15"/>
      <c r="K382" s="15"/>
      <c r="L382" s="15"/>
    </row>
    <row r="384" spans="1:12" ht="15.75" thickBot="1" x14ac:dyDescent="0.3"/>
    <row r="385" spans="1:8" x14ac:dyDescent="0.25">
      <c r="F385" s="19" t="s">
        <v>129</v>
      </c>
      <c r="G385" s="20"/>
      <c r="H385" s="27">
        <f>AVERAGE(C20,C42,C64,C86,C108,C130,C152,C174,C196)</f>
        <v>0.87777777777777788</v>
      </c>
    </row>
    <row r="386" spans="1:8" x14ac:dyDescent="0.25">
      <c r="F386" s="22"/>
      <c r="H386" s="23"/>
    </row>
    <row r="387" spans="1:8" x14ac:dyDescent="0.25">
      <c r="F387" s="22" t="s">
        <v>130</v>
      </c>
      <c r="H387" s="28">
        <f>AVERAGE(C239,C278,C311)</f>
        <v>0.66666666666666663</v>
      </c>
    </row>
    <row r="388" spans="1:8" x14ac:dyDescent="0.25">
      <c r="F388" s="22"/>
      <c r="H388" s="23"/>
    </row>
    <row r="389" spans="1:8" x14ac:dyDescent="0.25">
      <c r="F389" s="22" t="s">
        <v>131</v>
      </c>
      <c r="H389" s="28">
        <f>AVERAGE(C20,C42,C64,C86,C108,C130,C152,C174,C196,C239,C278,C311)</f>
        <v>0.82500000000000007</v>
      </c>
    </row>
    <row r="390" spans="1:8" x14ac:dyDescent="0.25">
      <c r="F390" s="22"/>
      <c r="H390" s="24"/>
    </row>
    <row r="391" spans="1:8" ht="15.75" thickBot="1" x14ac:dyDescent="0.3">
      <c r="F391" s="25" t="s">
        <v>134</v>
      </c>
      <c r="G391" s="17"/>
      <c r="H391" s="26">
        <f>AVERAGE(E335,E357,E379)</f>
        <v>0.13333333333333333</v>
      </c>
    </row>
    <row r="395" spans="1:8" x14ac:dyDescent="0.25">
      <c r="A395" s="8" t="s">
        <v>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3A2E-91F3-488A-8D3A-8D4454E59E1F}">
  <dimension ref="A1:L395"/>
  <sheetViews>
    <sheetView topLeftCell="A358" workbookViewId="0">
      <selection activeCell="K385" sqref="K385"/>
    </sheetView>
  </sheetViews>
  <sheetFormatPr defaultRowHeight="15" x14ac:dyDescent="0.25"/>
  <cols>
    <col min="1" max="1" width="19.7109375" customWidth="1"/>
    <col min="2" max="2" width="18.5703125" customWidth="1"/>
    <col min="3" max="3" width="25.42578125" customWidth="1"/>
    <col min="4" max="4" width="17.85546875" customWidth="1"/>
    <col min="5" max="5" width="22.85546875" customWidth="1"/>
    <col min="6" max="6" width="17.7109375" customWidth="1"/>
    <col min="7" max="7" width="21.42578125" customWidth="1"/>
    <col min="8" max="8" width="17.7109375" customWidth="1"/>
    <col min="9" max="9" width="18.42578125" customWidth="1"/>
    <col min="10" max="10" width="34.28515625" customWidth="1"/>
    <col min="11" max="11" width="105.5703125" customWidth="1"/>
    <col min="12" max="12" width="37.7109375" customWidth="1"/>
  </cols>
  <sheetData>
    <row r="1" spans="1:12" ht="18.75" x14ac:dyDescent="0.3">
      <c r="A1" s="15"/>
      <c r="B1" s="15"/>
      <c r="C1" s="15"/>
      <c r="D1" s="15"/>
      <c r="E1" s="15"/>
      <c r="F1" s="15"/>
      <c r="G1" s="16" t="s">
        <v>111</v>
      </c>
      <c r="H1" s="15"/>
      <c r="I1" s="15"/>
      <c r="J1" s="15"/>
      <c r="K1" s="15"/>
      <c r="L1" s="15"/>
    </row>
    <row r="3" spans="1:12" ht="15.75" x14ac:dyDescent="0.25">
      <c r="A3" s="18" t="s">
        <v>116</v>
      </c>
      <c r="B3" s="2"/>
    </row>
    <row r="4" spans="1:12" x14ac:dyDescent="0.25">
      <c r="B4" s="3" t="s">
        <v>0</v>
      </c>
    </row>
    <row r="5" spans="1:12" x14ac:dyDescent="0.25">
      <c r="B5" s="3" t="s">
        <v>1</v>
      </c>
    </row>
    <row r="6" spans="1:12" x14ac:dyDescent="0.25">
      <c r="B6" s="3" t="s">
        <v>2</v>
      </c>
    </row>
    <row r="7" spans="1:12" x14ac:dyDescent="0.25">
      <c r="A7" s="1" t="s">
        <v>3</v>
      </c>
    </row>
    <row r="9" spans="1:12" x14ac:dyDescent="0.25">
      <c r="A9" s="4" t="s">
        <v>4</v>
      </c>
      <c r="B9" s="5" t="s">
        <v>141</v>
      </c>
      <c r="C9" s="5" t="s">
        <v>140</v>
      </c>
      <c r="D9" s="5" t="s">
        <v>139</v>
      </c>
      <c r="E9" s="5" t="s">
        <v>5</v>
      </c>
      <c r="F9" s="5" t="s">
        <v>6</v>
      </c>
      <c r="G9" s="5" t="s">
        <v>7</v>
      </c>
      <c r="H9" s="5" t="s">
        <v>138</v>
      </c>
      <c r="I9" s="5" t="s">
        <v>8</v>
      </c>
      <c r="J9" s="5" t="s">
        <v>9</v>
      </c>
      <c r="K9" s="5" t="s">
        <v>143</v>
      </c>
    </row>
    <row r="10" spans="1:12" x14ac:dyDescent="0.25">
      <c r="A10" s="6">
        <v>1</v>
      </c>
      <c r="B10" t="s">
        <v>10</v>
      </c>
      <c r="C10" t="s">
        <v>10</v>
      </c>
      <c r="D10" t="s">
        <v>10</v>
      </c>
      <c r="E10">
        <v>9</v>
      </c>
      <c r="F10">
        <v>31.69</v>
      </c>
      <c r="G10">
        <v>9771</v>
      </c>
      <c r="H10">
        <v>0</v>
      </c>
      <c r="I10">
        <v>2</v>
      </c>
      <c r="K10" t="s">
        <v>294</v>
      </c>
    </row>
    <row r="11" spans="1:12" x14ac:dyDescent="0.25">
      <c r="A11" s="6">
        <v>2</v>
      </c>
      <c r="B11" t="s">
        <v>10</v>
      </c>
      <c r="C11" t="s">
        <v>10</v>
      </c>
      <c r="D11" t="s">
        <v>10</v>
      </c>
      <c r="E11">
        <v>9</v>
      </c>
      <c r="F11">
        <v>30.1</v>
      </c>
      <c r="G11">
        <v>10109</v>
      </c>
      <c r="H11">
        <v>0</v>
      </c>
      <c r="I11">
        <v>2</v>
      </c>
      <c r="K11" t="s">
        <v>295</v>
      </c>
    </row>
    <row r="12" spans="1:12" x14ac:dyDescent="0.25">
      <c r="A12" s="6">
        <v>3</v>
      </c>
      <c r="B12" t="s">
        <v>10</v>
      </c>
      <c r="C12" t="s">
        <v>10</v>
      </c>
      <c r="D12" t="s">
        <v>10</v>
      </c>
      <c r="E12">
        <v>9</v>
      </c>
      <c r="F12">
        <v>35.5</v>
      </c>
      <c r="G12">
        <v>10048</v>
      </c>
      <c r="H12">
        <v>0</v>
      </c>
      <c r="I12">
        <v>2</v>
      </c>
      <c r="K12" t="s">
        <v>296</v>
      </c>
    </row>
    <row r="13" spans="1:12" x14ac:dyDescent="0.25">
      <c r="A13" s="6">
        <v>4</v>
      </c>
      <c r="B13" t="s">
        <v>10</v>
      </c>
      <c r="C13" t="s">
        <v>10</v>
      </c>
      <c r="D13" t="s">
        <v>10</v>
      </c>
      <c r="E13">
        <v>9</v>
      </c>
      <c r="F13">
        <v>29.38</v>
      </c>
      <c r="G13">
        <v>9914</v>
      </c>
      <c r="H13">
        <v>0</v>
      </c>
      <c r="I13">
        <v>2</v>
      </c>
      <c r="K13" t="s">
        <v>297</v>
      </c>
    </row>
    <row r="14" spans="1:12" x14ac:dyDescent="0.25">
      <c r="A14" s="6">
        <v>5</v>
      </c>
      <c r="B14" t="s">
        <v>10</v>
      </c>
      <c r="C14" t="s">
        <v>10</v>
      </c>
      <c r="D14" t="s">
        <v>10</v>
      </c>
      <c r="E14">
        <v>9</v>
      </c>
      <c r="F14">
        <v>38.299999999999997</v>
      </c>
      <c r="G14">
        <v>10325</v>
      </c>
      <c r="H14">
        <v>0</v>
      </c>
      <c r="I14">
        <v>2</v>
      </c>
      <c r="K14" t="s">
        <v>298</v>
      </c>
    </row>
    <row r="15" spans="1:12" x14ac:dyDescent="0.25">
      <c r="A15" s="6">
        <v>6</v>
      </c>
      <c r="B15" t="s">
        <v>10</v>
      </c>
      <c r="C15" t="s">
        <v>10</v>
      </c>
      <c r="D15" t="s">
        <v>10</v>
      </c>
      <c r="E15">
        <v>9</v>
      </c>
      <c r="F15">
        <v>34.68</v>
      </c>
      <c r="G15">
        <v>10222</v>
      </c>
      <c r="H15">
        <v>0</v>
      </c>
      <c r="I15">
        <v>2</v>
      </c>
      <c r="K15" t="s">
        <v>299</v>
      </c>
    </row>
    <row r="16" spans="1:12" x14ac:dyDescent="0.25">
      <c r="A16" s="6">
        <v>7</v>
      </c>
      <c r="B16" t="s">
        <v>10</v>
      </c>
      <c r="C16" t="s">
        <v>10</v>
      </c>
      <c r="D16" t="s">
        <v>10</v>
      </c>
      <c r="E16">
        <v>9</v>
      </c>
      <c r="F16">
        <v>34.83</v>
      </c>
      <c r="G16">
        <v>10240</v>
      </c>
      <c r="H16">
        <v>0</v>
      </c>
      <c r="I16">
        <v>2</v>
      </c>
      <c r="K16" t="s">
        <v>300</v>
      </c>
    </row>
    <row r="17" spans="1:12" x14ac:dyDescent="0.25">
      <c r="A17" s="6">
        <v>8</v>
      </c>
      <c r="B17" t="s">
        <v>10</v>
      </c>
      <c r="C17" t="s">
        <v>10</v>
      </c>
      <c r="D17" t="s">
        <v>10</v>
      </c>
      <c r="E17">
        <v>9</v>
      </c>
      <c r="F17">
        <v>36.270000000000003</v>
      </c>
      <c r="G17">
        <v>10279</v>
      </c>
      <c r="H17">
        <v>0</v>
      </c>
      <c r="I17">
        <v>2</v>
      </c>
      <c r="K17" t="s">
        <v>301</v>
      </c>
    </row>
    <row r="18" spans="1:12" x14ac:dyDescent="0.25">
      <c r="A18" s="6">
        <v>9</v>
      </c>
      <c r="B18" t="s">
        <v>10</v>
      </c>
      <c r="C18" t="s">
        <v>10</v>
      </c>
      <c r="D18" t="s">
        <v>10</v>
      </c>
      <c r="E18">
        <v>9</v>
      </c>
      <c r="F18">
        <v>34.299999999999997</v>
      </c>
      <c r="G18">
        <v>9854</v>
      </c>
      <c r="H18">
        <v>0</v>
      </c>
      <c r="I18">
        <v>2</v>
      </c>
      <c r="K18" t="s">
        <v>302</v>
      </c>
    </row>
    <row r="19" spans="1:12" x14ac:dyDescent="0.25">
      <c r="A19" s="6">
        <v>10</v>
      </c>
      <c r="B19" t="s">
        <v>10</v>
      </c>
      <c r="C19" t="s">
        <v>10</v>
      </c>
      <c r="D19" t="s">
        <v>10</v>
      </c>
      <c r="E19">
        <v>9</v>
      </c>
      <c r="F19">
        <v>45.26</v>
      </c>
      <c r="G19">
        <v>10557</v>
      </c>
      <c r="H19">
        <v>0</v>
      </c>
      <c r="I19">
        <v>2</v>
      </c>
      <c r="K19" t="s">
        <v>303</v>
      </c>
    </row>
    <row r="20" spans="1:12" x14ac:dyDescent="0.25">
      <c r="A20" s="7" t="s">
        <v>11</v>
      </c>
      <c r="B20" s="8">
        <v>1</v>
      </c>
      <c r="C20" s="8">
        <v>1</v>
      </c>
      <c r="D20" s="8">
        <v>1</v>
      </c>
      <c r="E20" s="8">
        <f>SUM(E10:E19)/10</f>
        <v>9</v>
      </c>
      <c r="F20" s="8">
        <f t="shared" ref="F20:G20" si="0">SUM(F10:F19)/10</f>
        <v>35.030999999999999</v>
      </c>
      <c r="G20" s="8">
        <f t="shared" si="0"/>
        <v>10131.9</v>
      </c>
      <c r="H20" s="8">
        <f>SUM(H10:H19)/10</f>
        <v>0</v>
      </c>
      <c r="I20" s="8">
        <f>SUM(I10:I19)/10</f>
        <v>2</v>
      </c>
      <c r="J20" s="8"/>
      <c r="K20" s="8"/>
    </row>
    <row r="21" spans="1:12" x14ac:dyDescent="0.25">
      <c r="A21" s="1"/>
    </row>
    <row r="22" spans="1:12" x14ac:dyDescent="0.25">
      <c r="A22" s="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15.75" x14ac:dyDescent="0.25">
      <c r="A25" s="18" t="s">
        <v>117</v>
      </c>
      <c r="B25" s="2"/>
    </row>
    <row r="26" spans="1:12" x14ac:dyDescent="0.25">
      <c r="B26" s="3" t="s">
        <v>12</v>
      </c>
    </row>
    <row r="27" spans="1:12" x14ac:dyDescent="0.25">
      <c r="B27" s="3" t="s">
        <v>13</v>
      </c>
    </row>
    <row r="28" spans="1:12" x14ac:dyDescent="0.25">
      <c r="B28" s="3" t="s">
        <v>14</v>
      </c>
    </row>
    <row r="29" spans="1:12" x14ac:dyDescent="0.25">
      <c r="A29" s="1" t="s">
        <v>3</v>
      </c>
    </row>
    <row r="31" spans="1:12" x14ac:dyDescent="0.25">
      <c r="A31" s="4" t="s">
        <v>4</v>
      </c>
      <c r="B31" s="5" t="s">
        <v>141</v>
      </c>
      <c r="C31" s="5" t="s">
        <v>140</v>
      </c>
      <c r="D31" s="5" t="s">
        <v>139</v>
      </c>
      <c r="E31" s="5" t="s">
        <v>5</v>
      </c>
      <c r="F31" s="5" t="s">
        <v>6</v>
      </c>
      <c r="G31" s="5" t="s">
        <v>7</v>
      </c>
      <c r="H31" s="5" t="s">
        <v>138</v>
      </c>
      <c r="I31" s="5" t="s">
        <v>8</v>
      </c>
      <c r="J31" s="5" t="s">
        <v>9</v>
      </c>
      <c r="K31" s="5" t="s">
        <v>143</v>
      </c>
    </row>
    <row r="32" spans="1:12" x14ac:dyDescent="0.25">
      <c r="A32" s="6">
        <v>1</v>
      </c>
      <c r="B32" t="s">
        <v>10</v>
      </c>
      <c r="C32" t="s">
        <v>10</v>
      </c>
      <c r="D32" t="s">
        <v>10</v>
      </c>
      <c r="E32">
        <v>33</v>
      </c>
      <c r="F32">
        <v>145.71</v>
      </c>
      <c r="G32">
        <v>90873</v>
      </c>
      <c r="H32">
        <v>0</v>
      </c>
      <c r="I32">
        <v>8</v>
      </c>
      <c r="K32" t="s">
        <v>304</v>
      </c>
    </row>
    <row r="33" spans="1:12" x14ac:dyDescent="0.25">
      <c r="A33" s="6">
        <v>2</v>
      </c>
      <c r="B33" t="s">
        <v>10</v>
      </c>
      <c r="C33" t="s">
        <v>10</v>
      </c>
      <c r="D33" t="s">
        <v>10</v>
      </c>
      <c r="E33">
        <v>21</v>
      </c>
      <c r="F33">
        <v>83.48</v>
      </c>
      <c r="G33">
        <v>42003</v>
      </c>
      <c r="H33">
        <v>0</v>
      </c>
      <c r="I33">
        <v>5</v>
      </c>
      <c r="K33" t="s">
        <v>305</v>
      </c>
    </row>
    <row r="34" spans="1:12" x14ac:dyDescent="0.25">
      <c r="A34" s="6">
        <v>3</v>
      </c>
      <c r="B34" t="s">
        <v>10</v>
      </c>
      <c r="C34" t="s">
        <v>10</v>
      </c>
      <c r="D34" t="s">
        <v>10</v>
      </c>
      <c r="E34">
        <v>33</v>
      </c>
      <c r="F34">
        <v>154.58000000000001</v>
      </c>
      <c r="G34">
        <v>91688</v>
      </c>
      <c r="H34">
        <v>0</v>
      </c>
      <c r="I34">
        <v>8</v>
      </c>
      <c r="K34" t="s">
        <v>306</v>
      </c>
    </row>
    <row r="35" spans="1:12" x14ac:dyDescent="0.25">
      <c r="A35" s="6">
        <v>4</v>
      </c>
      <c r="B35" t="s">
        <v>10</v>
      </c>
      <c r="C35" t="s">
        <v>10</v>
      </c>
      <c r="D35" t="s">
        <v>10</v>
      </c>
      <c r="E35">
        <v>13</v>
      </c>
      <c r="F35">
        <v>61.14</v>
      </c>
      <c r="G35">
        <v>20257</v>
      </c>
      <c r="H35">
        <v>0</v>
      </c>
      <c r="I35">
        <v>3</v>
      </c>
      <c r="K35" t="s">
        <v>307</v>
      </c>
    </row>
    <row r="36" spans="1:12" x14ac:dyDescent="0.25">
      <c r="A36" s="6">
        <v>5</v>
      </c>
      <c r="B36" t="s">
        <v>10</v>
      </c>
      <c r="C36" t="s">
        <v>10</v>
      </c>
      <c r="D36" t="s">
        <v>10</v>
      </c>
      <c r="E36">
        <v>33</v>
      </c>
      <c r="F36">
        <v>161</v>
      </c>
      <c r="G36">
        <v>90905</v>
      </c>
      <c r="H36">
        <v>0</v>
      </c>
      <c r="I36">
        <v>8</v>
      </c>
      <c r="K36" t="s">
        <v>308</v>
      </c>
    </row>
    <row r="37" spans="1:12" x14ac:dyDescent="0.25">
      <c r="A37" s="6">
        <v>6</v>
      </c>
      <c r="B37" t="s">
        <v>10</v>
      </c>
      <c r="C37" t="s">
        <v>10</v>
      </c>
      <c r="D37" t="s">
        <v>10</v>
      </c>
      <c r="E37">
        <v>13</v>
      </c>
      <c r="F37">
        <v>61.88</v>
      </c>
      <c r="G37">
        <v>20342</v>
      </c>
      <c r="H37">
        <v>0</v>
      </c>
      <c r="I37">
        <v>3</v>
      </c>
      <c r="K37" t="s">
        <v>309</v>
      </c>
    </row>
    <row r="38" spans="1:12" x14ac:dyDescent="0.25">
      <c r="A38" s="6">
        <v>7</v>
      </c>
      <c r="B38" t="s">
        <v>10</v>
      </c>
      <c r="C38" t="s">
        <v>10</v>
      </c>
      <c r="D38" t="s">
        <v>10</v>
      </c>
      <c r="E38">
        <v>33</v>
      </c>
      <c r="F38">
        <v>153.38</v>
      </c>
      <c r="G38">
        <v>92496</v>
      </c>
      <c r="H38">
        <v>0</v>
      </c>
      <c r="I38">
        <v>8</v>
      </c>
      <c r="K38" t="s">
        <v>310</v>
      </c>
    </row>
    <row r="39" spans="1:12" x14ac:dyDescent="0.25">
      <c r="A39" s="6">
        <v>8</v>
      </c>
      <c r="B39" t="s">
        <v>10</v>
      </c>
      <c r="C39" t="s">
        <v>10</v>
      </c>
      <c r="D39" t="s">
        <v>10</v>
      </c>
      <c r="E39">
        <v>33</v>
      </c>
      <c r="F39">
        <v>151.26</v>
      </c>
      <c r="G39">
        <v>91269</v>
      </c>
      <c r="H39">
        <v>0</v>
      </c>
      <c r="I39">
        <v>8</v>
      </c>
      <c r="K39" t="s">
        <v>311</v>
      </c>
    </row>
    <row r="40" spans="1:12" x14ac:dyDescent="0.25">
      <c r="A40" s="6">
        <v>9</v>
      </c>
      <c r="B40" t="s">
        <v>10</v>
      </c>
      <c r="C40" t="s">
        <v>10</v>
      </c>
      <c r="D40" t="s">
        <v>10</v>
      </c>
      <c r="E40">
        <v>33</v>
      </c>
      <c r="F40">
        <v>158.88</v>
      </c>
      <c r="G40">
        <v>91693</v>
      </c>
      <c r="H40">
        <v>0</v>
      </c>
      <c r="I40">
        <v>8</v>
      </c>
      <c r="K40" t="s">
        <v>312</v>
      </c>
    </row>
    <row r="41" spans="1:12" x14ac:dyDescent="0.25">
      <c r="A41" s="6">
        <v>10</v>
      </c>
      <c r="B41" t="s">
        <v>10</v>
      </c>
      <c r="C41" t="s">
        <v>10</v>
      </c>
      <c r="D41" t="s">
        <v>10</v>
      </c>
      <c r="E41">
        <v>13</v>
      </c>
      <c r="F41">
        <v>74.61</v>
      </c>
      <c r="G41">
        <v>20210</v>
      </c>
      <c r="H41">
        <v>0</v>
      </c>
      <c r="I41">
        <v>3</v>
      </c>
      <c r="K41" t="s">
        <v>313</v>
      </c>
    </row>
    <row r="42" spans="1:12" x14ac:dyDescent="0.25">
      <c r="A42" s="7" t="s">
        <v>11</v>
      </c>
      <c r="B42" s="8">
        <v>1</v>
      </c>
      <c r="C42" s="8">
        <v>1</v>
      </c>
      <c r="D42" s="8">
        <v>1</v>
      </c>
      <c r="E42" s="8">
        <f>SUM(E32:E41)/10</f>
        <v>25.8</v>
      </c>
      <c r="F42" s="8">
        <f t="shared" ref="F42:G42" si="1">SUM(F32:F41)/10</f>
        <v>120.59199999999998</v>
      </c>
      <c r="G42" s="8">
        <f t="shared" si="1"/>
        <v>65173.599999999999</v>
      </c>
      <c r="H42" s="8">
        <f>SUM(H32:H41)/10</f>
        <v>0</v>
      </c>
      <c r="I42" s="8">
        <f>SUM(I32:I41)/10</f>
        <v>6.2</v>
      </c>
      <c r="J42" s="8"/>
      <c r="K42" s="8"/>
    </row>
    <row r="43" spans="1:12" x14ac:dyDescent="0.25">
      <c r="A43" s="1"/>
    </row>
    <row r="44" spans="1:12" x14ac:dyDescent="0.25">
      <c r="A44" s="9"/>
      <c r="E44" s="10"/>
      <c r="F44" s="10"/>
      <c r="G44" s="10"/>
      <c r="H44" s="10"/>
      <c r="I44" s="10"/>
      <c r="J44" s="10"/>
    </row>
    <row r="46" spans="1:12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1:12" ht="15.75" x14ac:dyDescent="0.25">
      <c r="A47" s="18" t="s">
        <v>118</v>
      </c>
      <c r="B47" s="2"/>
    </row>
    <row r="48" spans="1:12" x14ac:dyDescent="0.25">
      <c r="B48" s="3" t="s">
        <v>18</v>
      </c>
    </row>
    <row r="49" spans="1:11" x14ac:dyDescent="0.25">
      <c r="B49" s="3" t="s">
        <v>19</v>
      </c>
    </row>
    <row r="50" spans="1:11" x14ac:dyDescent="0.25">
      <c r="B50" s="3" t="s">
        <v>20</v>
      </c>
    </row>
    <row r="51" spans="1:11" x14ac:dyDescent="0.25">
      <c r="A51" s="1" t="s">
        <v>3</v>
      </c>
    </row>
    <row r="53" spans="1:11" x14ac:dyDescent="0.25">
      <c r="A53" s="4" t="s">
        <v>4</v>
      </c>
      <c r="B53" s="5" t="s">
        <v>141</v>
      </c>
      <c r="C53" s="5" t="s">
        <v>140</v>
      </c>
      <c r="D53" s="5" t="s">
        <v>139</v>
      </c>
      <c r="E53" s="5" t="s">
        <v>5</v>
      </c>
      <c r="F53" s="5" t="s">
        <v>6</v>
      </c>
      <c r="G53" s="5" t="s">
        <v>7</v>
      </c>
      <c r="H53" s="5" t="s">
        <v>138</v>
      </c>
      <c r="I53" s="5" t="s">
        <v>8</v>
      </c>
      <c r="J53" s="5" t="s">
        <v>9</v>
      </c>
      <c r="K53" s="5" t="s">
        <v>143</v>
      </c>
    </row>
    <row r="54" spans="1:11" x14ac:dyDescent="0.25">
      <c r="A54" s="6">
        <v>1</v>
      </c>
      <c r="B54" t="s">
        <v>10</v>
      </c>
      <c r="C54" t="s">
        <v>10</v>
      </c>
      <c r="D54" t="s">
        <v>10</v>
      </c>
      <c r="E54">
        <v>21</v>
      </c>
      <c r="F54">
        <v>90.82</v>
      </c>
      <c r="G54">
        <v>41167</v>
      </c>
      <c r="H54">
        <v>0</v>
      </c>
      <c r="I54">
        <v>5</v>
      </c>
      <c r="K54" t="s">
        <v>314</v>
      </c>
    </row>
    <row r="55" spans="1:11" x14ac:dyDescent="0.25">
      <c r="A55" s="6">
        <v>2</v>
      </c>
      <c r="B55" t="s">
        <v>10</v>
      </c>
      <c r="C55" t="s">
        <v>10</v>
      </c>
      <c r="D55" t="s">
        <v>10</v>
      </c>
      <c r="E55">
        <v>21</v>
      </c>
      <c r="F55">
        <v>82.66</v>
      </c>
      <c r="G55">
        <v>40665</v>
      </c>
      <c r="H55">
        <v>0</v>
      </c>
      <c r="I55">
        <v>5</v>
      </c>
      <c r="K55" t="s">
        <v>315</v>
      </c>
    </row>
    <row r="56" spans="1:11" x14ac:dyDescent="0.25">
      <c r="A56" s="6">
        <v>3</v>
      </c>
      <c r="B56" t="s">
        <v>10</v>
      </c>
      <c r="C56" t="s">
        <v>10</v>
      </c>
      <c r="D56" t="s">
        <v>10</v>
      </c>
      <c r="E56">
        <v>21</v>
      </c>
      <c r="F56">
        <v>88.98</v>
      </c>
      <c r="G56">
        <v>40852</v>
      </c>
      <c r="H56">
        <v>0</v>
      </c>
      <c r="I56">
        <v>5</v>
      </c>
      <c r="K56" t="s">
        <v>316</v>
      </c>
    </row>
    <row r="57" spans="1:11" x14ac:dyDescent="0.25">
      <c r="A57" s="6">
        <v>4</v>
      </c>
      <c r="B57" t="s">
        <v>10</v>
      </c>
      <c r="C57" t="s">
        <v>10</v>
      </c>
      <c r="D57" t="s">
        <v>10</v>
      </c>
      <c r="E57">
        <v>21</v>
      </c>
      <c r="F57">
        <v>104.83</v>
      </c>
      <c r="G57">
        <v>41214</v>
      </c>
      <c r="H57">
        <v>0</v>
      </c>
      <c r="I57">
        <v>5</v>
      </c>
      <c r="K57" t="s">
        <v>317</v>
      </c>
    </row>
    <row r="58" spans="1:11" x14ac:dyDescent="0.25">
      <c r="A58" s="6">
        <v>5</v>
      </c>
      <c r="B58" t="s">
        <v>10</v>
      </c>
      <c r="C58" t="s">
        <v>10</v>
      </c>
      <c r="D58" t="s">
        <v>10</v>
      </c>
      <c r="E58">
        <v>21</v>
      </c>
      <c r="F58">
        <v>82.61</v>
      </c>
      <c r="G58">
        <v>40803</v>
      </c>
      <c r="H58">
        <v>0</v>
      </c>
      <c r="I58">
        <v>5</v>
      </c>
      <c r="K58" t="s">
        <v>318</v>
      </c>
    </row>
    <row r="59" spans="1:11" x14ac:dyDescent="0.25">
      <c r="A59" s="6">
        <v>6</v>
      </c>
      <c r="B59" t="s">
        <v>10</v>
      </c>
      <c r="C59" t="s">
        <v>10</v>
      </c>
      <c r="D59" t="s">
        <v>10</v>
      </c>
      <c r="E59">
        <v>21</v>
      </c>
      <c r="F59">
        <v>90.86</v>
      </c>
      <c r="G59">
        <v>40878</v>
      </c>
      <c r="H59">
        <v>0</v>
      </c>
      <c r="I59">
        <v>5</v>
      </c>
      <c r="K59" t="s">
        <v>319</v>
      </c>
    </row>
    <row r="60" spans="1:11" x14ac:dyDescent="0.25">
      <c r="A60" s="6">
        <v>7</v>
      </c>
      <c r="B60" t="s">
        <v>10</v>
      </c>
      <c r="C60" t="s">
        <v>10</v>
      </c>
      <c r="D60" t="s">
        <v>10</v>
      </c>
      <c r="E60">
        <v>13</v>
      </c>
      <c r="F60">
        <v>62.73</v>
      </c>
      <c r="G60">
        <v>19694</v>
      </c>
      <c r="H60">
        <v>0</v>
      </c>
      <c r="I60">
        <v>3</v>
      </c>
      <c r="K60" t="s">
        <v>320</v>
      </c>
    </row>
    <row r="61" spans="1:11" x14ac:dyDescent="0.25">
      <c r="A61" s="6">
        <v>8</v>
      </c>
      <c r="B61" t="s">
        <v>10</v>
      </c>
      <c r="C61" t="s">
        <v>10</v>
      </c>
      <c r="D61" t="s">
        <v>10</v>
      </c>
      <c r="E61">
        <v>21</v>
      </c>
      <c r="F61">
        <v>86.29</v>
      </c>
      <c r="G61">
        <v>40966</v>
      </c>
      <c r="H61">
        <v>0</v>
      </c>
      <c r="I61">
        <v>5</v>
      </c>
      <c r="K61" t="s">
        <v>321</v>
      </c>
    </row>
    <row r="62" spans="1:11" x14ac:dyDescent="0.25">
      <c r="A62" s="6">
        <v>9</v>
      </c>
      <c r="B62" t="s">
        <v>10</v>
      </c>
      <c r="C62" t="s">
        <v>10</v>
      </c>
      <c r="D62" t="s">
        <v>10</v>
      </c>
      <c r="E62">
        <v>21</v>
      </c>
      <c r="F62">
        <v>93.34</v>
      </c>
      <c r="G62">
        <v>41497</v>
      </c>
      <c r="H62">
        <v>0</v>
      </c>
      <c r="I62">
        <v>5</v>
      </c>
      <c r="K62" t="s">
        <v>322</v>
      </c>
    </row>
    <row r="63" spans="1:11" x14ac:dyDescent="0.25">
      <c r="A63" s="6">
        <v>10</v>
      </c>
      <c r="B63" t="s">
        <v>10</v>
      </c>
      <c r="C63" t="s">
        <v>10</v>
      </c>
      <c r="D63" t="s">
        <v>10</v>
      </c>
      <c r="E63">
        <v>21</v>
      </c>
      <c r="F63">
        <v>86.38</v>
      </c>
      <c r="G63">
        <v>40657</v>
      </c>
      <c r="H63">
        <v>0</v>
      </c>
      <c r="I63">
        <v>5</v>
      </c>
      <c r="K63" t="s">
        <v>323</v>
      </c>
    </row>
    <row r="64" spans="1:11" x14ac:dyDescent="0.25">
      <c r="A64" s="7" t="s">
        <v>11</v>
      </c>
      <c r="B64" s="8">
        <v>1</v>
      </c>
      <c r="C64" s="8">
        <v>1</v>
      </c>
      <c r="D64" s="8">
        <v>1</v>
      </c>
      <c r="E64" s="8">
        <f>SUM(E54:E63)/10</f>
        <v>20.2</v>
      </c>
      <c r="F64" s="8">
        <f t="shared" ref="F64:G64" si="2">SUM(F54:F63)/10</f>
        <v>86.95</v>
      </c>
      <c r="G64" s="8">
        <f t="shared" si="2"/>
        <v>38839.300000000003</v>
      </c>
      <c r="H64" s="8">
        <f>SUM(H54:H63)/10</f>
        <v>0</v>
      </c>
      <c r="I64" s="8">
        <f>SUM(I54:I63)/10</f>
        <v>4.8</v>
      </c>
      <c r="J64" s="8"/>
      <c r="K64" s="8"/>
    </row>
    <row r="65" spans="1:12" x14ac:dyDescent="0.25">
      <c r="A65" s="1"/>
    </row>
    <row r="66" spans="1:12" x14ac:dyDescent="0.25">
      <c r="A66" s="9"/>
      <c r="E66" s="10"/>
      <c r="F66" s="10"/>
      <c r="G66" s="10"/>
      <c r="H66" s="10"/>
      <c r="I66" s="10"/>
      <c r="J66" s="10"/>
    </row>
    <row r="68" spans="1:1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1:12" ht="15.75" x14ac:dyDescent="0.25">
      <c r="A69" s="18" t="s">
        <v>119</v>
      </c>
      <c r="B69" s="2"/>
    </row>
    <row r="70" spans="1:12" x14ac:dyDescent="0.25">
      <c r="B70" s="3" t="s">
        <v>21</v>
      </c>
    </row>
    <row r="71" spans="1:12" x14ac:dyDescent="0.25">
      <c r="B71" s="3" t="s">
        <v>22</v>
      </c>
    </row>
    <row r="72" spans="1:12" x14ac:dyDescent="0.25">
      <c r="B72" s="3" t="s">
        <v>23</v>
      </c>
    </row>
    <row r="73" spans="1:12" x14ac:dyDescent="0.25">
      <c r="A73" s="1" t="s">
        <v>3</v>
      </c>
    </row>
    <row r="75" spans="1:12" x14ac:dyDescent="0.25">
      <c r="A75" s="4" t="s">
        <v>4</v>
      </c>
      <c r="B75" s="5" t="s">
        <v>141</v>
      </c>
      <c r="C75" s="5" t="s">
        <v>140</v>
      </c>
      <c r="D75" s="5" t="s">
        <v>139</v>
      </c>
      <c r="E75" s="5" t="s">
        <v>5</v>
      </c>
      <c r="F75" s="5" t="s">
        <v>6</v>
      </c>
      <c r="G75" s="5" t="s">
        <v>7</v>
      </c>
      <c r="H75" s="5" t="s">
        <v>138</v>
      </c>
      <c r="I75" s="5" t="s">
        <v>8</v>
      </c>
      <c r="J75" s="5" t="s">
        <v>9</v>
      </c>
      <c r="K75" s="5" t="s">
        <v>143</v>
      </c>
    </row>
    <row r="76" spans="1:12" x14ac:dyDescent="0.25">
      <c r="A76" s="6">
        <v>1</v>
      </c>
      <c r="B76" t="s">
        <v>10</v>
      </c>
      <c r="C76" t="s">
        <v>10</v>
      </c>
      <c r="D76" t="s">
        <v>10</v>
      </c>
      <c r="E76">
        <v>9</v>
      </c>
      <c r="F76">
        <v>42.39</v>
      </c>
      <c r="G76">
        <v>12368</v>
      </c>
      <c r="H76">
        <v>0</v>
      </c>
      <c r="I76">
        <v>2</v>
      </c>
      <c r="K76" t="s">
        <v>324</v>
      </c>
    </row>
    <row r="77" spans="1:12" x14ac:dyDescent="0.25">
      <c r="A77" s="6">
        <v>2</v>
      </c>
      <c r="B77" t="s">
        <v>10</v>
      </c>
      <c r="C77" t="s">
        <v>10</v>
      </c>
      <c r="D77" t="s">
        <v>10</v>
      </c>
      <c r="E77">
        <v>9</v>
      </c>
      <c r="F77">
        <v>41.58</v>
      </c>
      <c r="G77">
        <v>12311</v>
      </c>
      <c r="H77">
        <v>0</v>
      </c>
      <c r="I77">
        <v>2</v>
      </c>
      <c r="K77" t="s">
        <v>325</v>
      </c>
    </row>
    <row r="78" spans="1:12" x14ac:dyDescent="0.25">
      <c r="A78" s="6">
        <v>3</v>
      </c>
      <c r="B78" t="s">
        <v>10</v>
      </c>
      <c r="C78" t="s">
        <v>10</v>
      </c>
      <c r="D78" t="s">
        <v>10</v>
      </c>
      <c r="E78">
        <v>9</v>
      </c>
      <c r="F78">
        <v>36.76</v>
      </c>
      <c r="G78">
        <v>11711</v>
      </c>
      <c r="H78">
        <v>0</v>
      </c>
      <c r="I78">
        <v>2</v>
      </c>
      <c r="K78" t="s">
        <v>326</v>
      </c>
    </row>
    <row r="79" spans="1:12" x14ac:dyDescent="0.25">
      <c r="A79" s="6">
        <v>4</v>
      </c>
      <c r="B79" t="s">
        <v>10</v>
      </c>
      <c r="C79" t="s">
        <v>10</v>
      </c>
      <c r="D79" t="s">
        <v>10</v>
      </c>
      <c r="E79">
        <v>9</v>
      </c>
      <c r="F79">
        <v>44.44</v>
      </c>
      <c r="G79">
        <v>12632</v>
      </c>
      <c r="H79">
        <v>0</v>
      </c>
      <c r="I79">
        <v>2</v>
      </c>
      <c r="K79" t="s">
        <v>327</v>
      </c>
    </row>
    <row r="80" spans="1:12" x14ac:dyDescent="0.25">
      <c r="A80" s="6">
        <v>5</v>
      </c>
      <c r="B80" t="s">
        <v>10</v>
      </c>
      <c r="C80" t="s">
        <v>10</v>
      </c>
      <c r="D80" t="s">
        <v>10</v>
      </c>
      <c r="E80">
        <v>13</v>
      </c>
      <c r="F80">
        <v>48.02</v>
      </c>
      <c r="G80">
        <v>20143</v>
      </c>
      <c r="H80">
        <v>0</v>
      </c>
      <c r="I80">
        <v>3</v>
      </c>
      <c r="K80" t="s">
        <v>328</v>
      </c>
    </row>
    <row r="81" spans="1:12" x14ac:dyDescent="0.25">
      <c r="A81" s="6">
        <v>6</v>
      </c>
      <c r="B81" t="s">
        <v>10</v>
      </c>
      <c r="C81" t="s">
        <v>10</v>
      </c>
      <c r="D81" t="s">
        <v>10</v>
      </c>
      <c r="E81">
        <v>17</v>
      </c>
      <c r="F81">
        <v>91.4</v>
      </c>
      <c r="G81">
        <v>31513</v>
      </c>
      <c r="H81">
        <v>0</v>
      </c>
      <c r="I81">
        <v>4</v>
      </c>
      <c r="K81" t="s">
        <v>329</v>
      </c>
    </row>
    <row r="82" spans="1:12" x14ac:dyDescent="0.25">
      <c r="A82" s="6">
        <v>7</v>
      </c>
      <c r="B82" t="s">
        <v>10</v>
      </c>
      <c r="C82" t="s">
        <v>10</v>
      </c>
      <c r="D82" t="s">
        <v>10</v>
      </c>
      <c r="E82">
        <v>17</v>
      </c>
      <c r="F82">
        <v>78.75</v>
      </c>
      <c r="G82">
        <v>31506</v>
      </c>
      <c r="H82">
        <v>0</v>
      </c>
      <c r="I82">
        <v>4</v>
      </c>
      <c r="K82" t="s">
        <v>330</v>
      </c>
    </row>
    <row r="83" spans="1:12" x14ac:dyDescent="0.25">
      <c r="A83" s="6">
        <v>8</v>
      </c>
      <c r="B83" t="s">
        <v>10</v>
      </c>
      <c r="C83" t="s">
        <v>10</v>
      </c>
      <c r="D83" t="s">
        <v>10</v>
      </c>
      <c r="E83">
        <v>13</v>
      </c>
      <c r="F83">
        <v>58.37</v>
      </c>
      <c r="G83">
        <v>19976</v>
      </c>
      <c r="H83">
        <v>0</v>
      </c>
      <c r="I83">
        <v>3</v>
      </c>
      <c r="K83" t="s">
        <v>331</v>
      </c>
    </row>
    <row r="84" spans="1:12" x14ac:dyDescent="0.25">
      <c r="A84" s="6">
        <v>9</v>
      </c>
      <c r="B84" t="s">
        <v>10</v>
      </c>
      <c r="C84" t="s">
        <v>10</v>
      </c>
      <c r="D84" t="s">
        <v>10</v>
      </c>
      <c r="E84">
        <v>17</v>
      </c>
      <c r="F84">
        <v>64.3</v>
      </c>
      <c r="G84">
        <v>30376</v>
      </c>
      <c r="H84">
        <v>0</v>
      </c>
      <c r="I84">
        <v>4</v>
      </c>
      <c r="K84" t="s">
        <v>332</v>
      </c>
    </row>
    <row r="85" spans="1:12" x14ac:dyDescent="0.25">
      <c r="A85" s="6">
        <v>10</v>
      </c>
      <c r="B85" t="s">
        <v>10</v>
      </c>
      <c r="C85" t="s">
        <v>10</v>
      </c>
      <c r="D85" t="s">
        <v>10</v>
      </c>
      <c r="E85">
        <v>9</v>
      </c>
      <c r="F85">
        <v>44.17</v>
      </c>
      <c r="G85">
        <v>12444</v>
      </c>
      <c r="H85">
        <v>0</v>
      </c>
      <c r="I85">
        <v>2</v>
      </c>
      <c r="K85" t="s">
        <v>333</v>
      </c>
    </row>
    <row r="86" spans="1:12" x14ac:dyDescent="0.25">
      <c r="A86" s="7" t="s">
        <v>11</v>
      </c>
      <c r="B86" s="8">
        <v>1</v>
      </c>
      <c r="C86" s="8">
        <v>1</v>
      </c>
      <c r="D86" s="8">
        <v>1</v>
      </c>
      <c r="E86" s="8">
        <f>SUM(E76:E85)/10</f>
        <v>12.2</v>
      </c>
      <c r="F86" s="8">
        <f t="shared" ref="F86:G86" si="3">SUM(F76:F85)/10</f>
        <v>55.018000000000008</v>
      </c>
      <c r="G86" s="8">
        <f t="shared" si="3"/>
        <v>19498</v>
      </c>
      <c r="H86" s="8">
        <f>SUM(H76:H85)/10</f>
        <v>0</v>
      </c>
      <c r="I86" s="8">
        <f>SUM(I76:I85)/10</f>
        <v>2.8</v>
      </c>
      <c r="J86" s="8"/>
      <c r="K86" s="8"/>
    </row>
    <row r="87" spans="1:12" x14ac:dyDescent="0.25">
      <c r="A87" s="1"/>
    </row>
    <row r="88" spans="1:12" x14ac:dyDescent="0.25">
      <c r="A88" s="9"/>
      <c r="E88" s="10"/>
      <c r="F88" s="10"/>
      <c r="G88" s="10"/>
      <c r="H88" s="10"/>
      <c r="I88" s="10"/>
      <c r="J88" s="10"/>
    </row>
    <row r="90" spans="1:1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 ht="15.75" x14ac:dyDescent="0.25">
      <c r="A91" s="18" t="s">
        <v>120</v>
      </c>
      <c r="B91" s="2"/>
    </row>
    <row r="92" spans="1:12" x14ac:dyDescent="0.25">
      <c r="B92" s="3" t="s">
        <v>26</v>
      </c>
    </row>
    <row r="93" spans="1:12" x14ac:dyDescent="0.25">
      <c r="B93" s="3" t="s">
        <v>27</v>
      </c>
    </row>
    <row r="94" spans="1:12" x14ac:dyDescent="0.25">
      <c r="B94" s="3" t="s">
        <v>28</v>
      </c>
    </row>
    <row r="95" spans="1:12" x14ac:dyDescent="0.25">
      <c r="A95" s="1" t="s">
        <v>3</v>
      </c>
    </row>
    <row r="97" spans="1:12" x14ac:dyDescent="0.25">
      <c r="A97" s="4" t="s">
        <v>4</v>
      </c>
      <c r="B97" s="5" t="s">
        <v>141</v>
      </c>
      <c r="C97" s="5" t="s">
        <v>140</v>
      </c>
      <c r="D97" s="5" t="s">
        <v>139</v>
      </c>
      <c r="E97" s="5" t="s">
        <v>5</v>
      </c>
      <c r="F97" s="5" t="s">
        <v>6</v>
      </c>
      <c r="G97" s="5" t="s">
        <v>7</v>
      </c>
      <c r="H97" s="5" t="s">
        <v>138</v>
      </c>
      <c r="I97" s="5" t="s">
        <v>8</v>
      </c>
      <c r="J97" s="5" t="s">
        <v>9</v>
      </c>
      <c r="K97" s="5" t="s">
        <v>143</v>
      </c>
    </row>
    <row r="98" spans="1:12" x14ac:dyDescent="0.25">
      <c r="A98" s="6">
        <v>1</v>
      </c>
      <c r="B98" t="s">
        <v>10</v>
      </c>
      <c r="C98" t="s">
        <v>10</v>
      </c>
      <c r="D98" t="s">
        <v>10</v>
      </c>
      <c r="E98">
        <v>9</v>
      </c>
      <c r="F98">
        <v>49.96</v>
      </c>
      <c r="G98">
        <v>12655</v>
      </c>
      <c r="H98">
        <v>0</v>
      </c>
      <c r="I98">
        <v>2</v>
      </c>
      <c r="K98" t="s">
        <v>334</v>
      </c>
    </row>
    <row r="99" spans="1:12" x14ac:dyDescent="0.25">
      <c r="A99" s="6">
        <v>2</v>
      </c>
      <c r="B99" t="s">
        <v>10</v>
      </c>
      <c r="C99" t="s">
        <v>10</v>
      </c>
      <c r="D99" t="s">
        <v>10</v>
      </c>
      <c r="E99">
        <v>9</v>
      </c>
      <c r="F99">
        <v>35.31</v>
      </c>
      <c r="G99">
        <v>12844</v>
      </c>
      <c r="H99">
        <v>0</v>
      </c>
      <c r="I99">
        <v>2</v>
      </c>
      <c r="K99" t="s">
        <v>335</v>
      </c>
    </row>
    <row r="100" spans="1:12" x14ac:dyDescent="0.25">
      <c r="A100" s="6">
        <v>3</v>
      </c>
      <c r="B100" t="s">
        <v>10</v>
      </c>
      <c r="C100" t="s">
        <v>10</v>
      </c>
      <c r="D100" t="s">
        <v>10</v>
      </c>
      <c r="E100">
        <v>9</v>
      </c>
      <c r="F100">
        <v>35.6</v>
      </c>
      <c r="G100">
        <v>12742</v>
      </c>
      <c r="H100">
        <v>0</v>
      </c>
      <c r="I100">
        <v>2</v>
      </c>
      <c r="K100" t="s">
        <v>336</v>
      </c>
    </row>
    <row r="101" spans="1:12" x14ac:dyDescent="0.25">
      <c r="A101" s="6">
        <v>4</v>
      </c>
      <c r="B101" t="s">
        <v>10</v>
      </c>
      <c r="C101" t="s">
        <v>10</v>
      </c>
      <c r="D101" t="s">
        <v>10</v>
      </c>
      <c r="E101">
        <v>13</v>
      </c>
      <c r="F101">
        <v>54.6</v>
      </c>
      <c r="G101">
        <v>21331</v>
      </c>
      <c r="H101">
        <v>0</v>
      </c>
      <c r="I101">
        <v>3</v>
      </c>
      <c r="K101" t="s">
        <v>337</v>
      </c>
    </row>
    <row r="102" spans="1:12" x14ac:dyDescent="0.25">
      <c r="A102" s="6">
        <v>5</v>
      </c>
      <c r="B102" t="s">
        <v>10</v>
      </c>
      <c r="C102" t="s">
        <v>10</v>
      </c>
      <c r="D102" t="s">
        <v>10</v>
      </c>
      <c r="E102">
        <v>9</v>
      </c>
      <c r="F102">
        <v>32.47</v>
      </c>
      <c r="G102">
        <v>12030</v>
      </c>
      <c r="H102">
        <v>0</v>
      </c>
      <c r="I102">
        <v>2</v>
      </c>
      <c r="K102" t="s">
        <v>338</v>
      </c>
    </row>
    <row r="103" spans="1:12" x14ac:dyDescent="0.25">
      <c r="A103" s="6">
        <v>6</v>
      </c>
      <c r="B103" t="s">
        <v>10</v>
      </c>
      <c r="C103" t="s">
        <v>10</v>
      </c>
      <c r="D103" t="s">
        <v>10</v>
      </c>
      <c r="E103">
        <v>9</v>
      </c>
      <c r="F103">
        <v>36.17</v>
      </c>
      <c r="G103">
        <v>12274</v>
      </c>
      <c r="H103">
        <v>0</v>
      </c>
      <c r="I103">
        <v>2</v>
      </c>
      <c r="K103" t="s">
        <v>339</v>
      </c>
    </row>
    <row r="104" spans="1:12" x14ac:dyDescent="0.25">
      <c r="A104" s="6">
        <v>7</v>
      </c>
      <c r="B104" t="s">
        <v>10</v>
      </c>
      <c r="C104" t="s">
        <v>10</v>
      </c>
      <c r="D104" t="s">
        <v>10</v>
      </c>
      <c r="E104">
        <v>13</v>
      </c>
      <c r="F104">
        <v>51.75</v>
      </c>
      <c r="G104">
        <v>21187</v>
      </c>
      <c r="H104">
        <v>0</v>
      </c>
      <c r="I104">
        <v>3</v>
      </c>
      <c r="K104" t="s">
        <v>340</v>
      </c>
    </row>
    <row r="105" spans="1:12" x14ac:dyDescent="0.25">
      <c r="A105" s="6">
        <v>8</v>
      </c>
      <c r="B105" t="s">
        <v>10</v>
      </c>
      <c r="C105" t="s">
        <v>10</v>
      </c>
      <c r="D105" t="s">
        <v>10</v>
      </c>
      <c r="E105">
        <v>13</v>
      </c>
      <c r="F105">
        <v>57.84</v>
      </c>
      <c r="G105">
        <v>21352</v>
      </c>
      <c r="H105">
        <v>0</v>
      </c>
      <c r="I105">
        <v>3</v>
      </c>
      <c r="K105" t="s">
        <v>341</v>
      </c>
    </row>
    <row r="106" spans="1:12" x14ac:dyDescent="0.25">
      <c r="A106" s="6">
        <v>9</v>
      </c>
      <c r="B106" t="s">
        <v>10</v>
      </c>
      <c r="C106" t="s">
        <v>10</v>
      </c>
      <c r="D106" t="s">
        <v>10</v>
      </c>
      <c r="E106">
        <v>13</v>
      </c>
      <c r="F106">
        <v>49.87</v>
      </c>
      <c r="G106">
        <v>20970</v>
      </c>
      <c r="H106">
        <v>0</v>
      </c>
      <c r="I106">
        <v>3</v>
      </c>
      <c r="K106" t="s">
        <v>342</v>
      </c>
    </row>
    <row r="107" spans="1:12" x14ac:dyDescent="0.25">
      <c r="A107" s="6">
        <v>10</v>
      </c>
      <c r="B107" t="s">
        <v>10</v>
      </c>
      <c r="C107" t="s">
        <v>10</v>
      </c>
      <c r="D107" t="s">
        <v>10</v>
      </c>
      <c r="E107">
        <v>9</v>
      </c>
      <c r="F107">
        <v>33.799999999999997</v>
      </c>
      <c r="G107">
        <v>12162</v>
      </c>
      <c r="H107">
        <v>0</v>
      </c>
      <c r="I107">
        <v>2</v>
      </c>
      <c r="K107" t="s">
        <v>343</v>
      </c>
    </row>
    <row r="108" spans="1:12" x14ac:dyDescent="0.25">
      <c r="A108" s="7" t="s">
        <v>11</v>
      </c>
      <c r="B108" s="8">
        <v>1</v>
      </c>
      <c r="C108" s="8">
        <v>1</v>
      </c>
      <c r="D108" s="8">
        <v>1</v>
      </c>
      <c r="E108" s="8">
        <f>SUM(E98:E107)/10</f>
        <v>10.6</v>
      </c>
      <c r="F108" s="8">
        <f t="shared" ref="F108:G108" si="4">SUM(F98:F107)/10</f>
        <v>43.737000000000009</v>
      </c>
      <c r="G108" s="8">
        <f t="shared" si="4"/>
        <v>15954.7</v>
      </c>
      <c r="H108" s="8">
        <f>SUM(H98:H107)/10</f>
        <v>0</v>
      </c>
      <c r="I108" s="8">
        <f>SUM(I98:I107)/10</f>
        <v>2.4</v>
      </c>
      <c r="J108" s="8"/>
      <c r="K108" s="8"/>
    </row>
    <row r="109" spans="1:12" x14ac:dyDescent="0.25">
      <c r="A109" s="1"/>
    </row>
    <row r="110" spans="1:12" x14ac:dyDescent="0.25">
      <c r="A110" s="9"/>
      <c r="E110" s="10"/>
      <c r="F110" s="10"/>
      <c r="G110" s="10"/>
      <c r="H110" s="10"/>
      <c r="I110" s="10"/>
      <c r="J110" s="10"/>
    </row>
    <row r="112" spans="1:12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1:11" ht="15.75" x14ac:dyDescent="0.25">
      <c r="A113" s="18" t="s">
        <v>121</v>
      </c>
      <c r="B113" s="2"/>
    </row>
    <row r="114" spans="1:11" x14ac:dyDescent="0.25">
      <c r="B114" s="3" t="s">
        <v>30</v>
      </c>
    </row>
    <row r="115" spans="1:11" x14ac:dyDescent="0.25">
      <c r="B115" s="3" t="s">
        <v>31</v>
      </c>
    </row>
    <row r="116" spans="1:11" x14ac:dyDescent="0.25">
      <c r="B116" s="3" t="s">
        <v>32</v>
      </c>
    </row>
    <row r="117" spans="1:11" x14ac:dyDescent="0.25">
      <c r="A117" s="1" t="s">
        <v>3</v>
      </c>
    </row>
    <row r="119" spans="1:11" x14ac:dyDescent="0.25">
      <c r="A119" s="4" t="s">
        <v>4</v>
      </c>
      <c r="B119" s="5" t="s">
        <v>141</v>
      </c>
      <c r="C119" s="5" t="s">
        <v>140</v>
      </c>
      <c r="D119" s="5" t="s">
        <v>139</v>
      </c>
      <c r="E119" s="5" t="s">
        <v>5</v>
      </c>
      <c r="F119" s="5" t="s">
        <v>6</v>
      </c>
      <c r="G119" s="5" t="s">
        <v>7</v>
      </c>
      <c r="H119" s="5" t="s">
        <v>138</v>
      </c>
      <c r="I119" s="5" t="s">
        <v>8</v>
      </c>
      <c r="J119" s="5" t="s">
        <v>9</v>
      </c>
      <c r="K119" s="5" t="s">
        <v>143</v>
      </c>
    </row>
    <row r="120" spans="1:11" x14ac:dyDescent="0.25">
      <c r="A120" s="6">
        <v>1</v>
      </c>
      <c r="B120" t="s">
        <v>10</v>
      </c>
      <c r="C120" t="s">
        <v>10</v>
      </c>
      <c r="D120" t="s">
        <v>10</v>
      </c>
      <c r="E120">
        <v>9</v>
      </c>
      <c r="F120">
        <v>50.55</v>
      </c>
      <c r="G120">
        <v>11984</v>
      </c>
      <c r="H120">
        <v>0</v>
      </c>
      <c r="I120">
        <v>2</v>
      </c>
      <c r="K120" t="s">
        <v>344</v>
      </c>
    </row>
    <row r="121" spans="1:11" x14ac:dyDescent="0.25">
      <c r="A121" s="6">
        <v>2</v>
      </c>
      <c r="B121" t="s">
        <v>10</v>
      </c>
      <c r="C121" t="s">
        <v>10</v>
      </c>
      <c r="D121" t="s">
        <v>10</v>
      </c>
      <c r="E121">
        <v>13</v>
      </c>
      <c r="F121">
        <v>57.94</v>
      </c>
      <c r="G121">
        <v>19893</v>
      </c>
      <c r="H121">
        <v>0</v>
      </c>
      <c r="I121">
        <v>3</v>
      </c>
      <c r="K121" t="s">
        <v>345</v>
      </c>
    </row>
    <row r="122" spans="1:11" x14ac:dyDescent="0.25">
      <c r="A122" s="6">
        <v>3</v>
      </c>
      <c r="B122" t="s">
        <v>10</v>
      </c>
      <c r="C122" t="s">
        <v>10</v>
      </c>
      <c r="D122" t="s">
        <v>10</v>
      </c>
      <c r="E122">
        <v>9</v>
      </c>
      <c r="F122">
        <v>53.05</v>
      </c>
      <c r="G122">
        <v>12973</v>
      </c>
      <c r="H122">
        <v>0</v>
      </c>
      <c r="I122">
        <v>2</v>
      </c>
      <c r="K122" t="s">
        <v>346</v>
      </c>
    </row>
    <row r="123" spans="1:11" x14ac:dyDescent="0.25">
      <c r="A123" s="6">
        <v>4</v>
      </c>
      <c r="B123" t="s">
        <v>10</v>
      </c>
      <c r="C123" t="s">
        <v>10</v>
      </c>
      <c r="D123" t="s">
        <v>10</v>
      </c>
      <c r="E123">
        <v>9</v>
      </c>
      <c r="F123">
        <v>44.35</v>
      </c>
      <c r="G123">
        <v>12103</v>
      </c>
      <c r="H123">
        <v>0</v>
      </c>
      <c r="I123">
        <v>2</v>
      </c>
      <c r="K123" t="s">
        <v>347</v>
      </c>
    </row>
    <row r="124" spans="1:11" x14ac:dyDescent="0.25">
      <c r="A124" s="6">
        <v>5</v>
      </c>
      <c r="B124" t="s">
        <v>10</v>
      </c>
      <c r="C124" t="s">
        <v>10</v>
      </c>
      <c r="D124" t="s">
        <v>10</v>
      </c>
      <c r="E124">
        <v>13</v>
      </c>
      <c r="F124">
        <v>63.01</v>
      </c>
      <c r="G124">
        <v>20106</v>
      </c>
      <c r="H124">
        <v>0</v>
      </c>
      <c r="I124">
        <v>3</v>
      </c>
      <c r="K124" t="s">
        <v>348</v>
      </c>
    </row>
    <row r="125" spans="1:11" x14ac:dyDescent="0.25">
      <c r="A125" s="6">
        <v>6</v>
      </c>
      <c r="B125" t="s">
        <v>10</v>
      </c>
      <c r="C125" t="s">
        <v>10</v>
      </c>
      <c r="D125" t="s">
        <v>10</v>
      </c>
      <c r="E125">
        <v>13</v>
      </c>
      <c r="F125">
        <v>66.069999999999993</v>
      </c>
      <c r="G125">
        <v>23866</v>
      </c>
      <c r="H125">
        <v>0</v>
      </c>
      <c r="I125">
        <v>3</v>
      </c>
      <c r="K125" t="s">
        <v>349</v>
      </c>
    </row>
    <row r="126" spans="1:11" x14ac:dyDescent="0.25">
      <c r="A126" s="6">
        <v>7</v>
      </c>
      <c r="B126" t="s">
        <v>10</v>
      </c>
      <c r="C126" t="s">
        <v>10</v>
      </c>
      <c r="D126" t="s">
        <v>10</v>
      </c>
      <c r="E126">
        <v>9</v>
      </c>
      <c r="F126">
        <v>33.1</v>
      </c>
      <c r="G126">
        <v>12265</v>
      </c>
      <c r="H126">
        <v>0</v>
      </c>
      <c r="I126">
        <v>2</v>
      </c>
      <c r="K126" t="s">
        <v>350</v>
      </c>
    </row>
    <row r="127" spans="1:11" x14ac:dyDescent="0.25">
      <c r="A127" s="6">
        <v>8</v>
      </c>
      <c r="B127" t="s">
        <v>10</v>
      </c>
      <c r="C127" t="s">
        <v>10</v>
      </c>
      <c r="D127" t="s">
        <v>10</v>
      </c>
      <c r="E127">
        <v>9</v>
      </c>
      <c r="F127">
        <v>32.6</v>
      </c>
      <c r="G127">
        <v>11944</v>
      </c>
      <c r="H127">
        <v>0</v>
      </c>
      <c r="I127">
        <v>2</v>
      </c>
      <c r="K127" t="s">
        <v>351</v>
      </c>
    </row>
    <row r="128" spans="1:11" x14ac:dyDescent="0.25">
      <c r="A128" s="6">
        <v>9</v>
      </c>
      <c r="B128" t="s">
        <v>10</v>
      </c>
      <c r="C128" t="s">
        <v>10</v>
      </c>
      <c r="D128" t="s">
        <v>10</v>
      </c>
      <c r="E128">
        <v>9</v>
      </c>
      <c r="F128">
        <v>36.380000000000003</v>
      </c>
      <c r="G128">
        <v>11556</v>
      </c>
      <c r="H128">
        <v>0</v>
      </c>
      <c r="I128">
        <v>2</v>
      </c>
      <c r="K128" t="s">
        <v>352</v>
      </c>
    </row>
    <row r="129" spans="1:12" x14ac:dyDescent="0.25">
      <c r="A129" s="6">
        <v>10</v>
      </c>
      <c r="B129" t="s">
        <v>10</v>
      </c>
      <c r="C129" t="s">
        <v>10</v>
      </c>
      <c r="D129" t="s">
        <v>10</v>
      </c>
      <c r="E129">
        <v>9</v>
      </c>
      <c r="F129">
        <v>40.1</v>
      </c>
      <c r="G129">
        <v>11911</v>
      </c>
      <c r="H129">
        <v>0</v>
      </c>
      <c r="I129">
        <v>2</v>
      </c>
      <c r="K129" t="s">
        <v>353</v>
      </c>
    </row>
    <row r="130" spans="1:12" x14ac:dyDescent="0.25">
      <c r="A130" s="7" t="s">
        <v>11</v>
      </c>
      <c r="B130" s="8">
        <v>1</v>
      </c>
      <c r="C130" s="8">
        <v>1</v>
      </c>
      <c r="D130" s="8">
        <v>1</v>
      </c>
      <c r="E130" s="13">
        <f>SUM(E120:E129)/10</f>
        <v>10.199999999999999</v>
      </c>
      <c r="F130" s="12">
        <f t="shared" ref="F130:G130" si="5">SUM(F120:F129)/10</f>
        <v>47.715000000000003</v>
      </c>
      <c r="G130" s="13">
        <f t="shared" si="5"/>
        <v>14860.1</v>
      </c>
      <c r="H130" s="13">
        <f>SUM(H120:H129)/10</f>
        <v>0</v>
      </c>
      <c r="I130" s="13">
        <f>SUM(I120:I129)/10</f>
        <v>2.2999999999999998</v>
      </c>
      <c r="J130" s="8"/>
      <c r="K130" s="8"/>
    </row>
    <row r="131" spans="1:12" x14ac:dyDescent="0.25">
      <c r="A131" s="1"/>
    </row>
    <row r="132" spans="1:12" x14ac:dyDescent="0.25">
      <c r="A132" s="9"/>
      <c r="E132" s="10"/>
      <c r="F132" s="10"/>
      <c r="G132" s="10"/>
      <c r="H132" s="10"/>
      <c r="I132" s="10"/>
      <c r="J132" s="10"/>
    </row>
    <row r="134" spans="1:12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spans="1:12" ht="15.75" x14ac:dyDescent="0.25">
      <c r="A135" s="18" t="s">
        <v>122</v>
      </c>
      <c r="B135" s="2"/>
    </row>
    <row r="136" spans="1:12" x14ac:dyDescent="0.25">
      <c r="B136" s="3" t="s">
        <v>35</v>
      </c>
    </row>
    <row r="137" spans="1:12" x14ac:dyDescent="0.25">
      <c r="B137" s="3" t="s">
        <v>36</v>
      </c>
    </row>
    <row r="138" spans="1:12" x14ac:dyDescent="0.25">
      <c r="B138" s="3" t="s">
        <v>37</v>
      </c>
    </row>
    <row r="139" spans="1:12" x14ac:dyDescent="0.25">
      <c r="A139" s="1" t="s">
        <v>3</v>
      </c>
    </row>
    <row r="141" spans="1:12" x14ac:dyDescent="0.25">
      <c r="A141" s="4" t="s">
        <v>4</v>
      </c>
      <c r="B141" s="5" t="s">
        <v>141</v>
      </c>
      <c r="C141" s="5" t="s">
        <v>140</v>
      </c>
      <c r="D141" s="5" t="s">
        <v>139</v>
      </c>
      <c r="E141" s="5" t="s">
        <v>5</v>
      </c>
      <c r="F141" s="5" t="s">
        <v>6</v>
      </c>
      <c r="G141" s="5" t="s">
        <v>7</v>
      </c>
      <c r="H141" s="5" t="s">
        <v>138</v>
      </c>
      <c r="I141" s="5" t="s">
        <v>8</v>
      </c>
      <c r="J141" s="5" t="s">
        <v>9</v>
      </c>
      <c r="K141" s="5" t="s">
        <v>143</v>
      </c>
    </row>
    <row r="142" spans="1:12" x14ac:dyDescent="0.25">
      <c r="A142" s="6">
        <v>1</v>
      </c>
      <c r="B142" t="s">
        <v>10</v>
      </c>
      <c r="C142" t="s">
        <v>10</v>
      </c>
      <c r="D142" t="s">
        <v>10</v>
      </c>
      <c r="E142">
        <v>5</v>
      </c>
      <c r="F142">
        <v>21.26</v>
      </c>
      <c r="G142">
        <v>4802</v>
      </c>
      <c r="H142">
        <v>0</v>
      </c>
      <c r="I142">
        <v>1</v>
      </c>
      <c r="K142" t="s">
        <v>354</v>
      </c>
    </row>
    <row r="143" spans="1:12" x14ac:dyDescent="0.25">
      <c r="A143" s="6">
        <v>2</v>
      </c>
      <c r="B143" t="s">
        <v>10</v>
      </c>
      <c r="C143" t="s">
        <v>10</v>
      </c>
      <c r="D143" t="s">
        <v>10</v>
      </c>
      <c r="E143">
        <v>5</v>
      </c>
      <c r="F143">
        <v>18.89</v>
      </c>
      <c r="G143">
        <v>4761</v>
      </c>
      <c r="H143">
        <v>0</v>
      </c>
      <c r="I143">
        <v>1</v>
      </c>
      <c r="K143" t="s">
        <v>355</v>
      </c>
    </row>
    <row r="144" spans="1:12" x14ac:dyDescent="0.25">
      <c r="A144" s="6">
        <v>3</v>
      </c>
      <c r="B144" t="s">
        <v>10</v>
      </c>
      <c r="C144" t="s">
        <v>10</v>
      </c>
      <c r="D144" t="s">
        <v>10</v>
      </c>
      <c r="E144">
        <v>5</v>
      </c>
      <c r="F144">
        <v>26.51</v>
      </c>
      <c r="G144">
        <v>5364</v>
      </c>
      <c r="H144">
        <v>0</v>
      </c>
      <c r="I144">
        <v>1</v>
      </c>
      <c r="K144" t="s">
        <v>356</v>
      </c>
    </row>
    <row r="145" spans="1:12" x14ac:dyDescent="0.25">
      <c r="A145" s="6">
        <v>4</v>
      </c>
      <c r="B145" t="s">
        <v>10</v>
      </c>
      <c r="C145" t="s">
        <v>10</v>
      </c>
      <c r="D145" t="s">
        <v>10</v>
      </c>
      <c r="E145">
        <v>5</v>
      </c>
      <c r="F145">
        <v>21.53</v>
      </c>
      <c r="G145">
        <v>4689</v>
      </c>
      <c r="H145">
        <v>0</v>
      </c>
      <c r="I145">
        <v>1</v>
      </c>
      <c r="K145" t="s">
        <v>357</v>
      </c>
    </row>
    <row r="146" spans="1:12" x14ac:dyDescent="0.25">
      <c r="A146" s="6">
        <v>5</v>
      </c>
      <c r="B146" t="s">
        <v>10</v>
      </c>
      <c r="C146" t="s">
        <v>10</v>
      </c>
      <c r="D146" t="s">
        <v>10</v>
      </c>
      <c r="E146">
        <v>5</v>
      </c>
      <c r="F146">
        <v>24.52</v>
      </c>
      <c r="G146">
        <v>5099</v>
      </c>
      <c r="H146">
        <v>0</v>
      </c>
      <c r="I146">
        <v>1</v>
      </c>
      <c r="K146" t="s">
        <v>358</v>
      </c>
    </row>
    <row r="147" spans="1:12" x14ac:dyDescent="0.25">
      <c r="A147" s="6">
        <v>6</v>
      </c>
      <c r="B147" t="s">
        <v>10</v>
      </c>
      <c r="C147" t="s">
        <v>10</v>
      </c>
      <c r="D147" t="s">
        <v>10</v>
      </c>
      <c r="E147">
        <v>5</v>
      </c>
      <c r="F147">
        <v>17.010000000000002</v>
      </c>
      <c r="G147">
        <v>4778</v>
      </c>
      <c r="H147">
        <v>0</v>
      </c>
      <c r="I147">
        <v>1</v>
      </c>
      <c r="K147" t="s">
        <v>359</v>
      </c>
    </row>
    <row r="148" spans="1:12" x14ac:dyDescent="0.25">
      <c r="A148" s="6">
        <v>7</v>
      </c>
      <c r="B148" t="s">
        <v>10</v>
      </c>
      <c r="C148" t="s">
        <v>10</v>
      </c>
      <c r="D148" t="s">
        <v>10</v>
      </c>
      <c r="E148">
        <v>5</v>
      </c>
      <c r="F148">
        <v>16.32</v>
      </c>
      <c r="G148">
        <v>4517</v>
      </c>
      <c r="H148">
        <v>0</v>
      </c>
      <c r="I148">
        <v>1</v>
      </c>
      <c r="K148" t="s">
        <v>360</v>
      </c>
    </row>
    <row r="149" spans="1:12" x14ac:dyDescent="0.25">
      <c r="A149" s="6">
        <v>8</v>
      </c>
      <c r="B149" t="s">
        <v>10</v>
      </c>
      <c r="C149" t="s">
        <v>10</v>
      </c>
      <c r="D149" t="s">
        <v>10</v>
      </c>
      <c r="E149">
        <v>9</v>
      </c>
      <c r="F149">
        <v>46.63</v>
      </c>
      <c r="G149">
        <v>10241</v>
      </c>
      <c r="H149">
        <v>0</v>
      </c>
      <c r="I149">
        <v>2</v>
      </c>
      <c r="K149" t="s">
        <v>361</v>
      </c>
    </row>
    <row r="150" spans="1:12" x14ac:dyDescent="0.25">
      <c r="A150" s="6">
        <v>9</v>
      </c>
      <c r="B150" t="s">
        <v>10</v>
      </c>
      <c r="C150" t="s">
        <v>10</v>
      </c>
      <c r="D150" t="s">
        <v>10</v>
      </c>
      <c r="E150">
        <v>5</v>
      </c>
      <c r="F150">
        <v>17.2</v>
      </c>
      <c r="G150">
        <v>4503</v>
      </c>
      <c r="H150">
        <v>0</v>
      </c>
      <c r="I150">
        <v>1</v>
      </c>
      <c r="K150" t="s">
        <v>362</v>
      </c>
    </row>
    <row r="151" spans="1:12" x14ac:dyDescent="0.25">
      <c r="A151" s="6">
        <v>10</v>
      </c>
      <c r="B151" t="s">
        <v>10</v>
      </c>
      <c r="C151" t="s">
        <v>10</v>
      </c>
      <c r="D151" t="s">
        <v>10</v>
      </c>
      <c r="E151">
        <v>5</v>
      </c>
      <c r="F151">
        <v>17.53</v>
      </c>
      <c r="G151">
        <v>4736</v>
      </c>
      <c r="H151">
        <v>0</v>
      </c>
      <c r="I151">
        <v>1</v>
      </c>
      <c r="K151" t="s">
        <v>363</v>
      </c>
    </row>
    <row r="152" spans="1:12" x14ac:dyDescent="0.25">
      <c r="A152" s="7" t="s">
        <v>11</v>
      </c>
      <c r="B152" s="8">
        <v>1</v>
      </c>
      <c r="C152" s="8">
        <v>1</v>
      </c>
      <c r="D152" s="8">
        <v>1</v>
      </c>
      <c r="E152" s="8">
        <f>SUM(E142:E151)/10</f>
        <v>5.4</v>
      </c>
      <c r="F152" s="8">
        <f t="shared" ref="F152:G152" si="6">SUM(F142:F151)/10</f>
        <v>22.74</v>
      </c>
      <c r="G152" s="13">
        <f t="shared" si="6"/>
        <v>5349</v>
      </c>
      <c r="H152" s="8">
        <f>SUM(H142:H151)/10</f>
        <v>0</v>
      </c>
      <c r="I152" s="8">
        <f>SUM(I142:I151)/10</f>
        <v>1.1000000000000001</v>
      </c>
      <c r="J152" s="8"/>
      <c r="K152" s="8"/>
    </row>
    <row r="153" spans="1:12" x14ac:dyDescent="0.25">
      <c r="A153" s="1"/>
    </row>
    <row r="154" spans="1:12" x14ac:dyDescent="0.25">
      <c r="A154" s="9"/>
      <c r="E154" s="10"/>
      <c r="F154" s="10"/>
      <c r="G154" s="10"/>
      <c r="H154" s="10"/>
      <c r="I154" s="10"/>
      <c r="J154" s="10"/>
    </row>
    <row r="156" spans="1:12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spans="1:12" ht="15.75" x14ac:dyDescent="0.25">
      <c r="A157" s="18" t="s">
        <v>123</v>
      </c>
      <c r="B157" s="2"/>
    </row>
    <row r="158" spans="1:12" x14ac:dyDescent="0.25">
      <c r="B158" s="3" t="s">
        <v>35</v>
      </c>
    </row>
    <row r="159" spans="1:12" x14ac:dyDescent="0.25">
      <c r="B159" s="3" t="s">
        <v>38</v>
      </c>
    </row>
    <row r="160" spans="1:12" x14ac:dyDescent="0.25">
      <c r="B160" s="3" t="s">
        <v>39</v>
      </c>
    </row>
    <row r="161" spans="1:11" x14ac:dyDescent="0.25">
      <c r="A161" s="1" t="s">
        <v>3</v>
      </c>
    </row>
    <row r="163" spans="1:11" x14ac:dyDescent="0.25">
      <c r="A163" s="4" t="s">
        <v>4</v>
      </c>
      <c r="B163" s="5" t="s">
        <v>141</v>
      </c>
      <c r="C163" s="5" t="s">
        <v>140</v>
      </c>
      <c r="D163" s="5" t="s">
        <v>139</v>
      </c>
      <c r="E163" s="5" t="s">
        <v>5</v>
      </c>
      <c r="F163" s="5" t="s">
        <v>6</v>
      </c>
      <c r="G163" s="5" t="s">
        <v>7</v>
      </c>
      <c r="H163" s="5" t="s">
        <v>138</v>
      </c>
      <c r="I163" s="5" t="s">
        <v>8</v>
      </c>
      <c r="J163" s="5" t="s">
        <v>9</v>
      </c>
      <c r="K163" s="5" t="s">
        <v>143</v>
      </c>
    </row>
    <row r="164" spans="1:11" x14ac:dyDescent="0.25">
      <c r="A164" s="6">
        <v>1</v>
      </c>
      <c r="B164" t="s">
        <v>10</v>
      </c>
      <c r="C164" t="s">
        <v>10</v>
      </c>
      <c r="D164" t="s">
        <v>10</v>
      </c>
      <c r="E164">
        <v>5</v>
      </c>
      <c r="F164">
        <v>26.01</v>
      </c>
      <c r="G164">
        <v>5044</v>
      </c>
      <c r="H164">
        <v>0</v>
      </c>
      <c r="I164">
        <v>1</v>
      </c>
      <c r="K164" t="s">
        <v>364</v>
      </c>
    </row>
    <row r="165" spans="1:11" x14ac:dyDescent="0.25">
      <c r="A165" s="6">
        <v>2</v>
      </c>
      <c r="B165" t="s">
        <v>10</v>
      </c>
      <c r="C165" t="s">
        <v>10</v>
      </c>
      <c r="D165" t="s">
        <v>10</v>
      </c>
      <c r="E165">
        <v>5</v>
      </c>
      <c r="F165">
        <v>25.85</v>
      </c>
      <c r="G165">
        <v>5237</v>
      </c>
      <c r="H165">
        <v>0</v>
      </c>
      <c r="I165">
        <v>1</v>
      </c>
      <c r="K165" t="s">
        <v>365</v>
      </c>
    </row>
    <row r="166" spans="1:11" x14ac:dyDescent="0.25">
      <c r="A166" s="6">
        <v>3</v>
      </c>
      <c r="B166" t="s">
        <v>10</v>
      </c>
      <c r="C166" t="s">
        <v>10</v>
      </c>
      <c r="D166" t="s">
        <v>10</v>
      </c>
      <c r="E166">
        <v>5</v>
      </c>
      <c r="F166">
        <v>17.079999999999998</v>
      </c>
      <c r="G166">
        <v>4516</v>
      </c>
      <c r="H166">
        <v>0</v>
      </c>
      <c r="I166">
        <v>1</v>
      </c>
      <c r="K166" t="s">
        <v>366</v>
      </c>
    </row>
    <row r="167" spans="1:11" x14ac:dyDescent="0.25">
      <c r="A167" s="6">
        <v>4</v>
      </c>
      <c r="B167" t="s">
        <v>10</v>
      </c>
      <c r="C167" t="s">
        <v>10</v>
      </c>
      <c r="D167" t="s">
        <v>10</v>
      </c>
      <c r="E167">
        <v>5</v>
      </c>
      <c r="F167">
        <v>23.33</v>
      </c>
      <c r="G167">
        <v>4780</v>
      </c>
      <c r="H167">
        <v>0</v>
      </c>
      <c r="I167">
        <v>1</v>
      </c>
      <c r="K167" t="s">
        <v>367</v>
      </c>
    </row>
    <row r="168" spans="1:11" x14ac:dyDescent="0.25">
      <c r="A168" s="6">
        <v>5</v>
      </c>
      <c r="B168" t="s">
        <v>10</v>
      </c>
      <c r="C168" t="s">
        <v>10</v>
      </c>
      <c r="D168" t="s">
        <v>10</v>
      </c>
      <c r="E168">
        <v>9</v>
      </c>
      <c r="F168">
        <v>57.79</v>
      </c>
      <c r="G168">
        <v>10706</v>
      </c>
      <c r="H168">
        <v>0</v>
      </c>
      <c r="I168">
        <v>2</v>
      </c>
      <c r="K168" t="s">
        <v>368</v>
      </c>
    </row>
    <row r="169" spans="1:11" x14ac:dyDescent="0.25">
      <c r="A169" s="6">
        <v>6</v>
      </c>
      <c r="B169" t="s">
        <v>10</v>
      </c>
      <c r="C169" t="s">
        <v>10</v>
      </c>
      <c r="D169" t="s">
        <v>10</v>
      </c>
      <c r="E169">
        <v>5</v>
      </c>
      <c r="F169">
        <v>18.600000000000001</v>
      </c>
      <c r="G169">
        <v>4718</v>
      </c>
      <c r="H169">
        <v>0</v>
      </c>
      <c r="I169">
        <v>1</v>
      </c>
      <c r="K169" t="s">
        <v>369</v>
      </c>
    </row>
    <row r="170" spans="1:11" x14ac:dyDescent="0.25">
      <c r="A170" s="6">
        <v>7</v>
      </c>
      <c r="B170" t="s">
        <v>10</v>
      </c>
      <c r="C170" t="s">
        <v>10</v>
      </c>
      <c r="D170" t="s">
        <v>10</v>
      </c>
      <c r="E170">
        <v>5</v>
      </c>
      <c r="F170">
        <v>16.84</v>
      </c>
      <c r="G170">
        <v>4902</v>
      </c>
      <c r="H170">
        <v>0</v>
      </c>
      <c r="I170">
        <v>1</v>
      </c>
      <c r="K170" t="s">
        <v>370</v>
      </c>
    </row>
    <row r="171" spans="1:11" x14ac:dyDescent="0.25">
      <c r="A171" s="6">
        <v>8</v>
      </c>
      <c r="B171" t="s">
        <v>10</v>
      </c>
      <c r="C171" t="s">
        <v>10</v>
      </c>
      <c r="D171" t="s">
        <v>10</v>
      </c>
      <c r="E171">
        <v>5</v>
      </c>
      <c r="F171">
        <v>15.29</v>
      </c>
      <c r="G171">
        <v>4728</v>
      </c>
      <c r="H171">
        <v>0</v>
      </c>
      <c r="I171">
        <v>1</v>
      </c>
      <c r="K171" t="s">
        <v>371</v>
      </c>
    </row>
    <row r="172" spans="1:11" x14ac:dyDescent="0.25">
      <c r="A172" s="6">
        <v>9</v>
      </c>
      <c r="B172" t="s">
        <v>10</v>
      </c>
      <c r="C172" t="s">
        <v>10</v>
      </c>
      <c r="D172" t="s">
        <v>10</v>
      </c>
      <c r="E172">
        <v>5</v>
      </c>
      <c r="F172">
        <v>20.67</v>
      </c>
      <c r="G172">
        <v>4955</v>
      </c>
      <c r="H172">
        <v>0</v>
      </c>
      <c r="I172">
        <v>1</v>
      </c>
      <c r="K172" t="s">
        <v>372</v>
      </c>
    </row>
    <row r="173" spans="1:11" x14ac:dyDescent="0.25">
      <c r="A173" s="6">
        <v>10</v>
      </c>
      <c r="B173" t="s">
        <v>10</v>
      </c>
      <c r="C173" t="s">
        <v>10</v>
      </c>
      <c r="D173" t="s">
        <v>10</v>
      </c>
      <c r="E173">
        <v>5</v>
      </c>
      <c r="F173">
        <v>38.79</v>
      </c>
      <c r="G173">
        <v>5330</v>
      </c>
      <c r="H173">
        <v>0</v>
      </c>
      <c r="I173">
        <v>1</v>
      </c>
      <c r="K173" t="s">
        <v>373</v>
      </c>
    </row>
    <row r="174" spans="1:11" x14ac:dyDescent="0.25">
      <c r="A174" s="7" t="s">
        <v>11</v>
      </c>
      <c r="B174" s="8">
        <v>1</v>
      </c>
      <c r="C174" s="8">
        <v>1</v>
      </c>
      <c r="D174" s="8">
        <v>1</v>
      </c>
      <c r="E174" s="8">
        <f>SUM(E164:E173)/10</f>
        <v>5.4</v>
      </c>
      <c r="F174" s="14">
        <f t="shared" ref="F174:G174" si="7">SUM(F164:F173)/10</f>
        <v>26.024999999999999</v>
      </c>
      <c r="G174" s="8">
        <f t="shared" si="7"/>
        <v>5491.6</v>
      </c>
      <c r="H174" s="8">
        <f>SUM(H164:H173)/10</f>
        <v>0</v>
      </c>
      <c r="I174" s="8">
        <f>SUM(I164:I173)/10</f>
        <v>1.1000000000000001</v>
      </c>
      <c r="J174" s="8"/>
      <c r="K174" s="8"/>
    </row>
    <row r="175" spans="1:11" x14ac:dyDescent="0.25">
      <c r="A175" s="1"/>
    </row>
    <row r="176" spans="1:11" x14ac:dyDescent="0.25">
      <c r="A176" s="9"/>
      <c r="E176" s="10"/>
      <c r="F176" s="10"/>
      <c r="G176" s="10"/>
      <c r="H176" s="10"/>
      <c r="I176" s="10"/>
      <c r="J176" s="10"/>
    </row>
    <row r="178" spans="1:12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1:12" ht="15.75" x14ac:dyDescent="0.25">
      <c r="A179" s="18" t="s">
        <v>124</v>
      </c>
      <c r="B179" s="2"/>
    </row>
    <row r="180" spans="1:12" x14ac:dyDescent="0.25">
      <c r="B180" s="3" t="s">
        <v>40</v>
      </c>
    </row>
    <row r="181" spans="1:12" x14ac:dyDescent="0.25">
      <c r="B181" s="3" t="s">
        <v>41</v>
      </c>
    </row>
    <row r="182" spans="1:12" x14ac:dyDescent="0.25">
      <c r="B182" s="3" t="s">
        <v>42</v>
      </c>
    </row>
    <row r="183" spans="1:12" x14ac:dyDescent="0.25">
      <c r="A183" s="1" t="s">
        <v>3</v>
      </c>
    </row>
    <row r="185" spans="1:12" x14ac:dyDescent="0.25">
      <c r="A185" s="4" t="s">
        <v>4</v>
      </c>
      <c r="B185" s="5" t="s">
        <v>141</v>
      </c>
      <c r="C185" s="5" t="s">
        <v>140</v>
      </c>
      <c r="D185" s="5" t="s">
        <v>139</v>
      </c>
      <c r="E185" s="5" t="s">
        <v>5</v>
      </c>
      <c r="F185" s="5" t="s">
        <v>6</v>
      </c>
      <c r="G185" s="5" t="s">
        <v>7</v>
      </c>
      <c r="H185" s="5" t="s">
        <v>138</v>
      </c>
      <c r="I185" s="5" t="s">
        <v>8</v>
      </c>
      <c r="J185" s="5" t="s">
        <v>9</v>
      </c>
      <c r="K185" s="5" t="s">
        <v>143</v>
      </c>
    </row>
    <row r="186" spans="1:12" x14ac:dyDescent="0.25">
      <c r="A186" s="6">
        <v>1</v>
      </c>
      <c r="B186" t="s">
        <v>10</v>
      </c>
      <c r="C186" t="s">
        <v>10</v>
      </c>
      <c r="D186" t="s">
        <v>10</v>
      </c>
      <c r="E186">
        <v>17</v>
      </c>
      <c r="F186">
        <v>73.11</v>
      </c>
      <c r="G186">
        <v>30465</v>
      </c>
      <c r="H186">
        <v>0</v>
      </c>
      <c r="I186">
        <v>4</v>
      </c>
      <c r="K186" t="s">
        <v>374</v>
      </c>
    </row>
    <row r="187" spans="1:12" x14ac:dyDescent="0.25">
      <c r="A187" s="6">
        <v>2</v>
      </c>
      <c r="B187" t="s">
        <v>10</v>
      </c>
      <c r="C187" t="s">
        <v>10</v>
      </c>
      <c r="D187" t="s">
        <v>10</v>
      </c>
      <c r="E187">
        <v>17</v>
      </c>
      <c r="F187">
        <v>80.77</v>
      </c>
      <c r="G187">
        <v>30731</v>
      </c>
      <c r="H187">
        <v>0</v>
      </c>
      <c r="I187">
        <v>4</v>
      </c>
      <c r="K187" t="s">
        <v>375</v>
      </c>
    </row>
    <row r="188" spans="1:12" x14ac:dyDescent="0.25">
      <c r="A188" s="6">
        <v>3</v>
      </c>
      <c r="B188" t="s">
        <v>10</v>
      </c>
      <c r="C188" t="s">
        <v>10</v>
      </c>
      <c r="D188" t="s">
        <v>10</v>
      </c>
      <c r="E188">
        <v>37</v>
      </c>
      <c r="F188">
        <v>175.68</v>
      </c>
      <c r="G188">
        <v>105415</v>
      </c>
      <c r="H188">
        <v>0</v>
      </c>
      <c r="I188">
        <v>9</v>
      </c>
      <c r="K188" t="s">
        <v>376</v>
      </c>
    </row>
    <row r="189" spans="1:12" x14ac:dyDescent="0.25">
      <c r="A189" s="6">
        <v>4</v>
      </c>
      <c r="B189" t="s">
        <v>10</v>
      </c>
      <c r="C189" t="s">
        <v>10</v>
      </c>
      <c r="D189" t="s">
        <v>10</v>
      </c>
      <c r="E189">
        <v>17</v>
      </c>
      <c r="F189">
        <v>81.459999999999994</v>
      </c>
      <c r="G189">
        <v>31383</v>
      </c>
      <c r="H189">
        <v>0</v>
      </c>
      <c r="I189">
        <v>4</v>
      </c>
      <c r="K189" t="s">
        <v>377</v>
      </c>
    </row>
    <row r="190" spans="1:12" x14ac:dyDescent="0.25">
      <c r="A190" s="6">
        <v>5</v>
      </c>
      <c r="B190" t="s">
        <v>10</v>
      </c>
      <c r="C190" t="s">
        <v>10</v>
      </c>
      <c r="D190" t="s">
        <v>10</v>
      </c>
      <c r="E190">
        <v>17</v>
      </c>
      <c r="F190">
        <v>89.93</v>
      </c>
      <c r="G190">
        <v>31737</v>
      </c>
      <c r="H190">
        <v>0</v>
      </c>
      <c r="I190">
        <v>4</v>
      </c>
      <c r="K190" t="s">
        <v>378</v>
      </c>
    </row>
    <row r="191" spans="1:12" x14ac:dyDescent="0.25">
      <c r="A191" s="6">
        <v>6</v>
      </c>
      <c r="B191" t="s">
        <v>10</v>
      </c>
      <c r="C191" t="s">
        <v>10</v>
      </c>
      <c r="D191" t="s">
        <v>10</v>
      </c>
      <c r="E191">
        <v>17</v>
      </c>
      <c r="F191">
        <v>67.45</v>
      </c>
      <c r="G191">
        <v>30901</v>
      </c>
      <c r="H191">
        <v>0</v>
      </c>
      <c r="I191">
        <v>4</v>
      </c>
      <c r="K191" t="s">
        <v>379</v>
      </c>
    </row>
    <row r="192" spans="1:12" x14ac:dyDescent="0.25">
      <c r="A192" s="6">
        <v>7</v>
      </c>
      <c r="B192" t="s">
        <v>10</v>
      </c>
      <c r="C192" t="s">
        <v>10</v>
      </c>
      <c r="D192" t="s">
        <v>10</v>
      </c>
      <c r="E192">
        <v>13</v>
      </c>
      <c r="F192">
        <v>55.06</v>
      </c>
      <c r="G192">
        <v>20822</v>
      </c>
      <c r="H192">
        <v>0</v>
      </c>
      <c r="I192">
        <v>3</v>
      </c>
      <c r="K192" t="s">
        <v>380</v>
      </c>
    </row>
    <row r="193" spans="1:12" x14ac:dyDescent="0.25">
      <c r="A193" s="6">
        <v>8</v>
      </c>
      <c r="B193" t="s">
        <v>10</v>
      </c>
      <c r="C193" t="s">
        <v>10</v>
      </c>
      <c r="D193" t="s">
        <v>10</v>
      </c>
      <c r="E193">
        <v>13</v>
      </c>
      <c r="F193">
        <v>59.71</v>
      </c>
      <c r="G193">
        <v>21741</v>
      </c>
      <c r="H193">
        <v>0</v>
      </c>
      <c r="I193">
        <v>3</v>
      </c>
      <c r="K193" t="s">
        <v>381</v>
      </c>
    </row>
    <row r="194" spans="1:12" x14ac:dyDescent="0.25">
      <c r="A194" s="6">
        <v>9</v>
      </c>
      <c r="B194" t="s">
        <v>10</v>
      </c>
      <c r="C194" t="s">
        <v>10</v>
      </c>
      <c r="D194" t="s">
        <v>10</v>
      </c>
      <c r="E194">
        <v>17</v>
      </c>
      <c r="F194">
        <v>65.53</v>
      </c>
      <c r="G194">
        <v>30041</v>
      </c>
      <c r="H194">
        <v>0</v>
      </c>
      <c r="I194">
        <v>4</v>
      </c>
      <c r="K194" t="s">
        <v>382</v>
      </c>
    </row>
    <row r="195" spans="1:12" x14ac:dyDescent="0.25">
      <c r="A195" s="6">
        <v>10</v>
      </c>
      <c r="B195" t="s">
        <v>10</v>
      </c>
      <c r="C195" t="s">
        <v>10</v>
      </c>
      <c r="D195" t="s">
        <v>10</v>
      </c>
      <c r="E195">
        <v>9</v>
      </c>
      <c r="F195">
        <v>42.16</v>
      </c>
      <c r="G195">
        <v>12901</v>
      </c>
      <c r="H195">
        <v>0</v>
      </c>
      <c r="I195">
        <v>2</v>
      </c>
      <c r="K195" t="s">
        <v>383</v>
      </c>
    </row>
    <row r="196" spans="1:12" x14ac:dyDescent="0.25">
      <c r="A196" s="7" t="s">
        <v>11</v>
      </c>
      <c r="B196" s="8">
        <v>1</v>
      </c>
      <c r="C196" s="8">
        <v>1</v>
      </c>
      <c r="D196" s="8">
        <v>1</v>
      </c>
      <c r="E196" s="8">
        <f>SUM(E186:E195)/10</f>
        <v>17.399999999999999</v>
      </c>
      <c r="F196" s="8">
        <f t="shared" ref="F196:G196" si="8">SUM(F186:F195)/10</f>
        <v>79.085999999999999</v>
      </c>
      <c r="G196" s="8">
        <f t="shared" si="8"/>
        <v>34613.699999999997</v>
      </c>
      <c r="H196" s="8">
        <f>SUM(H186:H195)/10</f>
        <v>0</v>
      </c>
      <c r="I196" s="8">
        <f>SUM(I186:I195)/10</f>
        <v>4.0999999999999996</v>
      </c>
      <c r="J196" s="8"/>
      <c r="K196" s="8"/>
    </row>
    <row r="197" spans="1:12" x14ac:dyDescent="0.25">
      <c r="A197" s="1"/>
    </row>
    <row r="198" spans="1:12" x14ac:dyDescent="0.25">
      <c r="A198" s="1"/>
    </row>
    <row r="199" spans="1:12" ht="18.75" x14ac:dyDescent="0.3">
      <c r="A199" s="15"/>
      <c r="B199" s="15"/>
      <c r="C199" s="15"/>
      <c r="D199" s="15"/>
      <c r="E199" s="15"/>
      <c r="F199" s="15"/>
      <c r="G199" s="16" t="s">
        <v>112</v>
      </c>
      <c r="H199" s="15"/>
      <c r="I199" s="15"/>
      <c r="J199" s="15"/>
      <c r="K199" s="15"/>
      <c r="L199" s="15"/>
    </row>
    <row r="202" spans="1:12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spans="1:12" ht="15.75" x14ac:dyDescent="0.25">
      <c r="A203" s="18" t="s">
        <v>125</v>
      </c>
      <c r="B203" s="2"/>
    </row>
    <row r="204" spans="1:12" x14ac:dyDescent="0.25">
      <c r="B204" s="3" t="s">
        <v>12</v>
      </c>
      <c r="C204" s="3"/>
      <c r="D204" s="3"/>
      <c r="E204" s="3"/>
      <c r="F204" s="3"/>
    </row>
    <row r="205" spans="1:12" x14ac:dyDescent="0.25">
      <c r="B205" s="3" t="s">
        <v>44</v>
      </c>
      <c r="C205" s="3"/>
      <c r="D205" s="3"/>
      <c r="E205" s="3"/>
      <c r="F205" s="3"/>
    </row>
    <row r="206" spans="1:12" x14ac:dyDescent="0.25">
      <c r="B206" s="3"/>
      <c r="C206" s="3"/>
      <c r="D206" s="3"/>
      <c r="E206" s="3"/>
      <c r="F206" s="3"/>
    </row>
    <row r="207" spans="1:12" x14ac:dyDescent="0.25">
      <c r="B207" s="3" t="s">
        <v>45</v>
      </c>
      <c r="C207" s="3"/>
      <c r="D207" s="3"/>
      <c r="E207" s="3"/>
      <c r="F207" s="3"/>
    </row>
    <row r="208" spans="1:12" x14ac:dyDescent="0.25">
      <c r="B208" s="3" t="s">
        <v>46</v>
      </c>
      <c r="C208" s="3"/>
      <c r="D208" s="3"/>
      <c r="E208" s="3"/>
      <c r="F208" s="3"/>
    </row>
    <row r="209" spans="2:6" x14ac:dyDescent="0.25">
      <c r="B209" s="3"/>
      <c r="C209" s="3"/>
      <c r="D209" s="3"/>
      <c r="E209" s="3"/>
      <c r="F209" s="3"/>
    </row>
    <row r="210" spans="2:6" x14ac:dyDescent="0.25">
      <c r="B210" s="3" t="s">
        <v>45</v>
      </c>
      <c r="C210" s="3"/>
      <c r="D210" s="3"/>
      <c r="E210" s="3"/>
      <c r="F210" s="3"/>
    </row>
    <row r="211" spans="2:6" x14ac:dyDescent="0.25">
      <c r="B211" s="3" t="s">
        <v>47</v>
      </c>
      <c r="C211" s="3"/>
      <c r="D211" s="3"/>
      <c r="E211" s="3"/>
      <c r="F211" s="3"/>
    </row>
    <row r="212" spans="2:6" x14ac:dyDescent="0.25">
      <c r="B212" s="3"/>
      <c r="C212" s="3"/>
      <c r="D212" s="3"/>
      <c r="E212" s="3"/>
      <c r="F212" s="3"/>
    </row>
    <row r="213" spans="2:6" x14ac:dyDescent="0.25">
      <c r="B213" s="3" t="s">
        <v>45</v>
      </c>
      <c r="C213" s="3"/>
      <c r="D213" s="3"/>
      <c r="E213" s="3"/>
      <c r="F213" s="3"/>
    </row>
    <row r="214" spans="2:6" x14ac:dyDescent="0.25">
      <c r="B214" s="3" t="s">
        <v>48</v>
      </c>
      <c r="C214" s="3"/>
      <c r="D214" s="3"/>
      <c r="E214" s="3"/>
      <c r="F214" s="3"/>
    </row>
    <row r="215" spans="2:6" x14ac:dyDescent="0.25">
      <c r="B215" s="3"/>
      <c r="C215" s="3"/>
      <c r="D215" s="3"/>
      <c r="E215" s="3"/>
      <c r="F215" s="3"/>
    </row>
    <row r="216" spans="2:6" x14ac:dyDescent="0.25">
      <c r="B216" s="3" t="s">
        <v>49</v>
      </c>
      <c r="C216" s="3"/>
      <c r="D216" s="3"/>
      <c r="E216" s="3"/>
      <c r="F216" s="3"/>
    </row>
    <row r="217" spans="2:6" x14ac:dyDescent="0.25">
      <c r="B217" s="3" t="s">
        <v>50</v>
      </c>
      <c r="C217" s="3"/>
      <c r="D217" s="3"/>
      <c r="E217" s="3"/>
      <c r="F217" s="3"/>
    </row>
    <row r="218" spans="2:6" x14ac:dyDescent="0.25">
      <c r="B218" s="3"/>
      <c r="C218" s="3"/>
      <c r="D218" s="3"/>
      <c r="E218" s="3"/>
      <c r="F218" s="3"/>
    </row>
    <row r="219" spans="2:6" x14ac:dyDescent="0.25">
      <c r="B219" s="3" t="s">
        <v>51</v>
      </c>
      <c r="C219" s="3"/>
      <c r="D219" s="3"/>
      <c r="E219" s="3"/>
      <c r="F219" s="3"/>
    </row>
    <row r="220" spans="2:6" x14ac:dyDescent="0.25">
      <c r="B220" s="3" t="s">
        <v>52</v>
      </c>
      <c r="C220" s="3"/>
      <c r="D220" s="3"/>
      <c r="E220" s="3"/>
      <c r="F220" s="3"/>
    </row>
    <row r="221" spans="2:6" x14ac:dyDescent="0.25">
      <c r="B221" s="3"/>
      <c r="C221" s="3"/>
      <c r="D221" s="3"/>
      <c r="E221" s="3"/>
      <c r="F221" s="3"/>
    </row>
    <row r="222" spans="2:6" x14ac:dyDescent="0.25">
      <c r="B222" s="3" t="s">
        <v>53</v>
      </c>
      <c r="C222" s="3"/>
      <c r="D222" s="3"/>
      <c r="E222" s="3"/>
      <c r="F222" s="3"/>
    </row>
    <row r="223" spans="2:6" x14ac:dyDescent="0.25">
      <c r="B223" s="3" t="s">
        <v>54</v>
      </c>
      <c r="C223" s="3"/>
      <c r="D223" s="3"/>
      <c r="E223" s="3"/>
      <c r="F223" s="3"/>
    </row>
    <row r="224" spans="2:6" x14ac:dyDescent="0.25">
      <c r="B224" s="3" t="s">
        <v>55</v>
      </c>
      <c r="C224" s="3"/>
      <c r="D224" s="3"/>
      <c r="E224" s="3"/>
      <c r="F224" s="3"/>
    </row>
    <row r="226" spans="1:11" x14ac:dyDescent="0.25">
      <c r="A226" s="1" t="s">
        <v>3</v>
      </c>
    </row>
    <row r="228" spans="1:11" x14ac:dyDescent="0.25">
      <c r="A228" s="4" t="s">
        <v>4</v>
      </c>
      <c r="B228" s="5" t="s">
        <v>141</v>
      </c>
      <c r="C228" s="5" t="s">
        <v>140</v>
      </c>
      <c r="D228" s="5" t="s">
        <v>139</v>
      </c>
      <c r="E228" s="5" t="s">
        <v>5</v>
      </c>
      <c r="F228" s="5" t="s">
        <v>6</v>
      </c>
      <c r="G228" s="5" t="s">
        <v>7</v>
      </c>
      <c r="H228" s="5" t="s">
        <v>138</v>
      </c>
      <c r="I228" s="5" t="s">
        <v>8</v>
      </c>
      <c r="J228" s="5" t="s">
        <v>9</v>
      </c>
      <c r="K228" s="5" t="s">
        <v>144</v>
      </c>
    </row>
    <row r="229" spans="1:11" x14ac:dyDescent="0.25">
      <c r="A229" s="6">
        <v>1</v>
      </c>
      <c r="B229" t="s">
        <v>10</v>
      </c>
      <c r="C229" t="s">
        <v>10</v>
      </c>
      <c r="D229" t="s">
        <v>10</v>
      </c>
      <c r="E229">
        <f>29+13+13+13+13+13+13</f>
        <v>107</v>
      </c>
      <c r="F229">
        <f>129.79+52.69+65.32+64.1+54.67+62.94+73.92</f>
        <v>503.43</v>
      </c>
      <c r="G229">
        <f>70145+18095+18958+20759+20521+21734+21838</f>
        <v>192050</v>
      </c>
      <c r="H229">
        <f>0+0+0+0+0+0+0</f>
        <v>0</v>
      </c>
      <c r="I229">
        <f>7+3+3+3+3+3+3</f>
        <v>25</v>
      </c>
      <c r="K229" t="s">
        <v>414</v>
      </c>
    </row>
    <row r="230" spans="1:11" x14ac:dyDescent="0.25">
      <c r="A230" s="6">
        <v>2</v>
      </c>
      <c r="B230" t="s">
        <v>10</v>
      </c>
      <c r="C230" t="s">
        <v>10</v>
      </c>
      <c r="D230" t="s">
        <v>10</v>
      </c>
      <c r="E230">
        <f>29+13+25+25+13+13+13</f>
        <v>131</v>
      </c>
      <c r="F230">
        <f>273.83+205.15+200.49+248.65+218.07+201.43+115.32</f>
        <v>1462.94</v>
      </c>
      <c r="G230">
        <f>69529+19466+50249+56970+21604+22011+22076</f>
        <v>261905</v>
      </c>
      <c r="H230">
        <f>0+0+0+0+0+0+0</f>
        <v>0</v>
      </c>
      <c r="I230">
        <f>7+3+6+6+3+3+3</f>
        <v>31</v>
      </c>
      <c r="J230" t="s">
        <v>133</v>
      </c>
      <c r="K230" t="s">
        <v>415</v>
      </c>
    </row>
    <row r="231" spans="1:11" x14ac:dyDescent="0.25">
      <c r="A231" s="6">
        <v>3</v>
      </c>
      <c r="B231" t="s">
        <v>10</v>
      </c>
      <c r="C231" t="s">
        <v>10</v>
      </c>
      <c r="D231" t="s">
        <v>10</v>
      </c>
      <c r="E231">
        <f>29+13+13+13+13+13+13</f>
        <v>107</v>
      </c>
      <c r="F231">
        <f>106.02+52.1+46.11+69.37+47.08+42.27+63.64</f>
        <v>426.59</v>
      </c>
      <c r="G231">
        <f>70465+18417+18666+24423+21226+21092+21894</f>
        <v>196183</v>
      </c>
      <c r="H231">
        <f>0+0+0+0+0+0+0</f>
        <v>0</v>
      </c>
      <c r="I231">
        <f>7+3+3+3+3+3+3</f>
        <v>25</v>
      </c>
      <c r="K231" t="s">
        <v>416</v>
      </c>
    </row>
    <row r="232" spans="1:11" x14ac:dyDescent="0.25">
      <c r="A232" s="6">
        <v>4</v>
      </c>
      <c r="B232" t="s">
        <v>10</v>
      </c>
      <c r="C232" t="s">
        <v>10</v>
      </c>
      <c r="D232" t="s">
        <v>10</v>
      </c>
      <c r="E232">
        <f>29+21+25+13+13+13+13</f>
        <v>127</v>
      </c>
      <c r="F232">
        <f>115.76+110.8+100.87+44.67+50.92+51.66+65.5</f>
        <v>540.18000000000006</v>
      </c>
      <c r="G232">
        <f>69677+37795+53209+19129+21740+21669+21828</f>
        <v>245047</v>
      </c>
      <c r="H232">
        <f>0+1+0+0+0+0+0</f>
        <v>1</v>
      </c>
      <c r="I232">
        <f>7+5+6+3+3+3+3</f>
        <v>30</v>
      </c>
      <c r="K232" t="s">
        <v>417</v>
      </c>
    </row>
    <row r="233" spans="1:11" x14ac:dyDescent="0.25">
      <c r="A233" s="6">
        <v>5</v>
      </c>
      <c r="B233" t="s">
        <v>10</v>
      </c>
      <c r="C233" t="s">
        <v>10</v>
      </c>
      <c r="D233" t="s">
        <v>10</v>
      </c>
      <c r="E233">
        <f>29+13+13+13+13+13+17</f>
        <v>111</v>
      </c>
      <c r="F233">
        <f>133.52+53.7+58.44+66.43+59.21+70.63+114.84</f>
        <v>556.77</v>
      </c>
      <c r="G233">
        <f>69812+17860+19086+20582+21464+21582+33313</f>
        <v>203699</v>
      </c>
      <c r="H233">
        <f t="shared" ref="H233:H238" si="9">0+0+0+0+0+0+0</f>
        <v>0</v>
      </c>
      <c r="I233">
        <f>7+3+3+3+3+3+4</f>
        <v>26</v>
      </c>
      <c r="K233" t="s">
        <v>418</v>
      </c>
    </row>
    <row r="234" spans="1:11" x14ac:dyDescent="0.25">
      <c r="A234" s="6">
        <v>6</v>
      </c>
      <c r="B234" t="s">
        <v>10</v>
      </c>
      <c r="C234" t="s">
        <v>10</v>
      </c>
      <c r="D234" t="s">
        <v>10</v>
      </c>
      <c r="E234">
        <f>29+13+13+13+13+13+13</f>
        <v>107</v>
      </c>
      <c r="F234">
        <f>137.82+44.66+50.49+53.31+56.52+62.03+75.91</f>
        <v>480.7399999999999</v>
      </c>
      <c r="G234">
        <f>70082+17832+18984+20432+20805+21542+22980</f>
        <v>192657</v>
      </c>
      <c r="H234">
        <f t="shared" si="9"/>
        <v>0</v>
      </c>
      <c r="I234">
        <f>7+3+3+3+3+3+3</f>
        <v>25</v>
      </c>
      <c r="K234" t="s">
        <v>419</v>
      </c>
    </row>
    <row r="235" spans="1:11" x14ac:dyDescent="0.25">
      <c r="A235" s="6">
        <v>7</v>
      </c>
      <c r="B235" t="s">
        <v>10</v>
      </c>
      <c r="C235" t="s">
        <v>10</v>
      </c>
      <c r="D235" t="s">
        <v>10</v>
      </c>
      <c r="E235">
        <f>9+13+25+13+13+13+13</f>
        <v>99</v>
      </c>
      <c r="F235">
        <f>92.04+61.03+134.72+49.52+54.96+50.54+60.19</f>
        <v>502.99999999999994</v>
      </c>
      <c r="G235">
        <f>11527+18826+53376+20049+21538+21589+21952</f>
        <v>168857</v>
      </c>
      <c r="H235">
        <f t="shared" si="9"/>
        <v>0</v>
      </c>
      <c r="I235">
        <f>2+3+6+3+3+3+3</f>
        <v>23</v>
      </c>
      <c r="K235" t="s">
        <v>420</v>
      </c>
    </row>
    <row r="236" spans="1:11" x14ac:dyDescent="0.25">
      <c r="A236" s="6">
        <v>8</v>
      </c>
      <c r="B236" t="s">
        <v>10</v>
      </c>
      <c r="C236" t="s">
        <v>10</v>
      </c>
      <c r="D236" t="s">
        <v>10</v>
      </c>
      <c r="E236">
        <f>29+13+13+13+13+13+13</f>
        <v>107</v>
      </c>
      <c r="F236">
        <f>140.44+51.29+56.62+59.49+56.37+60.57+68.3</f>
        <v>493.08</v>
      </c>
      <c r="G236">
        <f>74310+18546+18352+20537+21527+22075+22378</f>
        <v>197725</v>
      </c>
      <c r="H236">
        <f t="shared" si="9"/>
        <v>0</v>
      </c>
      <c r="I236">
        <f>7+3+3+3+3+3+3</f>
        <v>25</v>
      </c>
      <c r="K236" t="s">
        <v>421</v>
      </c>
    </row>
    <row r="237" spans="1:11" x14ac:dyDescent="0.25">
      <c r="A237" s="6">
        <v>9</v>
      </c>
      <c r="B237" t="s">
        <v>10</v>
      </c>
      <c r="C237" t="s">
        <v>10</v>
      </c>
      <c r="D237" t="s">
        <v>10</v>
      </c>
      <c r="E237">
        <f>29+13+13+13+13+13+13</f>
        <v>107</v>
      </c>
      <c r="F237">
        <f>151.18+51.1+69.87+61.01+60.71+68.21+56.32</f>
        <v>518.4</v>
      </c>
      <c r="G237">
        <f>73825+18126+18829+20816+21842+21202+21609</f>
        <v>196249</v>
      </c>
      <c r="H237">
        <f t="shared" si="9"/>
        <v>0</v>
      </c>
      <c r="I237">
        <f>7+3+3+3+3+3+3</f>
        <v>25</v>
      </c>
      <c r="K237" t="s">
        <v>422</v>
      </c>
    </row>
    <row r="238" spans="1:11" x14ac:dyDescent="0.25">
      <c r="A238" s="6">
        <v>10</v>
      </c>
      <c r="B238" t="s">
        <v>10</v>
      </c>
      <c r="C238" t="s">
        <v>10</v>
      </c>
      <c r="D238" t="s">
        <v>10</v>
      </c>
      <c r="E238">
        <f>29+13+25+25+13+13+13</f>
        <v>131</v>
      </c>
      <c r="F238">
        <f>151.67+66.34+115.73+118.21+68.11+58.3+72.04</f>
        <v>650.39999999999986</v>
      </c>
      <c r="G238">
        <f>71111+18374+54026+56062+21270+21007+21897</f>
        <v>263747</v>
      </c>
      <c r="H238">
        <f t="shared" si="9"/>
        <v>0</v>
      </c>
      <c r="I238">
        <f>7+3+6+6+3+3+3</f>
        <v>31</v>
      </c>
      <c r="K238" t="s">
        <v>423</v>
      </c>
    </row>
    <row r="239" spans="1:11" x14ac:dyDescent="0.25">
      <c r="A239" s="7" t="s">
        <v>11</v>
      </c>
      <c r="B239" s="8">
        <v>1</v>
      </c>
      <c r="C239" s="8">
        <v>1</v>
      </c>
      <c r="D239" s="8">
        <v>1</v>
      </c>
      <c r="E239" s="8">
        <f>SUM(E229:E238)/10</f>
        <v>113.4</v>
      </c>
      <c r="F239" s="8">
        <f t="shared" ref="F239:G239" si="10">SUM(F229:F238)/10</f>
        <v>613.55299999999988</v>
      </c>
      <c r="G239" s="8">
        <f t="shared" si="10"/>
        <v>211811.9</v>
      </c>
      <c r="H239" s="8">
        <f>SUM(H229:H238)/10</f>
        <v>0.1</v>
      </c>
      <c r="I239" s="8">
        <f>SUM(I229:I238)/10</f>
        <v>26.6</v>
      </c>
      <c r="J239" s="8"/>
      <c r="K239" s="8"/>
    </row>
    <row r="240" spans="1:11" x14ac:dyDescent="0.25">
      <c r="A240" s="1"/>
    </row>
    <row r="241" spans="1:12" x14ac:dyDescent="0.25">
      <c r="A241" s="9"/>
      <c r="E241" s="10"/>
      <c r="F241" s="10"/>
      <c r="G241" s="10"/>
      <c r="H241" s="10"/>
      <c r="I241" s="10"/>
      <c r="J241" s="10"/>
    </row>
    <row r="242" spans="1:12" x14ac:dyDescent="0.25">
      <c r="A242" s="9"/>
      <c r="E242" s="10"/>
      <c r="F242" s="10"/>
      <c r="G242" s="10"/>
      <c r="H242" s="10"/>
      <c r="I242" s="10"/>
      <c r="J242" s="10"/>
    </row>
    <row r="243" spans="1:12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spans="1:12" ht="15.75" x14ac:dyDescent="0.25">
      <c r="A244" s="18" t="s">
        <v>126</v>
      </c>
      <c r="B244" s="2"/>
    </row>
    <row r="245" spans="1:12" x14ac:dyDescent="0.25">
      <c r="B245" s="3" t="s">
        <v>59</v>
      </c>
      <c r="C245" s="3"/>
      <c r="D245" s="3"/>
      <c r="E245" s="3"/>
      <c r="F245" s="3"/>
    </row>
    <row r="246" spans="1:12" x14ac:dyDescent="0.25">
      <c r="B246" s="3" t="s">
        <v>60</v>
      </c>
      <c r="C246" s="3"/>
      <c r="D246" s="3"/>
      <c r="E246" s="3"/>
      <c r="F246" s="3"/>
    </row>
    <row r="247" spans="1:12" x14ac:dyDescent="0.25">
      <c r="B247" s="3"/>
      <c r="C247" s="3"/>
      <c r="D247" s="3"/>
      <c r="E247" s="3"/>
      <c r="F247" s="3"/>
    </row>
    <row r="248" spans="1:12" x14ac:dyDescent="0.25">
      <c r="B248" s="3" t="s">
        <v>61</v>
      </c>
      <c r="C248" s="3"/>
      <c r="D248" s="3"/>
      <c r="E248" s="3"/>
      <c r="F248" s="3"/>
    </row>
    <row r="249" spans="1:12" x14ac:dyDescent="0.25">
      <c r="B249" s="3" t="s">
        <v>62</v>
      </c>
      <c r="C249" s="3"/>
      <c r="D249" s="3"/>
      <c r="E249" s="3"/>
      <c r="F249" s="3"/>
    </row>
    <row r="250" spans="1:12" x14ac:dyDescent="0.25">
      <c r="B250" s="3" t="s">
        <v>63</v>
      </c>
      <c r="C250" s="3"/>
      <c r="D250" s="3"/>
      <c r="E250" s="3"/>
      <c r="F250" s="3"/>
    </row>
    <row r="251" spans="1:12" x14ac:dyDescent="0.25">
      <c r="B251" s="3"/>
      <c r="C251" s="3"/>
      <c r="D251" s="3"/>
      <c r="E251" s="3"/>
      <c r="F251" s="3"/>
    </row>
    <row r="252" spans="1:12" x14ac:dyDescent="0.25">
      <c r="B252" s="3" t="s">
        <v>61</v>
      </c>
      <c r="C252" s="3"/>
      <c r="D252" s="3"/>
      <c r="E252" s="3"/>
      <c r="F252" s="3"/>
    </row>
    <row r="253" spans="1:12" x14ac:dyDescent="0.25">
      <c r="B253" s="3" t="s">
        <v>64</v>
      </c>
      <c r="C253" s="3"/>
      <c r="D253" s="3"/>
      <c r="E253" s="3"/>
      <c r="F253" s="3"/>
    </row>
    <row r="254" spans="1:12" x14ac:dyDescent="0.25">
      <c r="B254" s="3"/>
      <c r="C254" s="3"/>
      <c r="D254" s="3"/>
      <c r="E254" s="3"/>
      <c r="F254" s="3"/>
    </row>
    <row r="255" spans="1:12" x14ac:dyDescent="0.25">
      <c r="B255" s="3" t="s">
        <v>65</v>
      </c>
      <c r="C255" s="3"/>
      <c r="D255" s="3"/>
      <c r="E255" s="3"/>
      <c r="F255" s="3"/>
    </row>
    <row r="256" spans="1:12" x14ac:dyDescent="0.25">
      <c r="B256" s="3" t="s">
        <v>66</v>
      </c>
      <c r="C256" s="3"/>
      <c r="D256" s="3"/>
      <c r="E256" s="3"/>
      <c r="F256" s="3"/>
    </row>
    <row r="257" spans="1:11" x14ac:dyDescent="0.25">
      <c r="B257" s="3"/>
      <c r="C257" s="3"/>
      <c r="D257" s="3"/>
      <c r="E257" s="3"/>
      <c r="F257" s="3"/>
    </row>
    <row r="258" spans="1:11" x14ac:dyDescent="0.25">
      <c r="B258" s="3" t="s">
        <v>67</v>
      </c>
      <c r="C258" s="3"/>
      <c r="D258" s="3"/>
      <c r="E258" s="3"/>
      <c r="F258" s="3"/>
    </row>
    <row r="259" spans="1:11" x14ac:dyDescent="0.25">
      <c r="B259" s="3" t="s">
        <v>60</v>
      </c>
      <c r="C259" s="3"/>
      <c r="D259" s="3"/>
      <c r="E259" s="3"/>
      <c r="F259" s="3"/>
    </row>
    <row r="260" spans="1:11" x14ac:dyDescent="0.25">
      <c r="B260" s="3"/>
      <c r="C260" s="3"/>
      <c r="D260" s="3"/>
      <c r="E260" s="3"/>
      <c r="F260" s="3"/>
    </row>
    <row r="261" spans="1:11" x14ac:dyDescent="0.25">
      <c r="B261" s="3" t="s">
        <v>61</v>
      </c>
      <c r="C261" s="3"/>
      <c r="D261" s="3"/>
      <c r="E261" s="3"/>
      <c r="F261" s="3"/>
    </row>
    <row r="262" spans="1:11" x14ac:dyDescent="0.25">
      <c r="B262" s="3" t="s">
        <v>62</v>
      </c>
      <c r="C262" s="3"/>
      <c r="D262" s="3"/>
      <c r="E262" s="3"/>
      <c r="F262" s="3"/>
    </row>
    <row r="263" spans="1:11" x14ac:dyDescent="0.25">
      <c r="B263" s="3" t="s">
        <v>68</v>
      </c>
      <c r="C263" s="3"/>
      <c r="D263" s="3"/>
      <c r="E263" s="3"/>
      <c r="F263" s="3"/>
    </row>
    <row r="265" spans="1:11" x14ac:dyDescent="0.25">
      <c r="A265" s="1" t="s">
        <v>3</v>
      </c>
    </row>
    <row r="267" spans="1:11" x14ac:dyDescent="0.25">
      <c r="A267" s="4" t="s">
        <v>4</v>
      </c>
      <c r="B267" s="5" t="s">
        <v>141</v>
      </c>
      <c r="C267" s="5" t="s">
        <v>140</v>
      </c>
      <c r="D267" s="5" t="s">
        <v>139</v>
      </c>
      <c r="E267" s="5" t="s">
        <v>5</v>
      </c>
      <c r="F267" s="5" t="s">
        <v>6</v>
      </c>
      <c r="G267" s="5" t="s">
        <v>7</v>
      </c>
      <c r="H267" s="5" t="s">
        <v>138</v>
      </c>
      <c r="I267" s="5" t="s">
        <v>8</v>
      </c>
      <c r="J267" s="5" t="s">
        <v>9</v>
      </c>
      <c r="K267" s="5" t="s">
        <v>144</v>
      </c>
    </row>
    <row r="268" spans="1:11" x14ac:dyDescent="0.25">
      <c r="A268" s="6">
        <v>1</v>
      </c>
      <c r="B268" t="s">
        <v>10</v>
      </c>
      <c r="C268" t="s">
        <v>10</v>
      </c>
      <c r="D268" t="s">
        <v>10</v>
      </c>
      <c r="E268">
        <f>9+9+9+29+9+9</f>
        <v>74</v>
      </c>
      <c r="F268">
        <f>52.73+57.77+41.48+156.05+63.18+55.56</f>
        <v>426.77</v>
      </c>
      <c r="G268">
        <f>8785+10167+10275+69780+9931+10852</f>
        <v>119790</v>
      </c>
      <c r="H268">
        <f t="shared" ref="H268:H275" si="11">0+0+0+0+0+0</f>
        <v>0</v>
      </c>
      <c r="I268">
        <f>2+2+2+7+2+2</f>
        <v>17</v>
      </c>
      <c r="K268" t="s">
        <v>424</v>
      </c>
    </row>
    <row r="269" spans="1:11" x14ac:dyDescent="0.25">
      <c r="A269" s="6">
        <v>2</v>
      </c>
      <c r="B269" t="s">
        <v>10</v>
      </c>
      <c r="C269" t="s">
        <v>10</v>
      </c>
      <c r="D269" t="s">
        <v>10</v>
      </c>
      <c r="E269">
        <f>9+9+9+29+9+9</f>
        <v>74</v>
      </c>
      <c r="F269">
        <f>48.32+53.8+46.86+145.43+48.07+62.17</f>
        <v>404.65000000000003</v>
      </c>
      <c r="G269">
        <f>9475+9672+10687+69112+10916+10031</f>
        <v>119893</v>
      </c>
      <c r="H269">
        <f t="shared" si="11"/>
        <v>0</v>
      </c>
      <c r="I269">
        <f>2+2+2+7+2+2</f>
        <v>17</v>
      </c>
      <c r="K269" t="s">
        <v>425</v>
      </c>
    </row>
    <row r="270" spans="1:11" x14ac:dyDescent="0.25">
      <c r="A270" s="6">
        <v>3</v>
      </c>
      <c r="B270" t="s">
        <v>10</v>
      </c>
      <c r="C270" t="s">
        <v>10</v>
      </c>
      <c r="D270" t="s">
        <v>10</v>
      </c>
      <c r="E270">
        <f>9+9+9+9+9+9</f>
        <v>54</v>
      </c>
      <c r="F270">
        <f>48.65+56.67+64.49+53.28+51.36+59.68</f>
        <v>334.13</v>
      </c>
      <c r="G270">
        <f>9247+10322+11610+11513+10973+10956</f>
        <v>64621</v>
      </c>
      <c r="H270">
        <f t="shared" si="11"/>
        <v>0</v>
      </c>
      <c r="I270">
        <f>2+2+2+2+2+2</f>
        <v>12</v>
      </c>
      <c r="K270" t="s">
        <v>426</v>
      </c>
    </row>
    <row r="271" spans="1:11" x14ac:dyDescent="0.25">
      <c r="A271" s="6">
        <v>4</v>
      </c>
      <c r="B271" t="s">
        <v>10</v>
      </c>
      <c r="C271" t="s">
        <v>10</v>
      </c>
      <c r="D271" t="s">
        <v>10</v>
      </c>
      <c r="E271">
        <f t="shared" ref="E271:E277" si="12">9+9+9+29+9+9</f>
        <v>74</v>
      </c>
      <c r="F271">
        <f>51.94+87.38+59.48+162.4+65.12+97.01</f>
        <v>523.33000000000004</v>
      </c>
      <c r="G271">
        <f>9149+10643+11441+69012+11852+11117</f>
        <v>123214</v>
      </c>
      <c r="H271">
        <f t="shared" si="11"/>
        <v>0</v>
      </c>
      <c r="I271">
        <f t="shared" ref="I271:I277" si="13">2+2+2+7+2+2</f>
        <v>17</v>
      </c>
      <c r="K271" t="s">
        <v>427</v>
      </c>
    </row>
    <row r="272" spans="1:11" x14ac:dyDescent="0.25">
      <c r="A272" s="6">
        <v>5</v>
      </c>
      <c r="B272" t="s">
        <v>10</v>
      </c>
      <c r="C272" t="s">
        <v>10</v>
      </c>
      <c r="D272" t="s">
        <v>10</v>
      </c>
      <c r="E272">
        <f t="shared" si="12"/>
        <v>74</v>
      </c>
      <c r="F272">
        <f>34.21+39.79+32.85+139.44+44.73+33.24</f>
        <v>324.26</v>
      </c>
      <c r="G272">
        <f>9167+10179+10301+69924+11376+9423</f>
        <v>120370</v>
      </c>
      <c r="H272">
        <f t="shared" si="11"/>
        <v>0</v>
      </c>
      <c r="I272">
        <f t="shared" si="13"/>
        <v>17</v>
      </c>
      <c r="K272" t="s">
        <v>428</v>
      </c>
    </row>
    <row r="273" spans="1:12" x14ac:dyDescent="0.25">
      <c r="A273" s="6">
        <v>6</v>
      </c>
      <c r="B273" t="s">
        <v>10</v>
      </c>
      <c r="C273" t="s">
        <v>10</v>
      </c>
      <c r="D273" t="s">
        <v>10</v>
      </c>
      <c r="E273">
        <f t="shared" si="12"/>
        <v>74</v>
      </c>
      <c r="F273">
        <f>45.08+40.86+54.17+138.62+52.02+60.35</f>
        <v>391.1</v>
      </c>
      <c r="G273">
        <f>9151+9044+11735+69331+11503+10836</f>
        <v>121600</v>
      </c>
      <c r="H273">
        <f t="shared" si="11"/>
        <v>0</v>
      </c>
      <c r="I273">
        <f t="shared" si="13"/>
        <v>17</v>
      </c>
      <c r="K273" t="s">
        <v>429</v>
      </c>
    </row>
    <row r="274" spans="1:12" x14ac:dyDescent="0.25">
      <c r="A274" s="6">
        <v>7</v>
      </c>
      <c r="B274" t="s">
        <v>10</v>
      </c>
      <c r="C274" t="s">
        <v>10</v>
      </c>
      <c r="D274" t="s">
        <v>10</v>
      </c>
      <c r="E274">
        <f t="shared" si="12"/>
        <v>74</v>
      </c>
      <c r="F274">
        <f>43.07+52.8+51.25+142.43+45.12+69.79</f>
        <v>404.46000000000004</v>
      </c>
      <c r="G274">
        <f>8724+10225+10696+69418+10717+10843</f>
        <v>120623</v>
      </c>
      <c r="H274">
        <f t="shared" si="11"/>
        <v>0</v>
      </c>
      <c r="I274">
        <f t="shared" si="13"/>
        <v>17</v>
      </c>
      <c r="K274" t="s">
        <v>430</v>
      </c>
    </row>
    <row r="275" spans="1:12" x14ac:dyDescent="0.25">
      <c r="A275" s="6">
        <v>8</v>
      </c>
      <c r="B275" t="s">
        <v>10</v>
      </c>
      <c r="C275" t="s">
        <v>10</v>
      </c>
      <c r="D275" t="s">
        <v>10</v>
      </c>
      <c r="E275">
        <f t="shared" si="12"/>
        <v>74</v>
      </c>
      <c r="F275">
        <f>52.37+57.94+70.03+170.21+55.33+57.47</f>
        <v>463.35</v>
      </c>
      <c r="G275">
        <f>9154+9076+11688+69977+11105+10846</f>
        <v>121846</v>
      </c>
      <c r="H275">
        <f t="shared" si="11"/>
        <v>0</v>
      </c>
      <c r="I275">
        <f t="shared" si="13"/>
        <v>17</v>
      </c>
      <c r="K275" t="s">
        <v>431</v>
      </c>
    </row>
    <row r="276" spans="1:12" x14ac:dyDescent="0.25">
      <c r="A276" s="6">
        <v>9</v>
      </c>
      <c r="B276" t="s">
        <v>10</v>
      </c>
      <c r="C276" t="s">
        <v>10</v>
      </c>
      <c r="D276" t="s">
        <v>10</v>
      </c>
      <c r="E276">
        <f t="shared" si="12"/>
        <v>74</v>
      </c>
      <c r="F276">
        <f>54.53+31.54+42.36+115.15+57.73+48.21</f>
        <v>349.52</v>
      </c>
      <c r="G276">
        <f>9201+9138+11240+69182+11156+10819</f>
        <v>120736</v>
      </c>
      <c r="H276">
        <f>0+0+0+0+0+0</f>
        <v>0</v>
      </c>
      <c r="I276">
        <f t="shared" si="13"/>
        <v>17</v>
      </c>
      <c r="K276" t="s">
        <v>432</v>
      </c>
    </row>
    <row r="277" spans="1:12" x14ac:dyDescent="0.25">
      <c r="A277" s="6">
        <v>20</v>
      </c>
      <c r="B277" t="s">
        <v>10</v>
      </c>
      <c r="C277" t="s">
        <v>10</v>
      </c>
      <c r="D277" t="s">
        <v>10</v>
      </c>
      <c r="E277">
        <f t="shared" si="12"/>
        <v>74</v>
      </c>
      <c r="F277">
        <f>40.78+35.2+37.34+141.71+44.22+43.37</f>
        <v>342.62</v>
      </c>
      <c r="G277">
        <f>9467+9068+10238+69550+11077+10414</f>
        <v>119814</v>
      </c>
      <c r="H277">
        <f>0+0+0+0+0+0</f>
        <v>0</v>
      </c>
      <c r="I277">
        <f t="shared" si="13"/>
        <v>17</v>
      </c>
      <c r="K277" t="s">
        <v>433</v>
      </c>
    </row>
    <row r="278" spans="1:12" x14ac:dyDescent="0.25">
      <c r="A278" s="7" t="s">
        <v>11</v>
      </c>
      <c r="B278" s="8">
        <v>1</v>
      </c>
      <c r="C278" s="8">
        <v>1</v>
      </c>
      <c r="D278" s="8">
        <v>1</v>
      </c>
      <c r="E278" s="8">
        <f>SUM(E268:E277)/10</f>
        <v>72</v>
      </c>
      <c r="F278" s="8">
        <f t="shared" ref="F278:G278" si="14">SUM(F268:F277)/10</f>
        <v>396.41899999999998</v>
      </c>
      <c r="G278" s="8">
        <f t="shared" si="14"/>
        <v>115250.7</v>
      </c>
      <c r="H278" s="8">
        <f>SUM(H268:H277)/10</f>
        <v>0</v>
      </c>
      <c r="I278" s="8">
        <f>SUM(I268:I277)/10</f>
        <v>16.5</v>
      </c>
      <c r="J278" s="8"/>
      <c r="K278" s="8"/>
    </row>
    <row r="279" spans="1:12" x14ac:dyDescent="0.25">
      <c r="A279" s="1"/>
    </row>
    <row r="280" spans="1:12" x14ac:dyDescent="0.25">
      <c r="A280" s="9"/>
      <c r="E280" s="10"/>
      <c r="F280" s="10"/>
      <c r="G280" s="10"/>
      <c r="H280" s="10"/>
      <c r="I280" s="10"/>
      <c r="J280" s="10"/>
    </row>
    <row r="282" spans="1:12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1:12" ht="15.75" x14ac:dyDescent="0.25">
      <c r="A283" s="18" t="s">
        <v>127</v>
      </c>
      <c r="B283" s="2"/>
    </row>
    <row r="284" spans="1:12" x14ac:dyDescent="0.25">
      <c r="B284" s="3" t="s">
        <v>59</v>
      </c>
      <c r="C284" s="3"/>
      <c r="D284" s="3"/>
      <c r="E284" s="3"/>
      <c r="F284" s="3"/>
    </row>
    <row r="285" spans="1:12" x14ac:dyDescent="0.25">
      <c r="B285" s="3" t="s">
        <v>72</v>
      </c>
      <c r="C285" s="3"/>
      <c r="D285" s="3"/>
      <c r="E285" s="3"/>
      <c r="F285" s="3"/>
    </row>
    <row r="286" spans="1:12" x14ac:dyDescent="0.25">
      <c r="B286" s="3"/>
      <c r="C286" s="3"/>
      <c r="D286" s="3"/>
      <c r="E286" s="3"/>
      <c r="F286" s="3"/>
    </row>
    <row r="287" spans="1:12" x14ac:dyDescent="0.25">
      <c r="B287" s="3" t="s">
        <v>73</v>
      </c>
      <c r="C287" s="3"/>
      <c r="D287" s="3"/>
      <c r="E287" s="3"/>
      <c r="F287" s="3"/>
    </row>
    <row r="288" spans="1:12" x14ac:dyDescent="0.25">
      <c r="B288" s="3" t="s">
        <v>74</v>
      </c>
      <c r="C288" s="3"/>
      <c r="D288" s="3"/>
      <c r="E288" s="3"/>
      <c r="F288" s="3"/>
    </row>
    <row r="289" spans="1:11" x14ac:dyDescent="0.25">
      <c r="B289" s="3" t="s">
        <v>75</v>
      </c>
      <c r="C289" s="3"/>
      <c r="D289" s="3"/>
      <c r="E289" s="3"/>
      <c r="F289" s="3"/>
    </row>
    <row r="290" spans="1:11" x14ac:dyDescent="0.25">
      <c r="B290" s="3"/>
      <c r="C290" s="3"/>
      <c r="D290" s="3"/>
      <c r="E290" s="3"/>
      <c r="F290" s="3"/>
    </row>
    <row r="291" spans="1:11" x14ac:dyDescent="0.25">
      <c r="B291" s="3" t="s">
        <v>76</v>
      </c>
      <c r="C291" s="3"/>
      <c r="D291" s="3"/>
      <c r="E291" s="3"/>
      <c r="F291" s="3"/>
    </row>
    <row r="292" spans="1:11" x14ac:dyDescent="0.25">
      <c r="B292" s="3" t="s">
        <v>77</v>
      </c>
      <c r="C292" s="3"/>
      <c r="D292" s="3"/>
      <c r="E292" s="3"/>
      <c r="F292" s="3"/>
    </row>
    <row r="293" spans="1:11" x14ac:dyDescent="0.25">
      <c r="B293" s="3"/>
      <c r="C293" s="3"/>
      <c r="D293" s="3"/>
      <c r="E293" s="3"/>
      <c r="F293" s="3"/>
    </row>
    <row r="294" spans="1:11" x14ac:dyDescent="0.25">
      <c r="B294" s="3" t="s">
        <v>73</v>
      </c>
      <c r="C294" s="3"/>
      <c r="D294" s="3"/>
      <c r="E294" s="3"/>
      <c r="F294" s="3"/>
    </row>
    <row r="295" spans="1:11" x14ac:dyDescent="0.25">
      <c r="B295" s="3" t="s">
        <v>78</v>
      </c>
      <c r="C295" s="3"/>
      <c r="D295" s="3"/>
      <c r="E295" s="3"/>
      <c r="F295" s="3"/>
    </row>
    <row r="296" spans="1:11" x14ac:dyDescent="0.25">
      <c r="B296" s="3" t="s">
        <v>75</v>
      </c>
      <c r="C296" s="3"/>
      <c r="D296" s="3"/>
      <c r="E296" s="3"/>
      <c r="F296" s="3"/>
    </row>
    <row r="298" spans="1:11" x14ac:dyDescent="0.25">
      <c r="A298" s="1" t="s">
        <v>3</v>
      </c>
      <c r="B298" s="29"/>
      <c r="C298" s="29"/>
      <c r="D298" s="29"/>
      <c r="E298" s="29"/>
      <c r="F298" s="29"/>
      <c r="G298" s="29"/>
      <c r="H298" s="29"/>
    </row>
    <row r="300" spans="1:11" x14ac:dyDescent="0.25">
      <c r="A300" s="4" t="s">
        <v>4</v>
      </c>
      <c r="B300" s="5" t="s">
        <v>141</v>
      </c>
      <c r="C300" s="5" t="s">
        <v>140</v>
      </c>
      <c r="D300" s="5" t="s">
        <v>139</v>
      </c>
      <c r="E300" s="5" t="s">
        <v>5</v>
      </c>
      <c r="F300" s="5" t="s">
        <v>6</v>
      </c>
      <c r="G300" s="5" t="s">
        <v>7</v>
      </c>
      <c r="H300" s="5" t="s">
        <v>138</v>
      </c>
      <c r="I300" s="5" t="s">
        <v>8</v>
      </c>
      <c r="J300" s="5" t="s">
        <v>9</v>
      </c>
      <c r="K300" s="5" t="s">
        <v>144</v>
      </c>
    </row>
    <row r="301" spans="1:11" x14ac:dyDescent="0.25">
      <c r="A301" s="6">
        <v>1</v>
      </c>
      <c r="B301" t="s">
        <v>10</v>
      </c>
      <c r="C301" t="s">
        <v>10</v>
      </c>
      <c r="D301" t="s">
        <v>10</v>
      </c>
      <c r="E301">
        <f t="shared" ref="E301:E310" si="15">9+9+9+9</f>
        <v>36</v>
      </c>
      <c r="F301">
        <f>35.2+43.44+39.11+44.18</f>
        <v>161.93</v>
      </c>
      <c r="G301">
        <f>9639+10671+10049+10715</f>
        <v>41074</v>
      </c>
      <c r="H301">
        <f t="shared" ref="H301:H310" si="16">0+0+0+0</f>
        <v>0</v>
      </c>
      <c r="I301">
        <f t="shared" ref="I301:I310" si="17">2+2+2+2</f>
        <v>8</v>
      </c>
      <c r="K301" t="s">
        <v>434</v>
      </c>
    </row>
    <row r="302" spans="1:11" x14ac:dyDescent="0.25">
      <c r="A302" s="6">
        <v>2</v>
      </c>
      <c r="B302" t="s">
        <v>10</v>
      </c>
      <c r="C302" t="s">
        <v>10</v>
      </c>
      <c r="D302" t="s">
        <v>10</v>
      </c>
      <c r="E302">
        <f t="shared" si="15"/>
        <v>36</v>
      </c>
      <c r="F302">
        <f>40.85+39+40.7+43.71</f>
        <v>164.26</v>
      </c>
      <c r="G302">
        <f>10049+10011+10535+10852</f>
        <v>41447</v>
      </c>
      <c r="H302">
        <f t="shared" si="16"/>
        <v>0</v>
      </c>
      <c r="I302">
        <f t="shared" si="17"/>
        <v>8</v>
      </c>
      <c r="K302" t="s">
        <v>435</v>
      </c>
    </row>
    <row r="303" spans="1:11" x14ac:dyDescent="0.25">
      <c r="A303" s="6">
        <v>3</v>
      </c>
      <c r="B303" t="s">
        <v>10</v>
      </c>
      <c r="C303" t="s">
        <v>10</v>
      </c>
      <c r="D303" t="s">
        <v>10</v>
      </c>
      <c r="E303">
        <f t="shared" si="15"/>
        <v>36</v>
      </c>
      <c r="F303">
        <f>39.55+39.96+37.27+45.7</f>
        <v>162.48000000000002</v>
      </c>
      <c r="G303">
        <f>9978+10594+10144+10056</f>
        <v>40772</v>
      </c>
      <c r="H303">
        <f t="shared" si="16"/>
        <v>0</v>
      </c>
      <c r="I303">
        <f t="shared" si="17"/>
        <v>8</v>
      </c>
      <c r="K303" t="s">
        <v>436</v>
      </c>
    </row>
    <row r="304" spans="1:11" x14ac:dyDescent="0.25">
      <c r="A304" s="6">
        <v>4</v>
      </c>
      <c r="B304" t="s">
        <v>10</v>
      </c>
      <c r="C304" t="s">
        <v>10</v>
      </c>
      <c r="D304" t="s">
        <v>10</v>
      </c>
      <c r="E304">
        <f t="shared" si="15"/>
        <v>36</v>
      </c>
      <c r="F304">
        <f>47.14+50.2+37.83+42.27</f>
        <v>177.44000000000003</v>
      </c>
      <c r="G304">
        <f>10121+10735+10217+10677</f>
        <v>41750</v>
      </c>
      <c r="H304">
        <f t="shared" si="16"/>
        <v>0</v>
      </c>
      <c r="I304">
        <f t="shared" si="17"/>
        <v>8</v>
      </c>
      <c r="K304" t="s">
        <v>437</v>
      </c>
    </row>
    <row r="305" spans="1:12" x14ac:dyDescent="0.25">
      <c r="A305" s="6">
        <v>5</v>
      </c>
      <c r="B305" t="s">
        <v>10</v>
      </c>
      <c r="C305" t="s">
        <v>10</v>
      </c>
      <c r="D305" t="s">
        <v>10</v>
      </c>
      <c r="E305">
        <f t="shared" si="15"/>
        <v>36</v>
      </c>
      <c r="F305">
        <f>60.9+59.83+78.07+46.71</f>
        <v>245.51</v>
      </c>
      <c r="G305">
        <f>10057+10496+11011+10550</f>
        <v>42114</v>
      </c>
      <c r="H305">
        <f t="shared" si="16"/>
        <v>0</v>
      </c>
      <c r="I305">
        <f t="shared" si="17"/>
        <v>8</v>
      </c>
      <c r="K305" t="s">
        <v>438</v>
      </c>
    </row>
    <row r="306" spans="1:12" x14ac:dyDescent="0.25">
      <c r="A306" s="6">
        <v>6</v>
      </c>
      <c r="B306" t="s">
        <v>10</v>
      </c>
      <c r="C306" t="s">
        <v>10</v>
      </c>
      <c r="D306" t="s">
        <v>10</v>
      </c>
      <c r="E306">
        <f t="shared" si="15"/>
        <v>36</v>
      </c>
      <c r="F306">
        <f>39.18+33.88+40.2+37.58</f>
        <v>150.84</v>
      </c>
      <c r="G306">
        <f>9949+10143+10457+10758</f>
        <v>41307</v>
      </c>
      <c r="H306">
        <f t="shared" si="16"/>
        <v>0</v>
      </c>
      <c r="I306">
        <f t="shared" si="17"/>
        <v>8</v>
      </c>
      <c r="K306" t="s">
        <v>439</v>
      </c>
    </row>
    <row r="307" spans="1:12" x14ac:dyDescent="0.25">
      <c r="A307" s="6">
        <v>7</v>
      </c>
      <c r="B307" t="s">
        <v>10</v>
      </c>
      <c r="C307" t="s">
        <v>10</v>
      </c>
      <c r="D307" t="s">
        <v>10</v>
      </c>
      <c r="E307">
        <f t="shared" si="15"/>
        <v>36</v>
      </c>
      <c r="F307">
        <f>41.07+43.17+32.23+35.32</f>
        <v>151.79</v>
      </c>
      <c r="G307">
        <f>9946+10813+10026+10665</f>
        <v>41450</v>
      </c>
      <c r="H307">
        <f t="shared" si="16"/>
        <v>0</v>
      </c>
      <c r="I307">
        <f t="shared" si="17"/>
        <v>8</v>
      </c>
      <c r="K307" t="s">
        <v>440</v>
      </c>
    </row>
    <row r="308" spans="1:12" x14ac:dyDescent="0.25">
      <c r="A308" s="6">
        <v>8</v>
      </c>
      <c r="B308" t="s">
        <v>10</v>
      </c>
      <c r="C308" t="s">
        <v>10</v>
      </c>
      <c r="D308" t="s">
        <v>10</v>
      </c>
      <c r="E308">
        <f t="shared" si="15"/>
        <v>36</v>
      </c>
      <c r="F308">
        <f>36.09+44.73+43.85+34.68</f>
        <v>159.35</v>
      </c>
      <c r="G308">
        <f>9442+9923+10677+10767</f>
        <v>40809</v>
      </c>
      <c r="H308">
        <f t="shared" si="16"/>
        <v>0</v>
      </c>
      <c r="I308">
        <f t="shared" si="17"/>
        <v>8</v>
      </c>
      <c r="K308" t="s">
        <v>441</v>
      </c>
    </row>
    <row r="309" spans="1:12" x14ac:dyDescent="0.25">
      <c r="A309" s="6">
        <v>9</v>
      </c>
      <c r="B309" t="s">
        <v>10</v>
      </c>
      <c r="C309" t="s">
        <v>10</v>
      </c>
      <c r="D309" t="s">
        <v>10</v>
      </c>
      <c r="E309">
        <f t="shared" si="15"/>
        <v>36</v>
      </c>
      <c r="F309">
        <f>48.18+37.34+37.32+36.02</f>
        <v>158.86000000000001</v>
      </c>
      <c r="G309">
        <f>9992+10614+10699+10684</f>
        <v>41989</v>
      </c>
      <c r="H309">
        <f t="shared" si="16"/>
        <v>0</v>
      </c>
      <c r="I309">
        <f t="shared" si="17"/>
        <v>8</v>
      </c>
      <c r="K309" t="s">
        <v>442</v>
      </c>
    </row>
    <row r="310" spans="1:12" x14ac:dyDescent="0.25">
      <c r="A310" s="6">
        <v>10</v>
      </c>
      <c r="B310" t="s">
        <v>10</v>
      </c>
      <c r="C310" t="s">
        <v>10</v>
      </c>
      <c r="D310" t="s">
        <v>10</v>
      </c>
      <c r="E310">
        <f t="shared" si="15"/>
        <v>36</v>
      </c>
      <c r="F310">
        <f>50.16+54.91+42.87+43.85</f>
        <v>191.79</v>
      </c>
      <c r="G310">
        <f>10003+10102+10645+10381</f>
        <v>41131</v>
      </c>
      <c r="H310">
        <f t="shared" si="16"/>
        <v>0</v>
      </c>
      <c r="I310">
        <f t="shared" si="17"/>
        <v>8</v>
      </c>
      <c r="K310" t="s">
        <v>443</v>
      </c>
    </row>
    <row r="311" spans="1:12" x14ac:dyDescent="0.25">
      <c r="A311" s="7" t="s">
        <v>11</v>
      </c>
      <c r="B311" s="8">
        <v>1</v>
      </c>
      <c r="C311" s="8">
        <v>1</v>
      </c>
      <c r="D311" s="8">
        <v>1</v>
      </c>
      <c r="E311" s="8">
        <f>SUM(E301:E310)/10</f>
        <v>36</v>
      </c>
      <c r="F311" s="8">
        <f t="shared" ref="F311:G311" si="18">SUM(F301:F310)/10</f>
        <v>172.42500000000001</v>
      </c>
      <c r="G311" s="8">
        <f t="shared" si="18"/>
        <v>41384.300000000003</v>
      </c>
      <c r="H311" s="8">
        <f>SUM(H301:H310)/10</f>
        <v>0</v>
      </c>
      <c r="I311" s="8">
        <f>SUM(I301:I310)/10</f>
        <v>8</v>
      </c>
      <c r="J311" s="8"/>
      <c r="K311" s="8"/>
    </row>
    <row r="312" spans="1:12" x14ac:dyDescent="0.25">
      <c r="A312" s="1"/>
    </row>
    <row r="313" spans="1:12" x14ac:dyDescent="0.25">
      <c r="A313" s="1"/>
    </row>
    <row r="314" spans="1:12" ht="18.75" x14ac:dyDescent="0.3">
      <c r="A314" s="15"/>
      <c r="B314" s="15"/>
      <c r="C314" s="15"/>
      <c r="D314" s="15"/>
      <c r="E314" s="15"/>
      <c r="F314" s="15"/>
      <c r="G314" s="16" t="s">
        <v>113</v>
      </c>
      <c r="H314" s="15"/>
      <c r="I314" s="15"/>
      <c r="J314" s="15"/>
      <c r="K314" s="15"/>
      <c r="L314" s="15"/>
    </row>
    <row r="317" spans="1:12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1:12" ht="15.75" x14ac:dyDescent="0.25">
      <c r="A318" s="18" t="s">
        <v>128</v>
      </c>
      <c r="B318" s="2"/>
    </row>
    <row r="319" spans="1:12" x14ac:dyDescent="0.25">
      <c r="B319" s="3" t="s">
        <v>83</v>
      </c>
    </row>
    <row r="320" spans="1:12" x14ac:dyDescent="0.25">
      <c r="B320" s="3" t="s">
        <v>84</v>
      </c>
    </row>
    <row r="321" spans="1:12" x14ac:dyDescent="0.25">
      <c r="B321" s="3" t="s">
        <v>85</v>
      </c>
    </row>
    <row r="322" spans="1:12" x14ac:dyDescent="0.25">
      <c r="A322" s="1" t="s">
        <v>3</v>
      </c>
    </row>
    <row r="324" spans="1:12" x14ac:dyDescent="0.25">
      <c r="A324" s="4" t="s">
        <v>4</v>
      </c>
      <c r="B324" s="5" t="s">
        <v>141</v>
      </c>
      <c r="C324" s="5" t="s">
        <v>140</v>
      </c>
      <c r="D324" s="5" t="s">
        <v>139</v>
      </c>
      <c r="E324" s="5" t="s">
        <v>86</v>
      </c>
      <c r="F324" s="5" t="s">
        <v>5</v>
      </c>
      <c r="G324" s="5" t="s">
        <v>6</v>
      </c>
      <c r="H324" s="5" t="s">
        <v>7</v>
      </c>
      <c r="I324" s="5" t="s">
        <v>138</v>
      </c>
      <c r="J324" s="5" t="s">
        <v>8</v>
      </c>
      <c r="K324" s="5" t="s">
        <v>9</v>
      </c>
      <c r="L324" s="5" t="s">
        <v>143</v>
      </c>
    </row>
    <row r="325" spans="1:12" x14ac:dyDescent="0.25">
      <c r="A325" s="6">
        <v>1</v>
      </c>
      <c r="B325" t="s">
        <v>15</v>
      </c>
      <c r="C325" t="s">
        <v>15</v>
      </c>
      <c r="D325" t="s">
        <v>10</v>
      </c>
      <c r="E325" t="s">
        <v>10</v>
      </c>
      <c r="F325">
        <v>17</v>
      </c>
      <c r="G325">
        <v>63.48</v>
      </c>
      <c r="H325">
        <v>26182</v>
      </c>
      <c r="I325">
        <v>0</v>
      </c>
      <c r="J325">
        <v>4</v>
      </c>
      <c r="K325" t="s">
        <v>92</v>
      </c>
      <c r="L325" t="s">
        <v>384</v>
      </c>
    </row>
    <row r="326" spans="1:12" x14ac:dyDescent="0.25">
      <c r="A326" s="6">
        <v>2</v>
      </c>
      <c r="B326" t="s">
        <v>15</v>
      </c>
      <c r="C326" t="s">
        <v>15</v>
      </c>
      <c r="D326" t="s">
        <v>10</v>
      </c>
      <c r="E326" t="s">
        <v>10</v>
      </c>
      <c r="F326">
        <v>17</v>
      </c>
      <c r="G326">
        <v>62.74</v>
      </c>
      <c r="H326">
        <v>29633</v>
      </c>
      <c r="I326">
        <v>0</v>
      </c>
      <c r="J326">
        <v>4</v>
      </c>
      <c r="K326" t="s">
        <v>92</v>
      </c>
      <c r="L326" t="s">
        <v>385</v>
      </c>
    </row>
    <row r="327" spans="1:12" x14ac:dyDescent="0.25">
      <c r="A327" s="6">
        <v>3</v>
      </c>
      <c r="B327" t="s">
        <v>15</v>
      </c>
      <c r="C327" t="s">
        <v>15</v>
      </c>
      <c r="D327" t="s">
        <v>10</v>
      </c>
      <c r="E327" t="s">
        <v>10</v>
      </c>
      <c r="F327">
        <v>13</v>
      </c>
      <c r="G327">
        <v>69.61</v>
      </c>
      <c r="H327">
        <v>22238</v>
      </c>
      <c r="I327">
        <v>0</v>
      </c>
      <c r="J327">
        <v>3</v>
      </c>
      <c r="K327" t="s">
        <v>92</v>
      </c>
      <c r="L327" t="s">
        <v>386</v>
      </c>
    </row>
    <row r="328" spans="1:12" x14ac:dyDescent="0.25">
      <c r="A328" s="6">
        <v>4</v>
      </c>
      <c r="B328" t="s">
        <v>15</v>
      </c>
      <c r="C328" t="s">
        <v>15</v>
      </c>
      <c r="D328" t="s">
        <v>10</v>
      </c>
      <c r="E328" t="s">
        <v>10</v>
      </c>
      <c r="F328">
        <v>9</v>
      </c>
      <c r="G328">
        <v>42.76</v>
      </c>
      <c r="H328">
        <v>11281</v>
      </c>
      <c r="I328">
        <v>0</v>
      </c>
      <c r="J328">
        <v>2</v>
      </c>
      <c r="K328" t="s">
        <v>92</v>
      </c>
      <c r="L328" t="s">
        <v>387</v>
      </c>
    </row>
    <row r="329" spans="1:12" x14ac:dyDescent="0.25">
      <c r="A329" s="6">
        <v>5</v>
      </c>
      <c r="B329" t="s">
        <v>15</v>
      </c>
      <c r="C329" t="s">
        <v>15</v>
      </c>
      <c r="D329" t="s">
        <v>10</v>
      </c>
      <c r="E329" t="s">
        <v>10</v>
      </c>
      <c r="F329">
        <v>13</v>
      </c>
      <c r="G329">
        <v>59.91</v>
      </c>
      <c r="H329">
        <v>19284</v>
      </c>
      <c r="I329">
        <v>0</v>
      </c>
      <c r="J329">
        <v>3</v>
      </c>
      <c r="K329" t="s">
        <v>92</v>
      </c>
      <c r="L329" t="s">
        <v>388</v>
      </c>
    </row>
    <row r="330" spans="1:12" x14ac:dyDescent="0.25">
      <c r="A330" s="6">
        <v>6</v>
      </c>
      <c r="B330" t="s">
        <v>15</v>
      </c>
      <c r="C330" t="s">
        <v>15</v>
      </c>
      <c r="D330" t="s">
        <v>10</v>
      </c>
      <c r="E330" t="s">
        <v>10</v>
      </c>
      <c r="F330">
        <v>13</v>
      </c>
      <c r="G330">
        <v>50.14</v>
      </c>
      <c r="H330">
        <v>17713</v>
      </c>
      <c r="I330">
        <v>0</v>
      </c>
      <c r="J330">
        <v>3</v>
      </c>
      <c r="K330" t="s">
        <v>92</v>
      </c>
      <c r="L330" t="s">
        <v>389</v>
      </c>
    </row>
    <row r="331" spans="1:12" x14ac:dyDescent="0.25">
      <c r="A331" s="6">
        <v>7</v>
      </c>
      <c r="B331" t="s">
        <v>15</v>
      </c>
      <c r="C331" t="s">
        <v>15</v>
      </c>
      <c r="D331" t="s">
        <v>10</v>
      </c>
      <c r="E331" t="s">
        <v>10</v>
      </c>
      <c r="F331">
        <v>13</v>
      </c>
      <c r="G331">
        <v>43.21</v>
      </c>
      <c r="H331">
        <v>17835</v>
      </c>
      <c r="I331">
        <v>0</v>
      </c>
      <c r="J331">
        <v>3</v>
      </c>
      <c r="K331" t="s">
        <v>92</v>
      </c>
      <c r="L331" t="s">
        <v>390</v>
      </c>
    </row>
    <row r="332" spans="1:12" x14ac:dyDescent="0.25">
      <c r="A332" s="6">
        <v>8</v>
      </c>
      <c r="B332" t="s">
        <v>15</v>
      </c>
      <c r="C332" t="s">
        <v>15</v>
      </c>
      <c r="D332" t="s">
        <v>10</v>
      </c>
      <c r="E332" t="s">
        <v>10</v>
      </c>
      <c r="F332">
        <v>9</v>
      </c>
      <c r="G332">
        <v>33.340000000000003</v>
      </c>
      <c r="H332">
        <v>9510</v>
      </c>
      <c r="I332">
        <v>0</v>
      </c>
      <c r="J332">
        <v>2</v>
      </c>
      <c r="K332" t="s">
        <v>92</v>
      </c>
      <c r="L332" t="s">
        <v>391</v>
      </c>
    </row>
    <row r="333" spans="1:12" x14ac:dyDescent="0.25">
      <c r="A333" s="6">
        <v>9</v>
      </c>
      <c r="B333" t="s">
        <v>15</v>
      </c>
      <c r="C333" t="s">
        <v>15</v>
      </c>
      <c r="D333" t="s">
        <v>10</v>
      </c>
      <c r="E333" t="s">
        <v>10</v>
      </c>
      <c r="F333">
        <v>13</v>
      </c>
      <c r="G333">
        <v>63.54</v>
      </c>
      <c r="H333">
        <v>19515</v>
      </c>
      <c r="I333">
        <v>0</v>
      </c>
      <c r="J333">
        <v>3</v>
      </c>
      <c r="K333" t="s">
        <v>92</v>
      </c>
      <c r="L333" t="s">
        <v>392</v>
      </c>
    </row>
    <row r="334" spans="1:12" x14ac:dyDescent="0.25">
      <c r="A334" s="6">
        <v>10</v>
      </c>
      <c r="B334" t="s">
        <v>15</v>
      </c>
      <c r="C334" t="s">
        <v>15</v>
      </c>
      <c r="D334" t="s">
        <v>10</v>
      </c>
      <c r="E334" t="s">
        <v>10</v>
      </c>
      <c r="F334">
        <v>13</v>
      </c>
      <c r="G334">
        <v>64.239999999999995</v>
      </c>
      <c r="H334">
        <v>19733</v>
      </c>
      <c r="I334">
        <v>0</v>
      </c>
      <c r="J334">
        <v>3</v>
      </c>
      <c r="K334" t="s">
        <v>92</v>
      </c>
      <c r="L334" t="s">
        <v>393</v>
      </c>
    </row>
    <row r="335" spans="1:12" x14ac:dyDescent="0.25">
      <c r="A335" s="7" t="s">
        <v>11</v>
      </c>
      <c r="B335" s="8">
        <v>0</v>
      </c>
      <c r="C335" s="8">
        <v>0</v>
      </c>
      <c r="D335" s="8">
        <v>1</v>
      </c>
      <c r="E335" s="8">
        <v>1</v>
      </c>
      <c r="F335" s="8">
        <f>SUM(F325:F334)/10</f>
        <v>13</v>
      </c>
      <c r="G335" s="8">
        <f t="shared" ref="G335:H335" si="19">SUM(G325:G334)/10</f>
        <v>55.29699999999999</v>
      </c>
      <c r="H335" s="8">
        <f t="shared" si="19"/>
        <v>19292.400000000001</v>
      </c>
      <c r="I335" s="8">
        <f>SUM(I325:I334)/10</f>
        <v>0</v>
      </c>
      <c r="J335" s="8">
        <f>SUM(J325:J334)/10</f>
        <v>3</v>
      </c>
      <c r="K335" s="8"/>
      <c r="L335" s="8"/>
    </row>
    <row r="339" spans="1:12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</row>
    <row r="340" spans="1:12" ht="15.75" x14ac:dyDescent="0.25">
      <c r="A340" s="18" t="s">
        <v>115</v>
      </c>
      <c r="B340" s="2"/>
    </row>
    <row r="341" spans="1:12" x14ac:dyDescent="0.25">
      <c r="B341" s="3" t="s">
        <v>93</v>
      </c>
    </row>
    <row r="342" spans="1:12" x14ac:dyDescent="0.25">
      <c r="B342" s="3" t="s">
        <v>94</v>
      </c>
    </row>
    <row r="343" spans="1:12" x14ac:dyDescent="0.25">
      <c r="B343" s="3" t="s">
        <v>95</v>
      </c>
    </row>
    <row r="344" spans="1:12" x14ac:dyDescent="0.25">
      <c r="A344" s="1" t="s">
        <v>3</v>
      </c>
    </row>
    <row r="346" spans="1:12" x14ac:dyDescent="0.25">
      <c r="A346" s="4" t="s">
        <v>4</v>
      </c>
      <c r="B346" s="5" t="s">
        <v>141</v>
      </c>
      <c r="C346" s="5" t="s">
        <v>140</v>
      </c>
      <c r="D346" s="5" t="s">
        <v>139</v>
      </c>
      <c r="E346" s="5" t="s">
        <v>86</v>
      </c>
      <c r="F346" s="5" t="s">
        <v>5</v>
      </c>
      <c r="G346" s="5" t="s">
        <v>6</v>
      </c>
      <c r="H346" s="5" t="s">
        <v>7</v>
      </c>
      <c r="I346" s="5" t="s">
        <v>138</v>
      </c>
      <c r="J346" s="5" t="s">
        <v>8</v>
      </c>
      <c r="K346" s="5" t="s">
        <v>9</v>
      </c>
      <c r="L346" s="5" t="s">
        <v>143</v>
      </c>
    </row>
    <row r="347" spans="1:12" x14ac:dyDescent="0.25">
      <c r="A347" s="6">
        <v>1</v>
      </c>
      <c r="B347" t="s">
        <v>15</v>
      </c>
      <c r="C347" t="s">
        <v>15</v>
      </c>
      <c r="D347" t="s">
        <v>10</v>
      </c>
      <c r="E347" t="s">
        <v>10</v>
      </c>
      <c r="F347">
        <v>13</v>
      </c>
      <c r="G347">
        <v>54.51</v>
      </c>
      <c r="H347">
        <v>19069</v>
      </c>
      <c r="I347">
        <v>0</v>
      </c>
      <c r="J347">
        <v>3</v>
      </c>
      <c r="K347" t="s">
        <v>106</v>
      </c>
      <c r="L347" t="s">
        <v>394</v>
      </c>
    </row>
    <row r="348" spans="1:12" x14ac:dyDescent="0.25">
      <c r="A348" s="6">
        <v>2</v>
      </c>
      <c r="B348" t="s">
        <v>15</v>
      </c>
      <c r="C348" t="s">
        <v>15</v>
      </c>
      <c r="D348" t="s">
        <v>10</v>
      </c>
      <c r="E348" t="s">
        <v>10</v>
      </c>
      <c r="F348">
        <v>21</v>
      </c>
      <c r="G348">
        <v>92.67</v>
      </c>
      <c r="H348">
        <v>39990</v>
      </c>
      <c r="I348">
        <v>0</v>
      </c>
      <c r="J348">
        <v>5</v>
      </c>
      <c r="K348" t="s">
        <v>107</v>
      </c>
      <c r="L348" t="s">
        <v>395</v>
      </c>
    </row>
    <row r="349" spans="1:12" x14ac:dyDescent="0.25">
      <c r="A349" s="6">
        <v>3</v>
      </c>
      <c r="B349" t="s">
        <v>15</v>
      </c>
      <c r="C349" t="s">
        <v>15</v>
      </c>
      <c r="D349" t="s">
        <v>10</v>
      </c>
      <c r="E349" t="s">
        <v>10</v>
      </c>
      <c r="F349">
        <v>13</v>
      </c>
      <c r="G349">
        <v>72.540000000000006</v>
      </c>
      <c r="H349">
        <v>21134</v>
      </c>
      <c r="I349">
        <v>0</v>
      </c>
      <c r="J349">
        <v>3</v>
      </c>
      <c r="K349" t="s">
        <v>106</v>
      </c>
      <c r="L349" t="s">
        <v>396</v>
      </c>
    </row>
    <row r="350" spans="1:12" x14ac:dyDescent="0.25">
      <c r="A350" s="6">
        <v>4</v>
      </c>
      <c r="B350" t="s">
        <v>15</v>
      </c>
      <c r="C350" t="s">
        <v>15</v>
      </c>
      <c r="D350" t="s">
        <v>10</v>
      </c>
      <c r="E350" t="s">
        <v>10</v>
      </c>
      <c r="F350">
        <v>13</v>
      </c>
      <c r="G350">
        <v>45.52</v>
      </c>
      <c r="H350">
        <v>19000</v>
      </c>
      <c r="I350">
        <v>0</v>
      </c>
      <c r="J350">
        <v>3</v>
      </c>
      <c r="K350" t="s">
        <v>106</v>
      </c>
      <c r="L350" t="s">
        <v>397</v>
      </c>
    </row>
    <row r="351" spans="1:12" x14ac:dyDescent="0.25">
      <c r="A351" s="6">
        <v>5</v>
      </c>
      <c r="B351" t="s">
        <v>10</v>
      </c>
      <c r="C351" t="s">
        <v>15</v>
      </c>
      <c r="D351" t="s">
        <v>15</v>
      </c>
      <c r="E351" t="s">
        <v>15</v>
      </c>
      <c r="F351">
        <v>25</v>
      </c>
      <c r="G351">
        <v>120.27</v>
      </c>
      <c r="H351">
        <v>56798</v>
      </c>
      <c r="I351">
        <v>0</v>
      </c>
      <c r="J351">
        <v>6</v>
      </c>
      <c r="K351" t="s">
        <v>108</v>
      </c>
      <c r="L351" t="s">
        <v>398</v>
      </c>
    </row>
    <row r="352" spans="1:12" x14ac:dyDescent="0.25">
      <c r="A352" s="6">
        <v>6</v>
      </c>
      <c r="B352" t="s">
        <v>10</v>
      </c>
      <c r="C352" t="s">
        <v>15</v>
      </c>
      <c r="D352" t="s">
        <v>15</v>
      </c>
      <c r="E352" t="s">
        <v>15</v>
      </c>
      <c r="F352">
        <v>21</v>
      </c>
      <c r="G352">
        <v>89.17</v>
      </c>
      <c r="H352">
        <v>41140</v>
      </c>
      <c r="I352">
        <v>0</v>
      </c>
      <c r="J352">
        <v>5</v>
      </c>
      <c r="K352" t="s">
        <v>109</v>
      </c>
      <c r="L352" t="s">
        <v>399</v>
      </c>
    </row>
    <row r="353" spans="1:12" x14ac:dyDescent="0.25">
      <c r="A353" s="6">
        <v>7</v>
      </c>
      <c r="B353" t="s">
        <v>10</v>
      </c>
      <c r="C353" t="s">
        <v>15</v>
      </c>
      <c r="D353" t="s">
        <v>15</v>
      </c>
      <c r="E353" t="s">
        <v>15</v>
      </c>
      <c r="F353">
        <v>17</v>
      </c>
      <c r="G353">
        <v>70.28</v>
      </c>
      <c r="H353">
        <v>30841</v>
      </c>
      <c r="I353">
        <v>0</v>
      </c>
      <c r="J353">
        <v>4</v>
      </c>
      <c r="K353" t="s">
        <v>108</v>
      </c>
      <c r="L353" t="s">
        <v>400</v>
      </c>
    </row>
    <row r="354" spans="1:12" x14ac:dyDescent="0.25">
      <c r="A354" s="6">
        <v>8</v>
      </c>
      <c r="B354" t="s">
        <v>10</v>
      </c>
      <c r="C354" t="s">
        <v>15</v>
      </c>
      <c r="D354" t="s">
        <v>15</v>
      </c>
      <c r="E354" t="s">
        <v>15</v>
      </c>
      <c r="F354">
        <v>17</v>
      </c>
      <c r="G354">
        <v>87.73</v>
      </c>
      <c r="H354">
        <v>31939</v>
      </c>
      <c r="I354">
        <v>0</v>
      </c>
      <c r="J354">
        <v>4</v>
      </c>
      <c r="K354" t="s">
        <v>108</v>
      </c>
      <c r="L354" t="s">
        <v>401</v>
      </c>
    </row>
    <row r="355" spans="1:12" x14ac:dyDescent="0.25">
      <c r="A355" s="6">
        <v>9</v>
      </c>
      <c r="B355" t="s">
        <v>15</v>
      </c>
      <c r="C355" t="s">
        <v>15</v>
      </c>
      <c r="D355" t="s">
        <v>10</v>
      </c>
      <c r="E355" t="s">
        <v>10</v>
      </c>
      <c r="F355">
        <v>13</v>
      </c>
      <c r="G355">
        <v>69.069999999999993</v>
      </c>
      <c r="H355">
        <v>20909</v>
      </c>
      <c r="I355">
        <v>0</v>
      </c>
      <c r="J355">
        <v>3</v>
      </c>
      <c r="K355" t="s">
        <v>132</v>
      </c>
      <c r="L355" t="s">
        <v>402</v>
      </c>
    </row>
    <row r="356" spans="1:12" x14ac:dyDescent="0.25">
      <c r="A356" s="6">
        <v>10</v>
      </c>
      <c r="B356" t="s">
        <v>15</v>
      </c>
      <c r="C356" t="s">
        <v>15</v>
      </c>
      <c r="D356" t="s">
        <v>10</v>
      </c>
      <c r="E356" t="s">
        <v>10</v>
      </c>
      <c r="F356">
        <v>21</v>
      </c>
      <c r="G356">
        <v>100.29</v>
      </c>
      <c r="H356">
        <v>40517</v>
      </c>
      <c r="I356">
        <v>0</v>
      </c>
      <c r="J356">
        <v>5</v>
      </c>
      <c r="K356" t="s">
        <v>106</v>
      </c>
      <c r="L356" t="s">
        <v>403</v>
      </c>
    </row>
    <row r="357" spans="1:12" x14ac:dyDescent="0.25">
      <c r="A357" s="7" t="s">
        <v>11</v>
      </c>
      <c r="B357" s="8">
        <v>0.4</v>
      </c>
      <c r="C357" s="8">
        <v>0</v>
      </c>
      <c r="D357" s="8">
        <v>0.6</v>
      </c>
      <c r="E357" s="8">
        <v>0.6</v>
      </c>
      <c r="F357" s="8">
        <f>SUM(F347:F356)/10</f>
        <v>17.399999999999999</v>
      </c>
      <c r="G357" s="8">
        <f t="shared" ref="G357:H357" si="20">SUM(G347:G356)/10</f>
        <v>80.204999999999998</v>
      </c>
      <c r="H357" s="8">
        <f t="shared" si="20"/>
        <v>32133.7</v>
      </c>
      <c r="I357" s="8">
        <f>SUM(I347:I356)/10</f>
        <v>0</v>
      </c>
      <c r="J357" s="8">
        <f>SUM(J347:J356)/10</f>
        <v>4.0999999999999996</v>
      </c>
      <c r="K357" s="8"/>
      <c r="L357" s="8"/>
    </row>
    <row r="361" spans="1:12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 spans="1:12" ht="15.75" x14ac:dyDescent="0.25">
      <c r="A362" s="18" t="s">
        <v>114</v>
      </c>
      <c r="B362" s="2"/>
    </row>
    <row r="363" spans="1:12" x14ac:dyDescent="0.25">
      <c r="B363" s="3" t="s">
        <v>12</v>
      </c>
    </row>
    <row r="364" spans="1:12" x14ac:dyDescent="0.25">
      <c r="B364" s="3" t="s">
        <v>100</v>
      </c>
    </row>
    <row r="365" spans="1:12" x14ac:dyDescent="0.25">
      <c r="B365" s="3" t="s">
        <v>101</v>
      </c>
    </row>
    <row r="366" spans="1:12" x14ac:dyDescent="0.25">
      <c r="A366" s="1" t="s">
        <v>3</v>
      </c>
    </row>
    <row r="368" spans="1:12" x14ac:dyDescent="0.25">
      <c r="A368" s="4" t="s">
        <v>4</v>
      </c>
      <c r="B368" s="5" t="s">
        <v>141</v>
      </c>
      <c r="C368" s="5" t="s">
        <v>140</v>
      </c>
      <c r="D368" s="5" t="s">
        <v>139</v>
      </c>
      <c r="E368" s="5" t="s">
        <v>86</v>
      </c>
      <c r="F368" s="5" t="s">
        <v>5</v>
      </c>
      <c r="G368" s="5" t="s">
        <v>6</v>
      </c>
      <c r="H368" s="5" t="s">
        <v>7</v>
      </c>
      <c r="I368" s="5" t="s">
        <v>138</v>
      </c>
      <c r="J368" s="5" t="s">
        <v>8</v>
      </c>
      <c r="K368" s="5" t="s">
        <v>9</v>
      </c>
      <c r="L368" s="5" t="s">
        <v>143</v>
      </c>
    </row>
    <row r="369" spans="1:12" x14ac:dyDescent="0.25">
      <c r="A369" s="6">
        <v>1</v>
      </c>
      <c r="B369" t="s">
        <v>10</v>
      </c>
      <c r="C369" t="s">
        <v>15</v>
      </c>
      <c r="D369" t="s">
        <v>15</v>
      </c>
      <c r="E369" t="s">
        <v>15</v>
      </c>
      <c r="F369">
        <v>37</v>
      </c>
      <c r="G369">
        <v>189.02</v>
      </c>
      <c r="H369">
        <v>112496</v>
      </c>
      <c r="I369">
        <v>0</v>
      </c>
      <c r="J369">
        <v>9</v>
      </c>
      <c r="K369" t="s">
        <v>103</v>
      </c>
      <c r="L369" t="s">
        <v>404</v>
      </c>
    </row>
    <row r="370" spans="1:12" x14ac:dyDescent="0.25">
      <c r="A370" s="6">
        <v>2</v>
      </c>
      <c r="B370" t="s">
        <v>10</v>
      </c>
      <c r="C370" t="s">
        <v>15</v>
      </c>
      <c r="D370" t="s">
        <v>15</v>
      </c>
      <c r="E370" t="s">
        <v>15</v>
      </c>
      <c r="F370">
        <v>13</v>
      </c>
      <c r="G370">
        <v>65.540000000000006</v>
      </c>
      <c r="H370">
        <v>20131</v>
      </c>
      <c r="I370">
        <v>0</v>
      </c>
      <c r="J370">
        <v>3</v>
      </c>
      <c r="K370" t="s">
        <v>103</v>
      </c>
      <c r="L370" t="s">
        <v>406</v>
      </c>
    </row>
    <row r="371" spans="1:12" x14ac:dyDescent="0.25">
      <c r="A371" s="6">
        <v>3</v>
      </c>
      <c r="B371" t="s">
        <v>10</v>
      </c>
      <c r="C371" t="s">
        <v>15</v>
      </c>
      <c r="D371" t="s">
        <v>15</v>
      </c>
      <c r="E371" t="s">
        <v>15</v>
      </c>
      <c r="F371">
        <v>33</v>
      </c>
      <c r="G371">
        <v>208.39</v>
      </c>
      <c r="H371">
        <v>89979</v>
      </c>
      <c r="I371">
        <v>0</v>
      </c>
      <c r="J371">
        <v>8</v>
      </c>
      <c r="K371" t="s">
        <v>103</v>
      </c>
      <c r="L371" t="s">
        <v>407</v>
      </c>
    </row>
    <row r="372" spans="1:12" x14ac:dyDescent="0.25">
      <c r="A372" s="6">
        <v>4</v>
      </c>
      <c r="B372" t="s">
        <v>10</v>
      </c>
      <c r="C372" t="s">
        <v>15</v>
      </c>
      <c r="D372" t="s">
        <v>15</v>
      </c>
      <c r="E372" t="s">
        <v>15</v>
      </c>
      <c r="F372">
        <v>37</v>
      </c>
      <c r="G372">
        <v>209.26</v>
      </c>
      <c r="H372">
        <v>112496</v>
      </c>
      <c r="I372">
        <v>0</v>
      </c>
      <c r="J372">
        <v>9</v>
      </c>
      <c r="K372" t="s">
        <v>103</v>
      </c>
      <c r="L372" t="s">
        <v>405</v>
      </c>
    </row>
    <row r="373" spans="1:12" x14ac:dyDescent="0.25">
      <c r="A373" s="6">
        <v>5</v>
      </c>
      <c r="B373" t="s">
        <v>10</v>
      </c>
      <c r="C373" t="s">
        <v>15</v>
      </c>
      <c r="D373" t="s">
        <v>15</v>
      </c>
      <c r="E373" t="s">
        <v>15</v>
      </c>
      <c r="F373">
        <v>37</v>
      </c>
      <c r="G373">
        <v>188.73</v>
      </c>
      <c r="H373">
        <v>111961</v>
      </c>
      <c r="I373">
        <v>0</v>
      </c>
      <c r="J373">
        <v>9</v>
      </c>
      <c r="K373" t="s">
        <v>103</v>
      </c>
      <c r="L373" t="s">
        <v>408</v>
      </c>
    </row>
    <row r="374" spans="1:12" x14ac:dyDescent="0.25">
      <c r="A374" s="6">
        <v>6</v>
      </c>
      <c r="B374" t="s">
        <v>10</v>
      </c>
      <c r="C374" t="s">
        <v>15</v>
      </c>
      <c r="D374" t="s">
        <v>15</v>
      </c>
      <c r="E374" t="s">
        <v>15</v>
      </c>
      <c r="F374">
        <v>33</v>
      </c>
      <c r="G374">
        <v>166.75</v>
      </c>
      <c r="H374">
        <v>91980</v>
      </c>
      <c r="I374">
        <v>0</v>
      </c>
      <c r="J374">
        <v>8</v>
      </c>
      <c r="K374" t="s">
        <v>103</v>
      </c>
      <c r="L374" t="s">
        <v>409</v>
      </c>
    </row>
    <row r="375" spans="1:12" x14ac:dyDescent="0.25">
      <c r="A375" s="6">
        <v>7</v>
      </c>
      <c r="B375" t="s">
        <v>10</v>
      </c>
      <c r="C375" t="s">
        <v>15</v>
      </c>
      <c r="D375" t="s">
        <v>15</v>
      </c>
      <c r="E375" t="s">
        <v>15</v>
      </c>
      <c r="F375">
        <v>37</v>
      </c>
      <c r="G375">
        <v>183.05</v>
      </c>
      <c r="H375">
        <v>112890</v>
      </c>
      <c r="I375">
        <v>0</v>
      </c>
      <c r="J375">
        <v>9</v>
      </c>
      <c r="K375" t="s">
        <v>110</v>
      </c>
      <c r="L375" t="s">
        <v>410</v>
      </c>
    </row>
    <row r="376" spans="1:12" x14ac:dyDescent="0.25">
      <c r="A376" s="6">
        <v>8</v>
      </c>
      <c r="B376" t="s">
        <v>10</v>
      </c>
      <c r="C376" t="s">
        <v>15</v>
      </c>
      <c r="D376" t="s">
        <v>15</v>
      </c>
      <c r="E376" t="s">
        <v>15</v>
      </c>
      <c r="F376">
        <v>37</v>
      </c>
      <c r="G376">
        <v>173.02</v>
      </c>
      <c r="H376">
        <v>107126</v>
      </c>
      <c r="I376">
        <v>0</v>
      </c>
      <c r="J376">
        <v>9</v>
      </c>
      <c r="K376" t="s">
        <v>103</v>
      </c>
      <c r="L376" t="s">
        <v>411</v>
      </c>
    </row>
    <row r="377" spans="1:12" x14ac:dyDescent="0.25">
      <c r="A377" s="6">
        <v>9</v>
      </c>
      <c r="B377" t="s">
        <v>10</v>
      </c>
      <c r="C377" t="s">
        <v>15</v>
      </c>
      <c r="D377" t="s">
        <v>15</v>
      </c>
      <c r="E377" t="s">
        <v>15</v>
      </c>
      <c r="F377">
        <v>37</v>
      </c>
      <c r="G377">
        <v>209.12</v>
      </c>
      <c r="H377">
        <v>112776</v>
      </c>
      <c r="I377">
        <v>0</v>
      </c>
      <c r="J377">
        <v>9</v>
      </c>
      <c r="K377" t="s">
        <v>103</v>
      </c>
      <c r="L377" t="s">
        <v>412</v>
      </c>
    </row>
    <row r="378" spans="1:12" x14ac:dyDescent="0.25">
      <c r="A378" s="6">
        <v>10</v>
      </c>
      <c r="B378" t="s">
        <v>10</v>
      </c>
      <c r="C378" t="s">
        <v>15</v>
      </c>
      <c r="D378" t="s">
        <v>15</v>
      </c>
      <c r="E378" t="s">
        <v>15</v>
      </c>
      <c r="F378">
        <v>13</v>
      </c>
      <c r="G378">
        <v>63.59</v>
      </c>
      <c r="H378">
        <v>20251</v>
      </c>
      <c r="I378">
        <v>0</v>
      </c>
      <c r="J378">
        <v>3</v>
      </c>
      <c r="K378" t="s">
        <v>103</v>
      </c>
      <c r="L378" t="s">
        <v>413</v>
      </c>
    </row>
    <row r="379" spans="1:12" x14ac:dyDescent="0.25">
      <c r="A379" s="7" t="s">
        <v>11</v>
      </c>
      <c r="B379" s="8">
        <v>1</v>
      </c>
      <c r="C379" s="8">
        <v>0</v>
      </c>
      <c r="D379" s="8">
        <v>0</v>
      </c>
      <c r="E379" s="8">
        <v>0</v>
      </c>
      <c r="F379" s="8">
        <f>SUM(F369:F378)/10</f>
        <v>31.4</v>
      </c>
      <c r="G379" s="8">
        <f t="shared" ref="G379:H379" si="21">SUM(G369:G378)/10</f>
        <v>165.64699999999999</v>
      </c>
      <c r="H379" s="8">
        <f t="shared" si="21"/>
        <v>89208.6</v>
      </c>
      <c r="I379" s="8">
        <f>SUM(I369:I378)/10</f>
        <v>0</v>
      </c>
      <c r="J379" s="8">
        <f>SUM(J369:J378)/10</f>
        <v>7.6</v>
      </c>
      <c r="K379" s="8"/>
      <c r="L379" s="8"/>
    </row>
    <row r="382" spans="1:12" ht="18.75" x14ac:dyDescent="0.3">
      <c r="A382" s="15"/>
      <c r="B382" s="15"/>
      <c r="C382" s="15"/>
      <c r="D382" s="15"/>
      <c r="E382" s="15"/>
      <c r="F382" s="15"/>
      <c r="G382" s="16" t="s">
        <v>136</v>
      </c>
      <c r="H382" s="15"/>
      <c r="I382" s="15"/>
      <c r="J382" s="15"/>
      <c r="K382" s="15"/>
      <c r="L382" s="15"/>
    </row>
    <row r="384" spans="1:12" ht="15.75" thickBot="1" x14ac:dyDescent="0.3"/>
    <row r="385" spans="1:8" x14ac:dyDescent="0.25">
      <c r="F385" s="19" t="s">
        <v>129</v>
      </c>
      <c r="G385" s="20"/>
      <c r="H385" s="21">
        <f>AVERAGE(C20,C42,C64,C86,C108,C130,C152,C174,C196)</f>
        <v>1</v>
      </c>
    </row>
    <row r="386" spans="1:8" x14ac:dyDescent="0.25">
      <c r="F386" s="22"/>
      <c r="H386" s="23"/>
    </row>
    <row r="387" spans="1:8" x14ac:dyDescent="0.25">
      <c r="F387" s="22" t="s">
        <v>130</v>
      </c>
      <c r="H387" s="23">
        <f>AVERAGE(C239,C278,C311)</f>
        <v>1</v>
      </c>
    </row>
    <row r="388" spans="1:8" x14ac:dyDescent="0.25">
      <c r="F388" s="22"/>
      <c r="H388" s="23"/>
    </row>
    <row r="389" spans="1:8" x14ac:dyDescent="0.25">
      <c r="F389" s="22" t="s">
        <v>131</v>
      </c>
      <c r="H389" s="23">
        <f>AVERAGE(C20,C42,C64,C86,C108,C130,C152,C174,C196,C239,C278,C311)</f>
        <v>1</v>
      </c>
    </row>
    <row r="390" spans="1:8" x14ac:dyDescent="0.25">
      <c r="F390" s="22"/>
      <c r="H390" s="24"/>
    </row>
    <row r="391" spans="1:8" ht="15.75" thickBot="1" x14ac:dyDescent="0.3">
      <c r="F391" s="25" t="s">
        <v>134</v>
      </c>
      <c r="G391" s="17"/>
      <c r="H391" s="26">
        <f>AVERAGE(E335,E357,E379)</f>
        <v>0.53333333333333333</v>
      </c>
    </row>
    <row r="395" spans="1:8" x14ac:dyDescent="0.25">
      <c r="A395" s="8" t="s">
        <v>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GPT3.5</vt:lpstr>
      <vt:lpstr>GPT4o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Schmidt</dc:creator>
  <cp:lastModifiedBy>Alexander Schmidt</cp:lastModifiedBy>
  <dcterms:created xsi:type="dcterms:W3CDTF">2015-06-05T18:19:34Z</dcterms:created>
  <dcterms:modified xsi:type="dcterms:W3CDTF">2024-06-14T10:36:27Z</dcterms:modified>
</cp:coreProperties>
</file>