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omments3.xml" ContentType="application/vnd.openxmlformats-officedocument.spreadsheetml.comments+xml"/>
  <Override PartName="/xl/tables/table11.xml" ContentType="application/vnd.openxmlformats-officedocument.spreadsheetml.table+xml"/>
  <Override PartName="/xl/comments4.xml" ContentType="application/vnd.openxmlformats-officedocument.spreadsheetml.comments+xml"/>
  <Override PartName="/xl/tables/table12.xml" ContentType="application/vnd.openxmlformats-officedocument.spreadsheetml.table+xml"/>
  <Override PartName="/xl/comments5.xml" ContentType="application/vnd.openxmlformats-officedocument.spreadsheetml.comments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velopment\Projects\TechU\RUN_INDIA_CARGO\"/>
    </mc:Choice>
  </mc:AlternateContent>
  <xr:revisionPtr revIDLastSave="0" documentId="13_ncr:1_{606C66A6-C4EE-4F5E-B21B-34F509551538}" xr6:coauthVersionLast="45" xr6:coauthVersionMax="45" xr10:uidLastSave="{00000000-0000-0000-0000-000000000000}"/>
  <bookViews>
    <workbookView xWindow="-120" yWindow="-120" windowWidth="20730" windowHeight="10845" tabRatio="909" activeTab="16" xr2:uid="{00000000-000D-0000-FFFF-FFFF00000000}"/>
  </bookViews>
  <sheets>
    <sheet name="Year Summary" sheetId="2" r:id="rId1"/>
    <sheet name="Jan" sheetId="3" r:id="rId2"/>
    <sheet name="Feb" sheetId="11" r:id="rId3"/>
    <sheet name="Mar" sheetId="10" r:id="rId4"/>
    <sheet name="Apr" sheetId="9" r:id="rId5"/>
    <sheet name="May" sheetId="8" r:id="rId6"/>
    <sheet name="Jun" sheetId="4" r:id="rId7"/>
    <sheet name="Jul" sheetId="5" r:id="rId8"/>
    <sheet name="Aug" sheetId="6" r:id="rId9"/>
    <sheet name="Sep" sheetId="7" r:id="rId10"/>
    <sheet name="Oct" sheetId="13" r:id="rId11"/>
    <sheet name="Nov" sheetId="14" r:id="rId12"/>
    <sheet name="Dec" sheetId="15" r:id="rId13"/>
    <sheet name="Checking" sheetId="1" r:id="rId14"/>
    <sheet name="RUN WORKSHEET" sheetId="17" r:id="rId15"/>
    <sheet name="Consignee" sheetId="18" r:id="rId16"/>
    <sheet name="Consigner" sheetId="19" r:id="rId17"/>
  </sheets>
  <definedNames>
    <definedName name="_xlnm._FilterDatabase" localSheetId="14" hidden="1">'RUN WORKSHEET'!$A$1:$I$773</definedName>
  </definedNames>
  <calcPr calcId="191029"/>
</workbook>
</file>

<file path=xl/calcChain.xml><?xml version="1.0" encoding="utf-8"?>
<calcChain xmlns="http://schemas.openxmlformats.org/spreadsheetml/2006/main">
  <c r="A15" i="19" l="1"/>
  <c r="A16" i="19" s="1"/>
  <c r="A17" i="19" s="1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A31" i="19" s="1"/>
  <c r="A32" i="19" s="1"/>
  <c r="A33" i="19" s="1"/>
  <c r="A34" i="19" s="1"/>
  <c r="A35" i="19" s="1"/>
  <c r="A36" i="19" s="1"/>
  <c r="A37" i="19" s="1"/>
  <c r="A38" i="19" s="1"/>
  <c r="A39" i="19" s="1"/>
  <c r="A40" i="19" s="1"/>
  <c r="A41" i="19" s="1"/>
  <c r="A42" i="19" s="1"/>
  <c r="A43" i="19" s="1"/>
  <c r="A44" i="19" s="1"/>
  <c r="A45" i="19" s="1"/>
  <c r="A46" i="19" s="1"/>
  <c r="A47" i="19" s="1"/>
  <c r="A48" i="19" s="1"/>
  <c r="A49" i="19" s="1"/>
  <c r="A50" i="19" s="1"/>
  <c r="A51" i="19" s="1"/>
  <c r="A52" i="19" s="1"/>
  <c r="A53" i="19" s="1"/>
  <c r="A54" i="19" s="1"/>
  <c r="A55" i="19" s="1"/>
  <c r="A56" i="19" s="1"/>
  <c r="A57" i="19" s="1"/>
  <c r="A58" i="19" s="1"/>
  <c r="A59" i="19" s="1"/>
  <c r="A60" i="19" s="1"/>
  <c r="A61" i="19" s="1"/>
  <c r="A62" i="19" s="1"/>
  <c r="A63" i="19" s="1"/>
  <c r="A64" i="19" s="1"/>
  <c r="A65" i="19" s="1"/>
  <c r="A66" i="19" s="1"/>
  <c r="A67" i="19" s="1"/>
  <c r="A68" i="19" s="1"/>
  <c r="A69" i="19" s="1"/>
  <c r="A70" i="19" s="1"/>
  <c r="A71" i="19" s="1"/>
  <c r="A72" i="19" s="1"/>
  <c r="A73" i="19" s="1"/>
  <c r="A74" i="19" s="1"/>
  <c r="A75" i="19" s="1"/>
  <c r="A76" i="19" s="1"/>
  <c r="A77" i="19" s="1"/>
  <c r="A78" i="19" s="1"/>
  <c r="A79" i="19" s="1"/>
  <c r="A80" i="19" s="1"/>
  <c r="A81" i="19" s="1"/>
  <c r="A82" i="19" s="1"/>
  <c r="A83" i="19" s="1"/>
  <c r="A84" i="19" s="1"/>
  <c r="A85" i="19" s="1"/>
  <c r="A86" i="19" s="1"/>
  <c r="A87" i="19" s="1"/>
  <c r="A88" i="19" s="1"/>
  <c r="A89" i="19" s="1"/>
  <c r="A90" i="19" s="1"/>
  <c r="A91" i="19" s="1"/>
  <c r="A92" i="19" s="1"/>
  <c r="A93" i="19" s="1"/>
  <c r="A94" i="19" s="1"/>
  <c r="A95" i="19" s="1"/>
  <c r="A96" i="19" s="1"/>
  <c r="A97" i="19" s="1"/>
  <c r="A98" i="19" s="1"/>
  <c r="A99" i="19" s="1"/>
  <c r="A100" i="19" s="1"/>
  <c r="A101" i="19" s="1"/>
  <c r="A102" i="19" s="1"/>
  <c r="A103" i="19" s="1"/>
  <c r="A104" i="19" s="1"/>
  <c r="A105" i="19" s="1"/>
  <c r="A106" i="19" s="1"/>
  <c r="A107" i="19" s="1"/>
  <c r="A108" i="19" s="1"/>
  <c r="A109" i="19" s="1"/>
  <c r="A110" i="19" s="1"/>
  <c r="A111" i="19" s="1"/>
  <c r="A112" i="19" s="1"/>
  <c r="A113" i="19" s="1"/>
  <c r="A114" i="19" s="1"/>
  <c r="A115" i="19" s="1"/>
  <c r="A116" i="19" s="1"/>
  <c r="A117" i="19" s="1"/>
  <c r="A118" i="19" s="1"/>
  <c r="A119" i="19" s="1"/>
  <c r="A120" i="19" s="1"/>
  <c r="A121" i="19" s="1"/>
  <c r="A122" i="19" s="1"/>
  <c r="A123" i="19" s="1"/>
  <c r="A124" i="19" s="1"/>
  <c r="A125" i="19" s="1"/>
  <c r="A126" i="19" s="1"/>
  <c r="A127" i="19" s="1"/>
  <c r="A128" i="19" s="1"/>
  <c r="A129" i="19" s="1"/>
  <c r="A130" i="19" s="1"/>
  <c r="A131" i="19" s="1"/>
  <c r="A132" i="19" s="1"/>
  <c r="A133" i="19" s="1"/>
  <c r="A134" i="19" s="1"/>
  <c r="A135" i="19" s="1"/>
  <c r="A136" i="19" s="1"/>
  <c r="A137" i="19" s="1"/>
  <c r="A138" i="19" s="1"/>
  <c r="A139" i="19" s="1"/>
  <c r="A140" i="19" s="1"/>
  <c r="A141" i="19" s="1"/>
  <c r="A142" i="19" s="1"/>
  <c r="A143" i="19" s="1"/>
  <c r="A144" i="19" s="1"/>
  <c r="A145" i="19" s="1"/>
  <c r="A146" i="19" s="1"/>
  <c r="A147" i="19" s="1"/>
  <c r="A148" i="19" s="1"/>
  <c r="A149" i="19" s="1"/>
  <c r="A9" i="19"/>
  <c r="A10" i="19" s="1"/>
  <c r="A11" i="19" s="1"/>
  <c r="A12" i="19" s="1"/>
  <c r="A13" i="19" s="1"/>
  <c r="A14" i="19" s="1"/>
  <c r="A5" i="19"/>
  <c r="A6" i="19" s="1"/>
  <c r="A7" i="19" s="1"/>
  <c r="A8" i="19" s="1"/>
  <c r="A4" i="19"/>
  <c r="A3" i="19"/>
  <c r="A161" i="18"/>
  <c r="A4" i="18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3" i="18"/>
  <c r="M12" i="2" l="1"/>
  <c r="L12" i="2"/>
  <c r="K12" i="2"/>
  <c r="J12" i="2"/>
  <c r="I12" i="2"/>
  <c r="H12" i="2"/>
  <c r="G12" i="2"/>
  <c r="F12" i="2"/>
  <c r="E12" i="2"/>
  <c r="D12" i="2"/>
  <c r="C12" i="2"/>
  <c r="B12" i="2"/>
  <c r="M13" i="2" l="1"/>
  <c r="M11" i="2"/>
  <c r="M10" i="2"/>
  <c r="M9" i="2"/>
  <c r="M8" i="2"/>
  <c r="M7" i="2"/>
  <c r="M6" i="2"/>
  <c r="M5" i="2"/>
  <c r="M4" i="2"/>
  <c r="M3" i="2"/>
  <c r="M2" i="2"/>
  <c r="L2" i="2"/>
  <c r="L26" i="2" s="1"/>
  <c r="L13" i="2"/>
  <c r="L11" i="2"/>
  <c r="L10" i="2"/>
  <c r="L9" i="2"/>
  <c r="L8" i="2"/>
  <c r="L7" i="2"/>
  <c r="L6" i="2"/>
  <c r="L5" i="2"/>
  <c r="L4" i="2"/>
  <c r="L3" i="2"/>
  <c r="K2" i="2"/>
  <c r="K13" i="2"/>
  <c r="K11" i="2"/>
  <c r="K10" i="2"/>
  <c r="K9" i="2"/>
  <c r="K8" i="2"/>
  <c r="K7" i="2"/>
  <c r="K6" i="2"/>
  <c r="K5" i="2"/>
  <c r="K4" i="2"/>
  <c r="K26" i="2" s="1"/>
  <c r="K3" i="2"/>
  <c r="J2" i="2"/>
  <c r="J13" i="2"/>
  <c r="J11" i="2"/>
  <c r="J10" i="2"/>
  <c r="J9" i="2"/>
  <c r="J8" i="2"/>
  <c r="J7" i="2"/>
  <c r="J6" i="2"/>
  <c r="J5" i="2"/>
  <c r="J4" i="2"/>
  <c r="J3" i="2"/>
  <c r="I2" i="2"/>
  <c r="I13" i="2"/>
  <c r="I11" i="2"/>
  <c r="I10" i="2"/>
  <c r="I9" i="2"/>
  <c r="I8" i="2"/>
  <c r="I7" i="2"/>
  <c r="I6" i="2"/>
  <c r="I5" i="2"/>
  <c r="I4" i="2"/>
  <c r="I3" i="2"/>
  <c r="I26" i="2" s="1"/>
  <c r="H2" i="2"/>
  <c r="H13" i="2"/>
  <c r="H11" i="2"/>
  <c r="H10" i="2"/>
  <c r="H9" i="2"/>
  <c r="H8" i="2"/>
  <c r="H7" i="2"/>
  <c r="H6" i="2"/>
  <c r="H5" i="2"/>
  <c r="H4" i="2"/>
  <c r="H3" i="2"/>
  <c r="G2" i="2"/>
  <c r="G13" i="2"/>
  <c r="G11" i="2"/>
  <c r="G10" i="2"/>
  <c r="G9" i="2"/>
  <c r="G8" i="2"/>
  <c r="G7" i="2"/>
  <c r="G6" i="2"/>
  <c r="G5" i="2"/>
  <c r="G4" i="2"/>
  <c r="G3" i="2"/>
  <c r="F2" i="2"/>
  <c r="F13" i="2"/>
  <c r="F11" i="2"/>
  <c r="F10" i="2"/>
  <c r="F9" i="2"/>
  <c r="F8" i="2"/>
  <c r="F7" i="2"/>
  <c r="F6" i="2"/>
  <c r="F5" i="2"/>
  <c r="F4" i="2"/>
  <c r="F3" i="2"/>
  <c r="F26" i="2" s="1"/>
  <c r="E2" i="2"/>
  <c r="E13" i="2"/>
  <c r="E11" i="2"/>
  <c r="E10" i="2"/>
  <c r="E9" i="2"/>
  <c r="E8" i="2"/>
  <c r="E7" i="2"/>
  <c r="E6" i="2"/>
  <c r="E5" i="2"/>
  <c r="E4" i="2"/>
  <c r="E3" i="2"/>
  <c r="D2" i="2"/>
  <c r="D13" i="2"/>
  <c r="D11" i="2"/>
  <c r="D10" i="2"/>
  <c r="D9" i="2"/>
  <c r="D8" i="2"/>
  <c r="D7" i="2"/>
  <c r="D6" i="2"/>
  <c r="D5" i="2"/>
  <c r="D4" i="2"/>
  <c r="D3" i="2"/>
  <c r="C13" i="2"/>
  <c r="C11" i="2"/>
  <c r="C10" i="2"/>
  <c r="C9" i="2"/>
  <c r="C8" i="2"/>
  <c r="C7" i="2"/>
  <c r="C6" i="2"/>
  <c r="C5" i="2"/>
  <c r="C4" i="2"/>
  <c r="C3" i="2"/>
  <c r="C2" i="2"/>
  <c r="N12" i="2"/>
  <c r="B13" i="2"/>
  <c r="B11" i="2"/>
  <c r="B10" i="2"/>
  <c r="B9" i="2"/>
  <c r="B8" i="2"/>
  <c r="B7" i="2"/>
  <c r="B6" i="2"/>
  <c r="B5" i="2"/>
  <c r="B3" i="2"/>
  <c r="B4" i="2"/>
  <c r="B2" i="2"/>
  <c r="G26" i="2" l="1"/>
  <c r="D26" i="2"/>
  <c r="J26" i="2"/>
  <c r="H26" i="2"/>
  <c r="M26" i="2"/>
  <c r="N3" i="2"/>
  <c r="N8" i="2"/>
  <c r="E26" i="2"/>
  <c r="N5" i="2"/>
  <c r="N11" i="2"/>
  <c r="N9" i="2"/>
  <c r="N7" i="2"/>
  <c r="N4" i="2"/>
  <c r="C26" i="2"/>
  <c r="N6" i="2"/>
  <c r="N10" i="2"/>
  <c r="N13" i="2"/>
  <c r="N2" i="2"/>
  <c r="B26" i="2"/>
  <c r="A32" i="2" l="1"/>
  <c r="N26" i="2"/>
  <c r="B7" i="6" l="1"/>
  <c r="E3" i="1" l="1"/>
  <c r="E4" i="1" s="1"/>
  <c r="E5" i="1" s="1"/>
  <c r="B7" i="14" l="1"/>
  <c r="B7" i="8"/>
  <c r="B7" i="7" l="1"/>
  <c r="D5" i="3" l="1"/>
  <c r="B27" i="2" s="1"/>
  <c r="M7" i="3" l="1"/>
  <c r="N7" i="3"/>
  <c r="O7" i="3"/>
  <c r="P7" i="3"/>
  <c r="Q7" i="3"/>
  <c r="R7" i="3"/>
  <c r="S7" i="3"/>
  <c r="T7" i="3"/>
  <c r="U7" i="3"/>
  <c r="V7" i="3"/>
  <c r="W7" i="3"/>
  <c r="D5" i="15" l="1"/>
  <c r="M27" i="2" s="1"/>
  <c r="D5" i="14"/>
  <c r="L27" i="2" s="1"/>
  <c r="D5" i="13"/>
  <c r="K27" i="2" s="1"/>
  <c r="D5" i="7"/>
  <c r="J27" i="2" s="1"/>
  <c r="D5" i="6"/>
  <c r="I27" i="2" s="1"/>
  <c r="D5" i="5"/>
  <c r="H27" i="2" s="1"/>
  <c r="D5" i="4"/>
  <c r="G27" i="2" s="1"/>
  <c r="D5" i="8"/>
  <c r="F27" i="2" s="1"/>
  <c r="D5" i="9"/>
  <c r="E27" i="2" s="1"/>
  <c r="D5" i="10"/>
  <c r="D27" i="2" s="1"/>
  <c r="D5" i="11"/>
  <c r="C27" i="2" s="1"/>
  <c r="A29" i="2" l="1"/>
  <c r="B29" i="2" s="1"/>
  <c r="N27" i="2"/>
  <c r="D4" i="15"/>
  <c r="D4" i="14"/>
  <c r="D4" i="13"/>
  <c r="D4" i="7"/>
  <c r="D4" i="6"/>
  <c r="D4" i="5"/>
  <c r="D4" i="4"/>
  <c r="D4" i="8"/>
  <c r="D4" i="9"/>
  <c r="D4" i="10"/>
  <c r="D4" i="11"/>
  <c r="D4" i="3"/>
  <c r="B7" i="15"/>
  <c r="C7" i="15"/>
  <c r="D7" i="15"/>
  <c r="E7" i="15"/>
  <c r="F7" i="15"/>
  <c r="G7" i="15"/>
  <c r="H7" i="15"/>
  <c r="I7" i="15"/>
  <c r="J7" i="15"/>
  <c r="K7" i="15"/>
  <c r="L7" i="15"/>
  <c r="M7" i="15"/>
  <c r="N7" i="15"/>
  <c r="O7" i="15"/>
  <c r="P7" i="15"/>
  <c r="Q7" i="15"/>
  <c r="R7" i="15"/>
  <c r="S7" i="15"/>
  <c r="T7" i="15"/>
  <c r="U7" i="15"/>
  <c r="V7" i="15"/>
  <c r="W7" i="15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3"/>
  <c r="C7" i="13"/>
  <c r="D7" i="13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S7" i="13"/>
  <c r="T7" i="13"/>
  <c r="U7" i="13"/>
  <c r="V7" i="13"/>
  <c r="W7" i="13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B7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C7" i="3"/>
  <c r="D7" i="3"/>
  <c r="E7" i="3"/>
  <c r="F7" i="3"/>
  <c r="G7" i="3"/>
  <c r="H7" i="3"/>
  <c r="I7" i="3"/>
  <c r="J7" i="3"/>
  <c r="K7" i="3"/>
  <c r="L7" i="3"/>
  <c r="B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</author>
  </authors>
  <commentList>
    <comment ref="I9" authorId="0" shapeId="0" xr:uid="{00000000-0006-0000-0700-000001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Fuzail Bhai Matter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</author>
  </authors>
  <commentList>
    <comment ref="B3" authorId="0" shapeId="0" xr:uid="{00000000-0006-0000-0800-000001000000}">
      <text>
        <r>
          <rPr>
            <b/>
            <sz val="9"/>
            <color indexed="81"/>
            <rFont val="Tahoma"/>
            <charset val="1"/>
          </rPr>
          <t>sohail: 03 Aug 2014</t>
        </r>
        <r>
          <rPr>
            <sz val="9"/>
            <color indexed="81"/>
            <rFont val="Tahoma"/>
            <charset val="1"/>
          </rPr>
          <t xml:space="preserve">
Received lended money from Imran Bhai
</t>
        </r>
      </text>
    </comment>
    <comment ref="M10" authorId="0" shapeId="0" xr:uid="{00000000-0006-0000-0800-000002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OBC Miinimum Balnce fine</t>
        </r>
      </text>
    </comment>
    <comment ref="I12" authorId="0" shapeId="0" xr:uid="{00000000-0006-0000-0800-000003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deewan contibution</t>
        </r>
      </text>
    </comment>
    <comment ref="M12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sohail: 08 Aug 2014</t>
        </r>
        <r>
          <rPr>
            <sz val="9"/>
            <color indexed="81"/>
            <rFont val="Tahoma"/>
            <family val="2"/>
          </rPr>
          <t xml:space="preserve">
Akash Borrowed money returned</t>
        </r>
      </text>
    </comment>
    <comment ref="G14" authorId="0" shapeId="0" xr:uid="{00000000-0006-0000-0800-000005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Lunch group Birthday Party.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</author>
  </authors>
  <commentList>
    <comment ref="M11" authorId="0" shapeId="0" xr:uid="{00000000-0006-0000-0A00-000001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Akshay Returned</t>
        </r>
      </text>
    </comment>
    <comment ref="M12" authorId="0" shapeId="0" xr:uid="{00000000-0006-0000-0A00-000002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Akash returned</t>
        </r>
      </text>
    </comment>
    <comment ref="M15" authorId="0" shapeId="0" xr:uid="{00000000-0006-0000-0A00-000003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Aakash Given</t>
        </r>
      </text>
    </comment>
    <comment ref="M16" authorId="0" shapeId="0" xr:uid="{00000000-0006-0000-0A00-000004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Keer Given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</author>
  </authors>
  <commentList>
    <comment ref="I12" authorId="0" shapeId="0" xr:uid="{00000000-0006-0000-0B00-000001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Transferred to Ammi (Saba Account)</t>
        </r>
      </text>
    </comment>
    <comment ref="F13" authorId="0" shapeId="0" xr:uid="{00000000-0006-0000-0B00-000002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Clothes &amp; Zara Shoes</t>
        </r>
      </text>
    </comment>
    <comment ref="C15" authorId="0" shapeId="0" xr:uid="{00000000-0006-0000-0B00-000003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Travelling UP</t>
        </r>
      </text>
    </comment>
    <comment ref="I18" authorId="0" shapeId="0" xr:uid="{00000000-0006-0000-0B00-000004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Amma Hospital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Sohail</author>
  </authors>
  <commentList>
    <comment ref="M12" authorId="0" shapeId="0" xr:uid="{00000000-0006-0000-0C00-000001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Siddesh 5000 Returned,
1000 Given</t>
        </r>
      </text>
    </comment>
    <comment ref="H19" authorId="0" shapeId="0" xr:uid="{00000000-0006-0000-0C00-000002000000}">
      <text>
        <r>
          <rPr>
            <b/>
            <sz val="9"/>
            <color indexed="81"/>
            <rFont val="Tahoma"/>
            <charset val="1"/>
          </rPr>
          <t>Sohail:</t>
        </r>
        <r>
          <rPr>
            <sz val="9"/>
            <color indexed="81"/>
            <rFont val="Tahoma"/>
            <charset val="1"/>
          </rPr>
          <t xml:space="preserve">
Xmas Gift</t>
        </r>
      </text>
    </comment>
  </commentList>
</comments>
</file>

<file path=xl/sharedStrings.xml><?xml version="1.0" encoding="utf-8"?>
<sst xmlns="http://schemas.openxmlformats.org/spreadsheetml/2006/main" count="2989" uniqueCount="698">
  <si>
    <t>May</t>
  </si>
  <si>
    <t>Date</t>
  </si>
  <si>
    <t>Transaction</t>
  </si>
  <si>
    <t>Debit (-)</t>
  </si>
  <si>
    <t>Credit (+)</t>
  </si>
  <si>
    <t>Balance</t>
  </si>
  <si>
    <t>Savings</t>
  </si>
  <si>
    <t>Groceries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</si>
  <si>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</si>
  <si>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</si>
  <si>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</si>
  <si>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</si>
  <si>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</si>
  <si>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</si>
  <si>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</si>
  <si>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</si>
  <si>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</si>
  <si>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</si>
  <si>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</si>
  <si>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Opening Balance</t>
  </si>
  <si>
    <t>Other</t>
  </si>
  <si>
    <t>Expenses</t>
  </si>
  <si>
    <t>Income</t>
  </si>
  <si>
    <t>INCOME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</si>
  <si>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</si>
  <si>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</si>
  <si>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</si>
  <si>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</si>
  <si>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</si>
  <si>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</si>
  <si>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</si>
  <si>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</si>
  <si>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</si>
  <si>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</si>
  <si>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Salary</t>
  </si>
  <si>
    <t>Weekend Exp</t>
  </si>
  <si>
    <t>Electric Bill</t>
  </si>
  <si>
    <t>Office Food</t>
  </si>
  <si>
    <t>Office Extras</t>
  </si>
  <si>
    <t>Home</t>
  </si>
  <si>
    <t>Pesonal Care</t>
  </si>
  <si>
    <t>Column23</t>
  </si>
  <si>
    <t>Date (Week Ending)</t>
  </si>
  <si>
    <t>Akash Borrowed</t>
  </si>
  <si>
    <t>Bus</t>
  </si>
  <si>
    <t>Mobile/Internet</t>
  </si>
  <si>
    <t>Shopping</t>
  </si>
  <si>
    <t>Travelling</t>
  </si>
  <si>
    <t>Categories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</si>
  <si>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</si>
  <si>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</si>
  <si>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</si>
  <si>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</si>
  <si>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</si>
  <si>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</si>
  <si>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</si>
  <si>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</si>
  <si>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</si>
  <si>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</si>
  <si>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</si>
  <si>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Total</t>
  </si>
  <si>
    <t>Total Expenses</t>
  </si>
  <si>
    <t>Total Income</t>
  </si>
  <si>
    <t>Year to Date</t>
  </si>
  <si>
    <t>Column1</t>
  </si>
  <si>
    <t xml:space="preserve">SELF </t>
  </si>
  <si>
    <t>KASHIFA</t>
  </si>
  <si>
    <t>AM MULTANI</t>
  </si>
  <si>
    <t>NEW SHIFA</t>
  </si>
  <si>
    <t>MATARANI</t>
  </si>
  <si>
    <t>REHMAN GARMENT</t>
  </si>
  <si>
    <t>JAYESH BHAI</t>
  </si>
  <si>
    <t>MOHNISH</t>
  </si>
  <si>
    <t>FARDEEN</t>
  </si>
  <si>
    <t>DHIRU BHAI</t>
  </si>
  <si>
    <t xml:space="preserve">PAPPU BHAI </t>
  </si>
  <si>
    <t>FIROZ BHAI</t>
  </si>
  <si>
    <t xml:space="preserve">JAY BHAWANI </t>
  </si>
  <si>
    <t>RAZA</t>
  </si>
  <si>
    <t>RK AMD</t>
  </si>
  <si>
    <t xml:space="preserve">ASHIYANA </t>
  </si>
  <si>
    <t>SIDRA DHARAVI</t>
  </si>
  <si>
    <t xml:space="preserve">ARAISH </t>
  </si>
  <si>
    <t>RAZAB ALI</t>
  </si>
  <si>
    <t xml:space="preserve">IQRA GARMENTS </t>
  </si>
  <si>
    <t>ISHRAT</t>
  </si>
  <si>
    <t>ALISHAN</t>
  </si>
  <si>
    <t>MUSKAN AMD</t>
  </si>
  <si>
    <t>SHIFA YUSUF BHAI</t>
  </si>
  <si>
    <t>AZAD MASTER</t>
  </si>
  <si>
    <t>POONAM GARMENT</t>
  </si>
  <si>
    <t>B Q GARMENT</t>
  </si>
  <si>
    <t xml:space="preserve">RASHID BHAI </t>
  </si>
  <si>
    <t>DANIYA</t>
  </si>
  <si>
    <t>KVJ AMD</t>
  </si>
  <si>
    <t>RAUF BHAI</t>
  </si>
  <si>
    <t xml:space="preserve">PERFECT CREATION </t>
  </si>
  <si>
    <t>YES FASHION</t>
  </si>
  <si>
    <t>GEEBEE</t>
  </si>
  <si>
    <t xml:space="preserve">MH FASHION </t>
  </si>
  <si>
    <t>BA AMD</t>
  </si>
  <si>
    <t xml:space="preserve">LAILA </t>
  </si>
  <si>
    <t xml:space="preserve">BISMILLAH GARMENT </t>
  </si>
  <si>
    <t>K MANNAT</t>
  </si>
  <si>
    <t>MDM AMD</t>
  </si>
  <si>
    <t>SAHEB</t>
  </si>
  <si>
    <t>SURESH BHAI</t>
  </si>
  <si>
    <t xml:space="preserve">SUPER GARMENT </t>
  </si>
  <si>
    <t>RINKU TEX</t>
  </si>
  <si>
    <t>MUSKAN GB</t>
  </si>
  <si>
    <t>PAPA BHAI</t>
  </si>
  <si>
    <t>MARUTI ENT</t>
  </si>
  <si>
    <t xml:space="preserve">ZEENAT COLLECTION </t>
  </si>
  <si>
    <t>KD AMD</t>
  </si>
  <si>
    <t>MH LIBAS</t>
  </si>
  <si>
    <t>ADNAN</t>
  </si>
  <si>
    <t>KRC AMD</t>
  </si>
  <si>
    <t>SIKHA TRADERS</t>
  </si>
  <si>
    <t>IQRA</t>
  </si>
  <si>
    <t>LADY LUCK</t>
  </si>
  <si>
    <t xml:space="preserve">GOODLUCK </t>
  </si>
  <si>
    <t xml:space="preserve">KJ CREATION </t>
  </si>
  <si>
    <t>SUNIL BHAI</t>
  </si>
  <si>
    <t>ZAINA</t>
  </si>
  <si>
    <t>BABLOO AMD</t>
  </si>
  <si>
    <t>GKC AMD</t>
  </si>
  <si>
    <t>SANIYA</t>
  </si>
  <si>
    <t>DHAWAL</t>
  </si>
  <si>
    <t xml:space="preserve">AF GARMENT </t>
  </si>
  <si>
    <t>ABDUL REHMAN</t>
  </si>
  <si>
    <t>BBT</t>
  </si>
  <si>
    <t xml:space="preserve">MK GARMENT </t>
  </si>
  <si>
    <t>SADGURU</t>
  </si>
  <si>
    <t xml:space="preserve">YES CREATION </t>
  </si>
  <si>
    <t xml:space="preserve">SONA GARMENT </t>
  </si>
  <si>
    <t xml:space="preserve">SIMNA GARMENT </t>
  </si>
  <si>
    <t xml:space="preserve">SANIYA </t>
  </si>
  <si>
    <t>ASHRAFI ART</t>
  </si>
  <si>
    <t xml:space="preserve">SURESH BHAI </t>
  </si>
  <si>
    <t xml:space="preserve">STAR MODELLING </t>
  </si>
  <si>
    <t xml:space="preserve">JEHANGIR </t>
  </si>
  <si>
    <t xml:space="preserve">SK FASHION </t>
  </si>
  <si>
    <t xml:space="preserve">BG GARMENT </t>
  </si>
  <si>
    <t>ALAM FASHION</t>
  </si>
  <si>
    <t>SHAHBAZ AMD</t>
  </si>
  <si>
    <t xml:space="preserve">ADNAN </t>
  </si>
  <si>
    <t xml:space="preserve">SS GARMENT </t>
  </si>
  <si>
    <t>GOPAL AMD</t>
  </si>
  <si>
    <t xml:space="preserve">RTM </t>
  </si>
  <si>
    <t>SAMSHER MASTER</t>
  </si>
  <si>
    <t>VIKAS TEX</t>
  </si>
  <si>
    <t xml:space="preserve">ZIKRA GARMENT </t>
  </si>
  <si>
    <t>GD FABRICS</t>
  </si>
  <si>
    <t>SAHID</t>
  </si>
  <si>
    <t xml:space="preserve">NEW NOVELTY </t>
  </si>
  <si>
    <t xml:space="preserve">REHMAN GARMENT </t>
  </si>
  <si>
    <t>ASHAPURA AMD</t>
  </si>
  <si>
    <t>TOP CAP WORKS</t>
  </si>
  <si>
    <t>DISHA AMD</t>
  </si>
  <si>
    <t>LAXMI CREATION</t>
  </si>
  <si>
    <t>KC AMD</t>
  </si>
  <si>
    <t>NI MAHIM</t>
  </si>
  <si>
    <t xml:space="preserve">ISHRAT </t>
  </si>
  <si>
    <t>AF GARMENTS</t>
  </si>
  <si>
    <t>BBT AMD</t>
  </si>
  <si>
    <t>DEEP ENT</t>
  </si>
  <si>
    <t xml:space="preserve">MUSKAN AMD </t>
  </si>
  <si>
    <t xml:space="preserve">SHIFA YUSUF BHAI </t>
  </si>
  <si>
    <t xml:space="preserve">MAYUR CREATION </t>
  </si>
  <si>
    <t>HUKASI PRINT</t>
  </si>
  <si>
    <t xml:space="preserve">ABDUL REHMAN </t>
  </si>
  <si>
    <t xml:space="preserve">DANIYA </t>
  </si>
  <si>
    <t>MILIND</t>
  </si>
  <si>
    <t>SONA GARMENT</t>
  </si>
  <si>
    <t xml:space="preserve">AZAZ AMD </t>
  </si>
  <si>
    <t xml:space="preserve">SHAHBAZ AMD </t>
  </si>
  <si>
    <t xml:space="preserve">SHIFA GARMENT </t>
  </si>
  <si>
    <t xml:space="preserve">DEEP GARMENT </t>
  </si>
  <si>
    <t>MS SUBHAN</t>
  </si>
  <si>
    <t>JAY SAINATH</t>
  </si>
  <si>
    <t>SDJ AMD</t>
  </si>
  <si>
    <t>S MAMMY GARMENT</t>
  </si>
  <si>
    <t>HULASI PRINTS</t>
  </si>
  <si>
    <t>BABLU BHAI</t>
  </si>
  <si>
    <t xml:space="preserve">PAPPU GARMENT </t>
  </si>
  <si>
    <t>SHIVAY ENT</t>
  </si>
  <si>
    <t xml:space="preserve">JAGARA FASHION </t>
  </si>
  <si>
    <t xml:space="preserve">PARSWA FASHION </t>
  </si>
  <si>
    <t xml:space="preserve">JAY SATIMA APPAREL </t>
  </si>
  <si>
    <t>TRI TI</t>
  </si>
  <si>
    <t xml:space="preserve">ALAM FASHION </t>
  </si>
  <si>
    <t>JAGDISH</t>
  </si>
  <si>
    <t>DHAVAL AMD</t>
  </si>
  <si>
    <t xml:space="preserve">KASHIFA </t>
  </si>
  <si>
    <t xml:space="preserve">GOPAL AMD </t>
  </si>
  <si>
    <t xml:space="preserve">RK AMD </t>
  </si>
  <si>
    <t>SG GARMENT</t>
  </si>
  <si>
    <t xml:space="preserve">JAYESH BHAI </t>
  </si>
  <si>
    <t xml:space="preserve">BOMBAY BEAUTY </t>
  </si>
  <si>
    <t xml:space="preserve">NOORI COLLECTION </t>
  </si>
  <si>
    <t xml:space="preserve">FARDEEN </t>
  </si>
  <si>
    <t>SK WARSI</t>
  </si>
  <si>
    <t>RAMDEV KRUPA</t>
  </si>
  <si>
    <t xml:space="preserve">RAZAK </t>
  </si>
  <si>
    <t xml:space="preserve">PARI FASHION </t>
  </si>
  <si>
    <t xml:space="preserve">KD AMD </t>
  </si>
  <si>
    <t>AZAD BHAI</t>
  </si>
  <si>
    <t>POONAM</t>
  </si>
  <si>
    <t xml:space="preserve">KHUSHI CREATION </t>
  </si>
  <si>
    <t>SIDDHI VINAYAK</t>
  </si>
  <si>
    <t xml:space="preserve">MOHNISH </t>
  </si>
  <si>
    <t>RJ TEX</t>
  </si>
  <si>
    <t xml:space="preserve">MM MUSKAN </t>
  </si>
  <si>
    <t>IMTIYAZ BHAI</t>
  </si>
  <si>
    <t xml:space="preserve">MK OVERSEAS </t>
  </si>
  <si>
    <t xml:space="preserve">AG GARMENT </t>
  </si>
  <si>
    <t xml:space="preserve">SAINATH </t>
  </si>
  <si>
    <t>DT AMD</t>
  </si>
  <si>
    <t>SIMNA</t>
  </si>
  <si>
    <t xml:space="preserve">SK GARMENT </t>
  </si>
  <si>
    <t>CHARBHUJA</t>
  </si>
  <si>
    <t xml:space="preserve">VAREITY </t>
  </si>
  <si>
    <t xml:space="preserve">ACS CREATION </t>
  </si>
  <si>
    <t xml:space="preserve">MONA PRINT </t>
  </si>
  <si>
    <t>MM SHAHZAIB</t>
  </si>
  <si>
    <t>TOPAY</t>
  </si>
  <si>
    <t>SUMIT ENT</t>
  </si>
  <si>
    <t xml:space="preserve">HARSHIL AMD </t>
  </si>
  <si>
    <t>AURAM TEX MILLS</t>
  </si>
  <si>
    <t>SANIYA EXPORTS</t>
  </si>
  <si>
    <t xml:space="preserve">NEW SUPER </t>
  </si>
  <si>
    <t>DANISH BHAI AMD</t>
  </si>
  <si>
    <t>RAFIQ BHAI</t>
  </si>
  <si>
    <t xml:space="preserve">RAMDEV KRUPA </t>
  </si>
  <si>
    <t>S DEEPAK KUMAR</t>
  </si>
  <si>
    <t xml:space="preserve">S MAMMY GARMENT </t>
  </si>
  <si>
    <t>JALARAM TEX MILLS</t>
  </si>
  <si>
    <t>DEV CHAND M</t>
  </si>
  <si>
    <t xml:space="preserve"> NEBCO TEX IND</t>
  </si>
  <si>
    <t>PAID</t>
  </si>
  <si>
    <t>MAHADEV TEX</t>
  </si>
  <si>
    <t xml:space="preserve">SAHID BHAI </t>
  </si>
  <si>
    <t>SHIV KRUPA DRESS</t>
  </si>
  <si>
    <t>DANISH COLLECTION</t>
  </si>
  <si>
    <t xml:space="preserve">SAHEB </t>
  </si>
  <si>
    <t>AZAZ AMD</t>
  </si>
  <si>
    <t xml:space="preserve">RASHID BHAI AMD </t>
  </si>
  <si>
    <t xml:space="preserve">PR FABRICS </t>
  </si>
  <si>
    <t xml:space="preserve">VIDHYA FABRICS </t>
  </si>
  <si>
    <t>SELF</t>
  </si>
  <si>
    <t>JAI SAINATH</t>
  </si>
  <si>
    <t>MM HUZAIFA</t>
  </si>
  <si>
    <t xml:space="preserve">HIRA GARMENT </t>
  </si>
  <si>
    <t>SAKIL BHAI</t>
  </si>
  <si>
    <t xml:space="preserve">KS CREATION </t>
  </si>
  <si>
    <t>DEEP GARMENT</t>
  </si>
  <si>
    <t xml:space="preserve">LADYLOOK </t>
  </si>
  <si>
    <t xml:space="preserve">DEEPAK BHAI </t>
  </si>
  <si>
    <t>GOPAL</t>
  </si>
  <si>
    <t xml:space="preserve">SIDRA DADAR </t>
  </si>
  <si>
    <t xml:space="preserve">WOW COLLECTION </t>
  </si>
  <si>
    <t xml:space="preserve">BISMILLAH </t>
  </si>
  <si>
    <t>GANESH</t>
  </si>
  <si>
    <t>PREM PROCESSER</t>
  </si>
  <si>
    <t xml:space="preserve">SF GARMENT </t>
  </si>
  <si>
    <t>KALA KURTI</t>
  </si>
  <si>
    <t>SADGURU DADAR</t>
  </si>
  <si>
    <t>RAAES BHAI</t>
  </si>
  <si>
    <t>MARUTI ENTERPRISE</t>
  </si>
  <si>
    <t xml:space="preserve">ZIYA COLLECTION </t>
  </si>
  <si>
    <t>SF AMD</t>
  </si>
  <si>
    <t xml:space="preserve">ZEENAT GARMENT </t>
  </si>
  <si>
    <t>WARSI STATION ROAD</t>
  </si>
  <si>
    <t xml:space="preserve">AR FASHION </t>
  </si>
  <si>
    <t>ARAISH</t>
  </si>
  <si>
    <t>PATEL</t>
  </si>
  <si>
    <t>HULASI PRINT</t>
  </si>
  <si>
    <t>SHAMSHER MASTER</t>
  </si>
  <si>
    <t xml:space="preserve">PRADEEP FABRICS </t>
  </si>
  <si>
    <t>DEEPAK KUMAR</t>
  </si>
  <si>
    <t>JAI SAI RAM</t>
  </si>
  <si>
    <t>SAKEEL BHAI</t>
  </si>
  <si>
    <t xml:space="preserve">ALISHAN </t>
  </si>
  <si>
    <t>KM AMD</t>
  </si>
  <si>
    <t>AALAM FASHION</t>
  </si>
  <si>
    <t xml:space="preserve">MK </t>
  </si>
  <si>
    <t>KRISHNA IMPEX</t>
  </si>
  <si>
    <t>MOHNISH AMD</t>
  </si>
  <si>
    <t>MGM AMD</t>
  </si>
  <si>
    <t>BABU BHAI</t>
  </si>
  <si>
    <t xml:space="preserve"> RINKU TEX</t>
  </si>
  <si>
    <t xml:space="preserve">DEEP ENT </t>
  </si>
  <si>
    <t>ERAM</t>
  </si>
  <si>
    <t>ASHRAFI</t>
  </si>
  <si>
    <t xml:space="preserve">FG </t>
  </si>
  <si>
    <t xml:space="preserve">AMBICA </t>
  </si>
  <si>
    <t>SHOEB</t>
  </si>
  <si>
    <t xml:space="preserve">RAJ FASHION </t>
  </si>
  <si>
    <t xml:space="preserve">SUMIT ENTERPRISE </t>
  </si>
  <si>
    <t>MGM</t>
  </si>
  <si>
    <t xml:space="preserve">AM MULTANI </t>
  </si>
  <si>
    <t xml:space="preserve">NK GHASBAZAR </t>
  </si>
  <si>
    <t>ALI GARMENT</t>
  </si>
  <si>
    <t xml:space="preserve">MARUTI ENT </t>
  </si>
  <si>
    <t>SABIR BHAI</t>
  </si>
  <si>
    <t>VJESH</t>
  </si>
  <si>
    <t>GK AMD</t>
  </si>
  <si>
    <t>SF</t>
  </si>
  <si>
    <t>ANKIT TEX</t>
  </si>
  <si>
    <t>GOPAL BHAI</t>
  </si>
  <si>
    <t>SHAHID BHAI</t>
  </si>
  <si>
    <t xml:space="preserve">MANTASHA </t>
  </si>
  <si>
    <t xml:space="preserve">KD FASHION </t>
  </si>
  <si>
    <t xml:space="preserve">K MANNAT </t>
  </si>
  <si>
    <t>ANISH</t>
  </si>
  <si>
    <t>RASHID BHAI</t>
  </si>
  <si>
    <t xml:space="preserve">DANISH </t>
  </si>
  <si>
    <t>CHETNA BEN</t>
  </si>
  <si>
    <t>IRFAN</t>
  </si>
  <si>
    <t>AFZAL</t>
  </si>
  <si>
    <t>CHANDNI AMD</t>
  </si>
  <si>
    <t>MARHABA</t>
  </si>
  <si>
    <t xml:space="preserve">POONAM </t>
  </si>
  <si>
    <t>RAEES BHAI</t>
  </si>
  <si>
    <t xml:space="preserve">ZAAF COLLECTION </t>
  </si>
  <si>
    <t xml:space="preserve">ZIKRA </t>
  </si>
  <si>
    <t>HIRA GARMENT</t>
  </si>
  <si>
    <t>ARCHANA PRINTS</t>
  </si>
  <si>
    <t>MM MUSKAN</t>
  </si>
  <si>
    <t xml:space="preserve">SG </t>
  </si>
  <si>
    <t>WOW COLLECTION</t>
  </si>
  <si>
    <t>BBS</t>
  </si>
  <si>
    <t>DEEPAK BHAI</t>
  </si>
  <si>
    <t>JEHANGIR</t>
  </si>
  <si>
    <t>SABA AMD</t>
  </si>
  <si>
    <t>SK FASHION</t>
  </si>
  <si>
    <t>MK GARMENT</t>
  </si>
  <si>
    <t>STAR MODELING</t>
  </si>
  <si>
    <t>GD FARRICS</t>
  </si>
  <si>
    <t>NEW NOVELTY</t>
  </si>
  <si>
    <t>CHARBHUJA AMD</t>
  </si>
  <si>
    <t>VAREITY</t>
  </si>
  <si>
    <t>MONA PRINTS</t>
  </si>
  <si>
    <t>MM</t>
  </si>
  <si>
    <t>NEW SUPER DADAR</t>
  </si>
  <si>
    <t>SATNAM</t>
  </si>
  <si>
    <t xml:space="preserve">SIDRA </t>
  </si>
  <si>
    <t xml:space="preserve">GD FABRICS </t>
  </si>
  <si>
    <t>LAILA</t>
  </si>
  <si>
    <t xml:space="preserve">ALI GARMENTS </t>
  </si>
  <si>
    <t xml:space="preserve">DHIRU BHAI </t>
  </si>
  <si>
    <t>SHIFA GARMENT</t>
  </si>
  <si>
    <t xml:space="preserve">DEEPAK KUMAR </t>
  </si>
  <si>
    <t>R VINOD JIWATRAM</t>
  </si>
  <si>
    <t xml:space="preserve">NUZHAT GARMENTS </t>
  </si>
  <si>
    <t>MUSKAN KURLA</t>
  </si>
  <si>
    <t>AR GARMENT</t>
  </si>
  <si>
    <t>NK AMD</t>
  </si>
  <si>
    <t>MM SHAIZAB</t>
  </si>
  <si>
    <t xml:space="preserve">DANISH COLLECTION </t>
  </si>
  <si>
    <t xml:space="preserve">ZAINA </t>
  </si>
  <si>
    <t>LADY LOOK</t>
  </si>
  <si>
    <t xml:space="preserve">SM CREATION </t>
  </si>
  <si>
    <t>PAPPU BHAI</t>
  </si>
  <si>
    <t xml:space="preserve">SUBHAM GARMENT </t>
  </si>
  <si>
    <t xml:space="preserve">ADAM EXPORTS </t>
  </si>
  <si>
    <t>FITNESS SPORTS</t>
  </si>
  <si>
    <t>KKR</t>
  </si>
  <si>
    <t xml:space="preserve">S MUMMY GARMENT </t>
  </si>
  <si>
    <t>KD FASHION</t>
  </si>
  <si>
    <t>CHUNNU BHAI</t>
  </si>
  <si>
    <t xml:space="preserve">BBT </t>
  </si>
  <si>
    <t xml:space="preserve"> BBT</t>
  </si>
  <si>
    <t>MK</t>
  </si>
  <si>
    <t xml:space="preserve">ACS </t>
  </si>
  <si>
    <t>PRADEEP FAB</t>
  </si>
  <si>
    <t xml:space="preserve">MM </t>
  </si>
  <si>
    <t xml:space="preserve">SHREE OSIYA TRADINGS </t>
  </si>
  <si>
    <t xml:space="preserve">ZEBA FASHION </t>
  </si>
  <si>
    <t xml:space="preserve">JAI SAINATH </t>
  </si>
  <si>
    <t xml:space="preserve">NEW SHIFA </t>
  </si>
  <si>
    <t>ANAS AMD</t>
  </si>
  <si>
    <t>DEVICHAND</t>
  </si>
  <si>
    <t>VASUDEV SONS</t>
  </si>
  <si>
    <t xml:space="preserve">WARSI STATION ROAD </t>
  </si>
  <si>
    <t>K WARSHI</t>
  </si>
  <si>
    <t xml:space="preserve">ADNAN COLLECTION </t>
  </si>
  <si>
    <t xml:space="preserve">VANSH GARMENT </t>
  </si>
  <si>
    <t>IMTIAZ</t>
  </si>
  <si>
    <t>SHREE TIRUPATI</t>
  </si>
  <si>
    <t>AR</t>
  </si>
  <si>
    <t xml:space="preserve">SURAT </t>
  </si>
  <si>
    <t>MM MS KHAN</t>
  </si>
  <si>
    <t>MKS</t>
  </si>
  <si>
    <t xml:space="preserve">GANGA FASHION </t>
  </si>
  <si>
    <t>AHMED TEXTILE</t>
  </si>
  <si>
    <t xml:space="preserve">AF GARMENTS </t>
  </si>
  <si>
    <t xml:space="preserve">ADNAN GARMENT </t>
  </si>
  <si>
    <t>ZAID</t>
  </si>
  <si>
    <t xml:space="preserve">KRC AMD </t>
  </si>
  <si>
    <t xml:space="preserve">RAVERA FASHION </t>
  </si>
  <si>
    <t>FARHAT ENT</t>
  </si>
  <si>
    <t>HARSH TRADERS</t>
  </si>
  <si>
    <t>DISHA</t>
  </si>
  <si>
    <t>ALI BHAI</t>
  </si>
  <si>
    <t>DIVYA JYOTI</t>
  </si>
  <si>
    <t>SS</t>
  </si>
  <si>
    <t>ZAMZAM</t>
  </si>
  <si>
    <t>VASUDEV COIL</t>
  </si>
  <si>
    <t>SIDHI VINAYAK</t>
  </si>
  <si>
    <t>KIMAYA PRINTS</t>
  </si>
  <si>
    <t>JAI MATAJI</t>
  </si>
  <si>
    <t xml:space="preserve">WARSI </t>
  </si>
  <si>
    <t xml:space="preserve">SAINATH CREATION </t>
  </si>
  <si>
    <t xml:space="preserve">ALAAM FASHION </t>
  </si>
  <si>
    <t>VLM</t>
  </si>
  <si>
    <t xml:space="preserve">ZEENAT </t>
  </si>
  <si>
    <t>FG</t>
  </si>
  <si>
    <t>NI</t>
  </si>
  <si>
    <t xml:space="preserve">RS COLLECTION </t>
  </si>
  <si>
    <t xml:space="preserve">WARSI TEX </t>
  </si>
  <si>
    <t>GANGA FAB</t>
  </si>
  <si>
    <t xml:space="preserve">ARCHANA PRINTS </t>
  </si>
  <si>
    <t>SAI</t>
  </si>
  <si>
    <t>SHAKIL BHAI</t>
  </si>
  <si>
    <t xml:space="preserve">KOTHARI FABRICS </t>
  </si>
  <si>
    <t>ZEBA FASHION</t>
  </si>
  <si>
    <t>SHAHBAZ</t>
  </si>
  <si>
    <t>SHAHID</t>
  </si>
  <si>
    <t>SIDRA</t>
  </si>
  <si>
    <t>RC</t>
  </si>
  <si>
    <t>NK ENTERPRISE</t>
  </si>
  <si>
    <t>MF</t>
  </si>
  <si>
    <t>PAPPU GARMENT</t>
  </si>
  <si>
    <t>RAVERA FASHION</t>
  </si>
  <si>
    <t>AL FARHAT</t>
  </si>
  <si>
    <t>SS GARMENT</t>
  </si>
  <si>
    <t>ADIL BHAI</t>
  </si>
  <si>
    <t>Bill</t>
  </si>
  <si>
    <t>Consigne AHMEDABAD</t>
  </si>
  <si>
    <t>Consigner MUMBAI</t>
  </si>
  <si>
    <t>Pc</t>
  </si>
  <si>
    <t>Weight</t>
  </si>
  <si>
    <t>Rate</t>
  </si>
  <si>
    <t>Amount</t>
  </si>
  <si>
    <t>DATE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</si>
  <si>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</si>
  <si>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</si>
  <si>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</si>
  <si>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</si>
  <si>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</si>
  <si>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</si>
  <si>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</si>
  <si>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</si>
  <si>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</si>
  <si>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</si>
  <si>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</si>
  <si>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Id</t>
  </si>
  <si>
    <t>ConsigneAHMEDABAD</t>
  </si>
  <si>
    <t>RINKUTEX</t>
  </si>
  <si>
    <t>AMMULTANI</t>
  </si>
  <si>
    <t>AMBICA</t>
  </si>
  <si>
    <t>ANASAMD</t>
  </si>
  <si>
    <t>ANKITTEX</t>
  </si>
  <si>
    <t>ARFASHION</t>
  </si>
  <si>
    <t>ARCHANAPRINTS</t>
  </si>
  <si>
    <t>ASHAPURAAMD</t>
  </si>
  <si>
    <t>ASHIYANA</t>
  </si>
  <si>
    <t>ASHRAFIART</t>
  </si>
  <si>
    <t>AURAMTEXMILLS</t>
  </si>
  <si>
    <t>AZADBHAI</t>
  </si>
  <si>
    <t>AZADMASTER</t>
  </si>
  <si>
    <t>AZAZAMD</t>
  </si>
  <si>
    <t>BAAMD</t>
  </si>
  <si>
    <t>BABLOOAMD</t>
  </si>
  <si>
    <t>BABLUBHAI</t>
  </si>
  <si>
    <t>BABUBHAI</t>
  </si>
  <si>
    <t>BBTAMD</t>
  </si>
  <si>
    <t>CHANDNIAMD</t>
  </si>
  <si>
    <t>CHARBHUJAAMD</t>
  </si>
  <si>
    <t>CHETNABEN</t>
  </si>
  <si>
    <t>DANISHBHAIAMD</t>
  </si>
  <si>
    <t>DANISHCOLLECTION</t>
  </si>
  <si>
    <t>DEEPENT</t>
  </si>
  <si>
    <t>DEEPGARMENT</t>
  </si>
  <si>
    <t>DEEPAKBHAI</t>
  </si>
  <si>
    <t>DEEPAKKUMAR</t>
  </si>
  <si>
    <t>DEVCHANDM</t>
  </si>
  <si>
    <t>DHAVALAMD</t>
  </si>
  <si>
    <t>DHIRUBHAI</t>
  </si>
  <si>
    <t>DISHAAMD</t>
  </si>
  <si>
    <t>DTAMD</t>
  </si>
  <si>
    <t>GANGAFAB</t>
  </si>
  <si>
    <t>GANGAFASHION</t>
  </si>
  <si>
    <t>GDFABRICS</t>
  </si>
  <si>
    <t>GDFARRICS</t>
  </si>
  <si>
    <t>GKAMD</t>
  </si>
  <si>
    <t>GKCAMD</t>
  </si>
  <si>
    <t>GOPALAMD</t>
  </si>
  <si>
    <t>GOPALBHAI</t>
  </si>
  <si>
    <t>HARSHILAMD</t>
  </si>
  <si>
    <t>HIRAGARMENT</t>
  </si>
  <si>
    <t>HUKASIPRINT</t>
  </si>
  <si>
    <t>HULASIPRINT</t>
  </si>
  <si>
    <t>HULASIPRINTS</t>
  </si>
  <si>
    <t>JAIMATAJI</t>
  </si>
  <si>
    <t>JAISAIRAM</t>
  </si>
  <si>
    <t>JAISAINATH</t>
  </si>
  <si>
    <t>JALARAMTEXMILLS</t>
  </si>
  <si>
    <t>JAYBHAWANI</t>
  </si>
  <si>
    <t>JAYSAINATH</t>
  </si>
  <si>
    <t>JAYESHBHAI</t>
  </si>
  <si>
    <t>KMANNAT</t>
  </si>
  <si>
    <t>KWARSHI</t>
  </si>
  <si>
    <t>KALAKURTI</t>
  </si>
  <si>
    <t>KCAMD</t>
  </si>
  <si>
    <t>KDAMD</t>
  </si>
  <si>
    <t>KDFASHION</t>
  </si>
  <si>
    <t>KHUSHICREATION</t>
  </si>
  <si>
    <t>KIMAYAPRINTS</t>
  </si>
  <si>
    <t>KJCREATION</t>
  </si>
  <si>
    <t>KMAMD</t>
  </si>
  <si>
    <t>KOTHARIFABRICS</t>
  </si>
  <si>
    <t>KRCAMD</t>
  </si>
  <si>
    <t>KRISHNAIMPEX</t>
  </si>
  <si>
    <t>KSCREATION</t>
  </si>
  <si>
    <t>KVJAMD</t>
  </si>
  <si>
    <t>LADYLOOK</t>
  </si>
  <si>
    <t>LADYLUCK</t>
  </si>
  <si>
    <t>MAHADEVTEX</t>
  </si>
  <si>
    <t>MARUTIENT</t>
  </si>
  <si>
    <t>MARUTIENTERPRISE</t>
  </si>
  <si>
    <t>MAYURCREATION</t>
  </si>
  <si>
    <t>MDMAMD</t>
  </si>
  <si>
    <t>MGMAMD</t>
  </si>
  <si>
    <t>MHFASHION</t>
  </si>
  <si>
    <t>MHLIBAS</t>
  </si>
  <si>
    <t>MKOVERSEAS</t>
  </si>
  <si>
    <t>MOHNISHAMD</t>
  </si>
  <si>
    <t>MONAPRINT</t>
  </si>
  <si>
    <t>MONAPRINTS</t>
  </si>
  <si>
    <t>MUSKANAMD</t>
  </si>
  <si>
    <t>NKAMD</t>
  </si>
  <si>
    <t>NKENTERPRISE</t>
  </si>
  <si>
    <t>PAPABHAI</t>
  </si>
  <si>
    <t>PAPPUBHAI</t>
  </si>
  <si>
    <t>PARIFASHION</t>
  </si>
  <si>
    <t>PERFECTCREATION</t>
  </si>
  <si>
    <t>PRFABRICS</t>
  </si>
  <si>
    <t>PRADEEPFAB</t>
  </si>
  <si>
    <t>PRADEEPFABRICS</t>
  </si>
  <si>
    <t>PREMPROCESSER</t>
  </si>
  <si>
    <t>RVINODJIWATRAM</t>
  </si>
  <si>
    <t>RAAESBHAI</t>
  </si>
  <si>
    <t>RAEESBHAI</t>
  </si>
  <si>
    <t>RAFIQBHAI</t>
  </si>
  <si>
    <t>RAJFASHION</t>
  </si>
  <si>
    <t>RAMDEVKRUPA</t>
  </si>
  <si>
    <t>RASHIDBHAI</t>
  </si>
  <si>
    <t>RASHIDBHAIAMD</t>
  </si>
  <si>
    <t>RAVERAFASHION</t>
  </si>
  <si>
    <t>RJTEX</t>
  </si>
  <si>
    <t>RKAMD</t>
  </si>
  <si>
    <t>RTM</t>
  </si>
  <si>
    <t>SDEEPAKKUMAR</t>
  </si>
  <si>
    <t>SABAAMD</t>
  </si>
  <si>
    <t>SAINATH</t>
  </si>
  <si>
    <t>SAINATHCREATION</t>
  </si>
  <si>
    <t>SDJAMD</t>
  </si>
  <si>
    <t>SFAMD</t>
  </si>
  <si>
    <t>SHAHBAZAMD</t>
  </si>
  <si>
    <t>SHIVKRUPADRESS</t>
  </si>
  <si>
    <t>SHIVAYENT</t>
  </si>
  <si>
    <t>SHREEOSIYATRADINGS</t>
  </si>
  <si>
    <t>SHREETIRUPATI</t>
  </si>
  <si>
    <t>SIKHATRADERS</t>
  </si>
  <si>
    <t>SKFASHION</t>
  </si>
  <si>
    <t>SKWARSI</t>
  </si>
  <si>
    <t>SMCREATION</t>
  </si>
  <si>
    <t>SONAGARMENT</t>
  </si>
  <si>
    <t>SSGARMENT</t>
  </si>
  <si>
    <t>STARMODELING</t>
  </si>
  <si>
    <t>STARMODELLING</t>
  </si>
  <si>
    <t>SUMITENT</t>
  </si>
  <si>
    <t>SUMITENTERPRISE</t>
  </si>
  <si>
    <t>SUNILBHAI</t>
  </si>
  <si>
    <t>SURAT</t>
  </si>
  <si>
    <t>SURESHBHAI</t>
  </si>
  <si>
    <t>VANSHGARMENT</t>
  </si>
  <si>
    <t>VASUDEVCOIL</t>
  </si>
  <si>
    <t>VASUDEVSONS</t>
  </si>
  <si>
    <t>VIDHYAFABRICS</t>
  </si>
  <si>
    <t>VIKASTEX</t>
  </si>
  <si>
    <t>WOWCOLLECTION</t>
  </si>
  <si>
    <t>YESCREATION</t>
  </si>
  <si>
    <t>YESFASHION</t>
  </si>
  <si>
    <t>NEWSHIFA</t>
  </si>
  <si>
    <t>REHMANGARMENT</t>
  </si>
  <si>
    <t>FIROZBHAI</t>
  </si>
  <si>
    <t>SIDRADHARAVI</t>
  </si>
  <si>
    <t>RAZABALI</t>
  </si>
  <si>
    <t>IQRAGARMENTS</t>
  </si>
  <si>
    <t>SHIFAYUSUFBHAI</t>
  </si>
  <si>
    <t>POONAMGARMENT</t>
  </si>
  <si>
    <t>BQGARMENT</t>
  </si>
  <si>
    <t>RAUFBHAI</t>
  </si>
  <si>
    <t>BISMILLAHGARMENT</t>
  </si>
  <si>
    <t>SUPERGARMENT</t>
  </si>
  <si>
    <t>MUSKANGB</t>
  </si>
  <si>
    <t>ZEENATCOLLECTION</t>
  </si>
  <si>
    <t>GOODLUCK</t>
  </si>
  <si>
    <t>AFGARMENT</t>
  </si>
  <si>
    <t>ABDULREHMAN</t>
  </si>
  <si>
    <t>MKGARMENT</t>
  </si>
  <si>
    <t>SIMNAGARMENT</t>
  </si>
  <si>
    <t>BGGARMENT</t>
  </si>
  <si>
    <t>ALAMFASHION</t>
  </si>
  <si>
    <t>SAMSHERMASTER</t>
  </si>
  <si>
    <t>ZIKRAGARMENT</t>
  </si>
  <si>
    <t>NEWNOVELTY</t>
  </si>
  <si>
    <t>TOPCAPWORKS</t>
  </si>
  <si>
    <t>LAXMICREATION</t>
  </si>
  <si>
    <t>NIMAHIM</t>
  </si>
  <si>
    <t>AFGARMENTS</t>
  </si>
  <si>
    <t>SHIFAGARMENT</t>
  </si>
  <si>
    <t>MSSUBHAN</t>
  </si>
  <si>
    <t>SMAMMYGARMENT</t>
  </si>
  <si>
    <t>PAPPUGARMENT</t>
  </si>
  <si>
    <t>JAGARAFASHION</t>
  </si>
  <si>
    <t>PARSWAFASHION</t>
  </si>
  <si>
    <t>JAYSATIMAAPPAREL</t>
  </si>
  <si>
    <t>TRITI</t>
  </si>
  <si>
    <t>SGGARMENT</t>
  </si>
  <si>
    <t>BOMBAYBEAUTY</t>
  </si>
  <si>
    <t>NOORICOLLECTION</t>
  </si>
  <si>
    <t>RAZAK</t>
  </si>
  <si>
    <t>SIDDHIVINAYAK</t>
  </si>
  <si>
    <t>MMMUSKAN</t>
  </si>
  <si>
    <t>IMTIYAZBHAI</t>
  </si>
  <si>
    <t>AGGARMENT</t>
  </si>
  <si>
    <t>SKGARMENT</t>
  </si>
  <si>
    <t>ACSCREATION</t>
  </si>
  <si>
    <t>MMSHAHZAIB</t>
  </si>
  <si>
    <t>SANIYAEXPORTS</t>
  </si>
  <si>
    <t>NEWSUPER</t>
  </si>
  <si>
    <t>NEBCOTEXIND</t>
  </si>
  <si>
    <t>SAHIDBHAI</t>
  </si>
  <si>
    <t>MMHUZAIFA</t>
  </si>
  <si>
    <t>SAKILBHAI</t>
  </si>
  <si>
    <t>SIDRADADAR</t>
  </si>
  <si>
    <t>BISMILLAH</t>
  </si>
  <si>
    <t>SFGARMENT</t>
  </si>
  <si>
    <t>SADGURUDADAR</t>
  </si>
  <si>
    <t>ZIYACOLLECTION</t>
  </si>
  <si>
    <t>ZEENATGARMENT</t>
  </si>
  <si>
    <t>WARSISTATIONROAD</t>
  </si>
  <si>
    <t>SHAMSHERMASTER</t>
  </si>
  <si>
    <t>SAKEELBHAI</t>
  </si>
  <si>
    <t>AALAMFASHION</t>
  </si>
  <si>
    <t>NKGHASBAZAR</t>
  </si>
  <si>
    <t>ALIGARMENT</t>
  </si>
  <si>
    <t>SABIRBHAI</t>
  </si>
  <si>
    <t>SHAHIDBHAI</t>
  </si>
  <si>
    <t>MANTASHA</t>
  </si>
  <si>
    <t>DANISH</t>
  </si>
  <si>
    <t>ZAAFCOLLECTION</t>
  </si>
  <si>
    <t>ZIKRA</t>
  </si>
  <si>
    <t>SG</t>
  </si>
  <si>
    <t>NEWSUPERDADAR</t>
  </si>
  <si>
    <t>ALIGARMENTS</t>
  </si>
  <si>
    <t>NUZHATGARMENTS</t>
  </si>
  <si>
    <t>MUSKANKURLA</t>
  </si>
  <si>
    <t>ARGARMENT</t>
  </si>
  <si>
    <t>MMSHAIZAB</t>
  </si>
  <si>
    <t>SUBHAMGARMENT</t>
  </si>
  <si>
    <t>ADAMEXPORTS</t>
  </si>
  <si>
    <t>FITNESSSPORTS</t>
  </si>
  <si>
    <t>SMUMMYGARMENT</t>
  </si>
  <si>
    <t>CHUNNUBHAI</t>
  </si>
  <si>
    <t>ACS</t>
  </si>
  <si>
    <t>ZEBAFASHION</t>
  </si>
  <si>
    <t>ADNANCOLLECTION</t>
  </si>
  <si>
    <t>MMMSKHAN</t>
  </si>
  <si>
    <t>AHMEDTEXTILE</t>
  </si>
  <si>
    <t>ADNANGARMENT</t>
  </si>
  <si>
    <t>FARHATENT</t>
  </si>
  <si>
    <t>HARSHTRADERS</t>
  </si>
  <si>
    <t>ALIBHAI</t>
  </si>
  <si>
    <t>DIVYAJYOTI</t>
  </si>
  <si>
    <t>SIDHIVINAYAK</t>
  </si>
  <si>
    <t>WARSI</t>
  </si>
  <si>
    <t>ALAAMFASHION</t>
  </si>
  <si>
    <t>ZEENAT</t>
  </si>
  <si>
    <t>RSCOLLECTION</t>
  </si>
  <si>
    <t>WARSITEX</t>
  </si>
  <si>
    <t>SHAKILBHAI</t>
  </si>
  <si>
    <t>ALFARHAT</t>
  </si>
  <si>
    <t>ADILBHAI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</si>
</sst>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₹&quot;\ #,##0.00;&quot;₹&quot;\ \-#,##0.00"/>
    <numFmt numFmtId="44" formatCode="_ &quot;₹&quot;\ * #,##0.00_ ;_ &quot;₹&quot;\ * \-#,##0.00_ ;_ &quot;₹&quot;\ * &quot;-&quot;??_ ;_ @_ "/>
    <numFmt numFmtId="164" formatCode="_(&quot;$&quot;* #,##0.00_);_(&quot;$&quot;* \(#,##0.00\);_(&quot;$&quot;* &quot;-&quot;??_);_(@_)"/>
    <numFmt numFmtId="165" formatCode="&quot;$&quot;#,##0.00"/>
    <numFmt numFmtId="166" formatCode="[$-24009]dddd\,\ mmmm\ dd\,\ yyyy;@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28"/>
      <color theme="3"/>
      <name val="Tahoma"/>
      <family val="2"/>
    </font>
    <font>
      <b/>
      <sz val="28"/>
      <color indexed="56"/>
      <name val="Tahoma"/>
      <family val="2"/>
    </font>
    <font>
      <sz val="16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6"/>
      <color theme="0"/>
      <name val="Tahoma"/>
      <family val="2"/>
    </font>
    <font>
      <sz val="28"/>
      <color theme="3"/>
      <name val="Tahoma"/>
      <family val="2"/>
    </font>
    <font>
      <sz val="28"/>
      <color indexed="56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8" fillId="6" borderId="3" applyNumberFormat="0" applyAlignment="0" applyProtection="0"/>
  </cellStyleXfs>
  <cellXfs count="84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2" borderId="2" xfId="0" applyFont="1" applyFill="1" applyBorder="1"/>
    <xf numFmtId="0" fontId="0" fillId="0" borderId="2" xfId="0" applyFont="1" applyBorder="1"/>
    <xf numFmtId="0" fontId="0" fillId="0" borderId="2" xfId="0" applyBorder="1"/>
    <xf numFmtId="0" fontId="0" fillId="2" borderId="2" xfId="0" applyFill="1" applyBorder="1"/>
    <xf numFmtId="164" fontId="0" fillId="4" borderId="0" xfId="0" applyNumberFormat="1" applyFill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Border="1" applyProtection="1">
      <protection locked="0"/>
    </xf>
    <xf numFmtId="164" fontId="0" fillId="4" borderId="0" xfId="0" applyNumberFormat="1" applyFill="1" applyBorder="1" applyProtection="1"/>
    <xf numFmtId="0" fontId="0" fillId="0" borderId="0" xfId="0" applyProtection="1"/>
    <xf numFmtId="164" fontId="0" fillId="3" borderId="0" xfId="0" applyNumberFormat="1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/>
    <xf numFmtId="164" fontId="0" fillId="3" borderId="0" xfId="0" applyNumberFormat="1" applyFill="1"/>
    <xf numFmtId="49" fontId="5" fillId="3" borderId="0" xfId="0" applyNumberFormat="1" applyFont="1" applyFill="1" applyAlignment="1" applyProtection="1">
      <alignment vertical="center"/>
      <protection locked="0"/>
    </xf>
    <xf numFmtId="49" fontId="6" fillId="3" borderId="0" xfId="0" applyNumberFormat="1" applyFont="1" applyFill="1" applyAlignment="1" applyProtection="1">
      <alignment vertical="center"/>
      <protection locked="0"/>
    </xf>
    <xf numFmtId="49" fontId="6" fillId="3" borderId="0" xfId="0" applyNumberFormat="1" applyFont="1" applyFill="1" applyAlignment="1">
      <alignment vertical="center"/>
    </xf>
    <xf numFmtId="164" fontId="4" fillId="3" borderId="0" xfId="0" applyNumberFormat="1" applyFont="1" applyFill="1" applyAlignment="1" applyProtection="1">
      <protection locked="0"/>
    </xf>
    <xf numFmtId="164" fontId="4" fillId="3" borderId="0" xfId="0" applyNumberFormat="1" applyFont="1" applyFill="1" applyAlignment="1"/>
    <xf numFmtId="0" fontId="0" fillId="3" borderId="0" xfId="0" applyFill="1" applyAlignment="1" applyProtection="1">
      <protection locked="0"/>
    </xf>
    <xf numFmtId="0" fontId="0" fillId="3" borderId="0" xfId="0" applyFill="1" applyAlignment="1"/>
    <xf numFmtId="0" fontId="9" fillId="3" borderId="0" xfId="0" applyFont="1" applyFill="1" applyAlignment="1" applyProtection="1">
      <protection locked="0"/>
    </xf>
    <xf numFmtId="0" fontId="9" fillId="3" borderId="0" xfId="0" applyFont="1" applyFill="1" applyProtection="1">
      <protection locked="0"/>
    </xf>
    <xf numFmtId="0" fontId="10" fillId="3" borderId="0" xfId="0" applyFont="1" applyFill="1" applyAlignment="1"/>
    <xf numFmtId="0" fontId="10" fillId="3" borderId="0" xfId="0" applyFont="1" applyFill="1"/>
    <xf numFmtId="0" fontId="10" fillId="3" borderId="0" xfId="0" applyFont="1" applyFill="1" applyAlignment="1" applyProtection="1">
      <protection locked="0"/>
    </xf>
    <xf numFmtId="0" fontId="10" fillId="3" borderId="0" xfId="0" applyFont="1" applyFill="1" applyProtection="1">
      <protection locked="0"/>
    </xf>
    <xf numFmtId="0" fontId="0" fillId="0" borderId="4" xfId="0" applyBorder="1" applyAlignment="1">
      <alignment horizontal="center"/>
    </xf>
    <xf numFmtId="165" fontId="8" fillId="6" borderId="3" xfId="2" applyNumberFormat="1" applyAlignment="1" applyProtection="1">
      <alignment vertical="center"/>
      <protection locked="0"/>
    </xf>
    <xf numFmtId="165" fontId="8" fillId="6" borderId="3" xfId="2" applyNumberFormat="1" applyProtection="1">
      <protection locked="0"/>
    </xf>
    <xf numFmtId="165" fontId="8" fillId="6" borderId="3" xfId="2" applyNumberFormat="1" applyAlignment="1">
      <alignment vertical="center"/>
    </xf>
    <xf numFmtId="165" fontId="8" fillId="6" borderId="3" xfId="2" applyNumberFormat="1"/>
    <xf numFmtId="164" fontId="1" fillId="0" borderId="1" xfId="0" applyNumberFormat="1" applyFont="1" applyBorder="1"/>
    <xf numFmtId="164" fontId="0" fillId="0" borderId="0" xfId="0" applyNumberFormat="1" applyAlignment="1" applyProtection="1">
      <alignment horizontal="center"/>
      <protection locked="0"/>
    </xf>
    <xf numFmtId="165" fontId="8" fillId="6" borderId="3" xfId="2" applyNumberFormat="1" applyFont="1" applyAlignment="1" applyProtection="1">
      <alignment vertical="center"/>
      <protection locked="0"/>
    </xf>
    <xf numFmtId="164" fontId="1" fillId="0" borderId="1" xfId="0" applyNumberFormat="1" applyFont="1" applyBorder="1" applyAlignment="1">
      <alignment horizontal="center"/>
    </xf>
    <xf numFmtId="166" fontId="0" fillId="2" borderId="5" xfId="0" applyNumberFormat="1" applyFont="1" applyFill="1" applyBorder="1"/>
    <xf numFmtId="14" fontId="2" fillId="0" borderId="0" xfId="0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44" fontId="1" fillId="0" borderId="1" xfId="0" applyNumberFormat="1" applyFont="1" applyBorder="1"/>
    <xf numFmtId="44" fontId="0" fillId="0" borderId="0" xfId="0" applyNumberFormat="1"/>
    <xf numFmtId="44" fontId="16" fillId="5" borderId="0" xfId="1" applyNumberFormat="1" applyFont="1" applyFill="1" applyAlignment="1">
      <alignment vertical="center"/>
    </xf>
    <xf numFmtId="44" fontId="18" fillId="7" borderId="0" xfId="1" applyNumberFormat="1" applyFont="1" applyFill="1" applyAlignment="1">
      <alignment vertical="center"/>
    </xf>
    <xf numFmtId="44" fontId="0" fillId="4" borderId="0" xfId="0" applyNumberFormat="1" applyFill="1" applyBorder="1" applyProtection="1"/>
    <xf numFmtId="44" fontId="0" fillId="0" borderId="0" xfId="0" applyNumberFormat="1" applyProtection="1">
      <protection locked="0"/>
    </xf>
    <xf numFmtId="44" fontId="0" fillId="0" borderId="0" xfId="0" applyNumberFormat="1" applyAlignment="1" applyProtection="1">
      <alignment horizontal="center"/>
      <protection locked="0"/>
    </xf>
    <xf numFmtId="44" fontId="0" fillId="0" borderId="0" xfId="0" applyNumberFormat="1" applyBorder="1" applyProtection="1">
      <protection locked="0"/>
    </xf>
    <xf numFmtId="44" fontId="18" fillId="7" borderId="4" xfId="0" applyNumberFormat="1" applyFont="1" applyFill="1" applyBorder="1" applyAlignment="1">
      <alignment horizontal="center"/>
    </xf>
    <xf numFmtId="44" fontId="16" fillId="5" borderId="4" xfId="0" applyNumberFormat="1" applyFont="1" applyFill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8" fillId="7" borderId="4" xfId="0" applyFont="1" applyFill="1" applyBorder="1" applyAlignment="1">
      <alignment horizontal="right"/>
    </xf>
    <xf numFmtId="0" fontId="16" fillId="5" borderId="4" xfId="0" applyFont="1" applyFill="1" applyBorder="1" applyAlignment="1">
      <alignment horizontal="right"/>
    </xf>
    <xf numFmtId="7" fontId="8" fillId="6" borderId="3" xfId="2" applyNumberFormat="1" applyAlignment="1" applyProtection="1">
      <alignment vertical="center"/>
      <protection locked="0"/>
    </xf>
    <xf numFmtId="7" fontId="8" fillId="6" borderId="3" xfId="2" applyNumberFormat="1" applyProtection="1">
      <protection locked="0"/>
    </xf>
    <xf numFmtId="164" fontId="0" fillId="2" borderId="5" xfId="0" applyNumberFormat="1" applyFont="1" applyFill="1" applyBorder="1"/>
    <xf numFmtId="164" fontId="0" fillId="0" borderId="5" xfId="0" applyNumberFormat="1" applyFont="1" applyBorder="1"/>
    <xf numFmtId="44" fontId="0" fillId="2" borderId="5" xfId="0" applyNumberFormat="1" applyFont="1" applyFill="1" applyBorder="1"/>
    <xf numFmtId="44" fontId="0" fillId="0" borderId="5" xfId="0" applyNumberFormat="1" applyFont="1" applyBorder="1"/>
    <xf numFmtId="0" fontId="1" fillId="4" borderId="0" xfId="0" applyFont="1" applyFill="1" applyBorder="1" applyAlignment="1"/>
    <xf numFmtId="44" fontId="0" fillId="3" borderId="0" xfId="0" applyNumberFormat="1" applyFill="1" applyProtection="1">
      <protection locked="0"/>
    </xf>
    <xf numFmtId="166" fontId="0" fillId="0" borderId="5" xfId="0" applyNumberFormat="1" applyFont="1" applyFill="1" applyBorder="1"/>
    <xf numFmtId="165" fontId="21" fillId="7" borderId="0" xfId="0" applyNumberFormat="1" applyFont="1" applyFill="1" applyAlignment="1">
      <alignment horizontal="left"/>
    </xf>
    <xf numFmtId="165" fontId="21" fillId="5" borderId="0" xfId="0" applyNumberFormat="1" applyFont="1" applyFill="1" applyAlignment="1">
      <alignment horizontal="left"/>
    </xf>
    <xf numFmtId="164" fontId="1" fillId="0" borderId="1" xfId="0" applyNumberFormat="1" applyFont="1" applyBorder="1" applyAlignment="1"/>
    <xf numFmtId="44" fontId="1" fillId="0" borderId="1" xfId="0" applyNumberFormat="1" applyFont="1" applyBorder="1" applyAlignment="1"/>
    <xf numFmtId="165" fontId="17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65" fontId="7" fillId="7" borderId="0" xfId="1" applyNumberFormat="1" applyFont="1" applyFill="1" applyAlignment="1" applyProtection="1">
      <alignment horizontal="center"/>
    </xf>
    <xf numFmtId="49" fontId="12" fillId="3" borderId="0" xfId="0" applyNumberFormat="1" applyFont="1" applyFill="1" applyAlignment="1" applyProtection="1">
      <alignment horizontal="center" vertical="center"/>
      <protection locked="0"/>
    </xf>
    <xf numFmtId="165" fontId="7" fillId="5" borderId="0" xfId="1" applyNumberFormat="1" applyFont="1" applyFill="1" applyAlignment="1" applyProtection="1">
      <alignment horizontal="center"/>
    </xf>
    <xf numFmtId="49" fontId="11" fillId="7" borderId="6" xfId="0" applyNumberFormat="1" applyFont="1" applyFill="1" applyBorder="1" applyAlignment="1" applyProtection="1">
      <alignment horizontal="center" vertical="center"/>
      <protection locked="0"/>
    </xf>
    <xf numFmtId="49" fontId="11" fillId="7" borderId="7" xfId="0" applyNumberFormat="1" applyFont="1" applyFill="1" applyBorder="1" applyAlignment="1" applyProtection="1">
      <alignment horizontal="center" vertical="center"/>
      <protection locked="0"/>
    </xf>
    <xf numFmtId="49" fontId="13" fillId="3" borderId="0" xfId="0" applyNumberFormat="1" applyFont="1" applyFill="1" applyAlignment="1" applyProtection="1">
      <alignment horizontal="center" vertical="center"/>
      <protection locked="0"/>
    </xf>
    <xf numFmtId="165" fontId="7" fillId="7" borderId="0" xfId="1" applyNumberFormat="1" applyFont="1" applyFill="1" applyAlignment="1">
      <alignment horizontal="center"/>
    </xf>
    <xf numFmtId="49" fontId="13" fillId="3" borderId="0" xfId="0" applyNumberFormat="1" applyFont="1" applyFill="1" applyAlignment="1">
      <alignment horizontal="center" vertical="center"/>
    </xf>
    <xf numFmtId="165" fontId="7" fillId="5" borderId="0" xfId="1" applyNumberFormat="1" applyFont="1" applyFill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Output" xfId="2" builtinId="21"/>
  </cellStyles>
  <dxfs count="293"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7" formatCode="[$-F800]dddd\,\ mmmm\ dd\,\ 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_(&quot;$&quot;* #,##0.00_);_(&quot;$&quot;* \(#,##0.00\);_(&quot;$&quot;* &quot;-&quot;??_);_(@_)"/>
      <alignment horizontal="center" vertical="bottom" textRotation="0" wrapText="0" indent="0" justifyLastLine="0" shrinkToFit="0" readingOrder="0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34" formatCode="_ &quot;₹&quot;\ * #,##0.00_ ;_ &quot;₹&quot;\ * \-#,##0.00_ ;_ &quot;₹&quot;\ * &quot;-&quot;??_ ;_ @_ 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  <dxf>
      <numFmt numFmtId="164" formatCode="_(&quot;$&quot;* #,##0.00_);_(&quot;$&quot;* \(#,##0.00\);_(&quot;$&quot;* &quot;-&quot;??_);_(@_)"/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Jan" displayName="Jan" ref="B8:W26" totalsRowShown="0" headerRowDxfId="292" dataDxfId="291">
  <tableColumns count="22">
    <tableColumn id="2" xr3:uid="{00000000-0010-0000-0000-000002000000}" name="Column1" dataDxfId="290"/>
    <tableColumn id="3" xr3:uid="{00000000-0010-0000-0000-000003000000}" name="Travelling" dataDxfId="289"/>
    <tableColumn id="4" xr3:uid="{00000000-0010-0000-0000-000004000000}" name="Electric Bill" dataDxfId="288"/>
    <tableColumn id="5" xr3:uid="{00000000-0010-0000-0000-000005000000}" name="Mobile/Internet" dataDxfId="287"/>
    <tableColumn id="6" xr3:uid="{00000000-0010-0000-0000-000006000000}" name="Shopping" dataDxfId="286"/>
    <tableColumn id="7" xr3:uid="{00000000-0010-0000-0000-000007000000}" name="Office Food" dataDxfId="285"/>
    <tableColumn id="8" xr3:uid="{00000000-0010-0000-0000-000008000000}" name="Office Extras" dataDxfId="284"/>
    <tableColumn id="9" xr3:uid="{00000000-0010-0000-0000-000009000000}" name="Home" dataDxfId="283"/>
    <tableColumn id="10" xr3:uid="{00000000-0010-0000-0000-00000A000000}" name="Savings" dataDxfId="282"/>
    <tableColumn id="11" xr3:uid="{00000000-0010-0000-0000-00000B000000}" name="Pesonal Care" dataDxfId="281"/>
    <tableColumn id="12" xr3:uid="{00000000-0010-0000-0000-00000C000000}" name="Groceries" dataDxfId="280"/>
    <tableColumn id="13" xr3:uid="{00000000-0010-0000-0000-00000D000000}" name="Other" dataDxfId="279"/>
    <tableColumn id="14" xr3:uid="{00000000-0010-0000-0000-00000E000000}" name="Column13" dataDxfId="278"/>
    <tableColumn id="15" xr3:uid="{00000000-0010-0000-0000-00000F000000}" name="Column14" dataDxfId="277"/>
    <tableColumn id="16" xr3:uid="{00000000-0010-0000-0000-000010000000}" name="Column15" dataDxfId="276"/>
    <tableColumn id="17" xr3:uid="{00000000-0010-0000-0000-000011000000}" name="Column16" dataDxfId="275"/>
    <tableColumn id="18" xr3:uid="{00000000-0010-0000-0000-000012000000}" name="Column17" dataDxfId="274"/>
    <tableColumn id="19" xr3:uid="{00000000-0010-0000-0000-000013000000}" name="Column18" dataDxfId="273"/>
    <tableColumn id="20" xr3:uid="{00000000-0010-0000-0000-000014000000}" name="Column19" dataDxfId="272"/>
    <tableColumn id="21" xr3:uid="{00000000-0010-0000-0000-000015000000}" name="Column20" dataDxfId="271"/>
    <tableColumn id="22" xr3:uid="{00000000-0010-0000-0000-000016000000}" name="Column21" dataDxfId="270"/>
    <tableColumn id="23" xr3:uid="{00000000-0010-0000-0000-000017000000}" name="Column22" dataDxfId="269"/>
  </tableColumns>
  <tableStyleInfo name="TableStyleLight1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Oct" displayName="Oct" ref="B8:W26" totalsRowShown="0" headerRowDxfId="76" dataDxfId="75">
  <tableColumns count="22">
    <tableColumn id="2" xr3:uid="{00000000-0010-0000-0900-000002000000}" name="Weekend Exp" dataDxfId="74"/>
    <tableColumn id="3" xr3:uid="{00000000-0010-0000-0900-000003000000}" name="Travelling" dataDxfId="73"/>
    <tableColumn id="4" xr3:uid="{00000000-0010-0000-0900-000004000000}" name="Electric Bill" dataDxfId="72"/>
    <tableColumn id="5" xr3:uid="{00000000-0010-0000-0900-000005000000}" name="Mobile/Internet" dataDxfId="71"/>
    <tableColumn id="6" xr3:uid="{00000000-0010-0000-0900-000006000000}" name="Shopping" dataDxfId="70"/>
    <tableColumn id="7" xr3:uid="{00000000-0010-0000-0900-000007000000}" name="Office Food" dataDxfId="69"/>
    <tableColumn id="8" xr3:uid="{00000000-0010-0000-0900-000008000000}" name="Office Extras" dataDxfId="68"/>
    <tableColumn id="9" xr3:uid="{00000000-0010-0000-0900-000009000000}" name="Home" dataDxfId="67"/>
    <tableColumn id="10" xr3:uid="{00000000-0010-0000-0900-00000A000000}" name="Savings" dataDxfId="66"/>
    <tableColumn id="11" xr3:uid="{00000000-0010-0000-0900-00000B000000}" name="Pesonal Care" dataDxfId="65"/>
    <tableColumn id="12" xr3:uid="{00000000-0010-0000-0900-00000C000000}" name="Groceries" dataDxfId="64"/>
    <tableColumn id="13" xr3:uid="{00000000-0010-0000-0900-00000D000000}" name="Other" dataDxfId="63"/>
    <tableColumn id="14" xr3:uid="{00000000-0010-0000-0900-00000E000000}" name="Column13" dataDxfId="62"/>
    <tableColumn id="15" xr3:uid="{00000000-0010-0000-0900-00000F000000}" name="Column14" dataDxfId="61"/>
    <tableColumn id="16" xr3:uid="{00000000-0010-0000-0900-000010000000}" name="Column15" dataDxfId="60"/>
    <tableColumn id="17" xr3:uid="{00000000-0010-0000-0900-000011000000}" name="Column16" dataDxfId="59"/>
    <tableColumn id="18" xr3:uid="{00000000-0010-0000-0900-000012000000}" name="Column17" dataDxfId="58"/>
    <tableColumn id="19" xr3:uid="{00000000-0010-0000-0900-000013000000}" name="Column18" dataDxfId="57"/>
    <tableColumn id="20" xr3:uid="{00000000-0010-0000-0900-000014000000}" name="Column19" dataDxfId="56"/>
    <tableColumn id="21" xr3:uid="{00000000-0010-0000-0900-000015000000}" name="Column20" dataDxfId="55"/>
    <tableColumn id="22" xr3:uid="{00000000-0010-0000-0900-000016000000}" name="Column21" dataDxfId="54"/>
    <tableColumn id="23" xr3:uid="{00000000-0010-0000-0900-000017000000}" name="Column22" dataDxfId="53"/>
  </tableColumns>
  <tableStyleInfo name="TableStyleLight18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Nov" displayName="Nov" ref="B8:W26" totalsRowShown="0" headerRowDxfId="52" dataDxfId="51">
  <tableColumns count="22">
    <tableColumn id="2" xr3:uid="{00000000-0010-0000-0A00-000002000000}" name="Weekend Exp" dataDxfId="50"/>
    <tableColumn id="3" xr3:uid="{00000000-0010-0000-0A00-000003000000}" name="Travelling" dataDxfId="49"/>
    <tableColumn id="4" xr3:uid="{00000000-0010-0000-0A00-000004000000}" name="Electric Bill" dataDxfId="48"/>
    <tableColumn id="5" xr3:uid="{00000000-0010-0000-0A00-000005000000}" name="Mobile/Internet" dataDxfId="47"/>
    <tableColumn id="6" xr3:uid="{00000000-0010-0000-0A00-000006000000}" name="Shopping" dataDxfId="46"/>
    <tableColumn id="7" xr3:uid="{00000000-0010-0000-0A00-000007000000}" name="Office Food" dataDxfId="45"/>
    <tableColumn id="8" xr3:uid="{00000000-0010-0000-0A00-000008000000}" name="Office Extras" dataDxfId="44"/>
    <tableColumn id="9" xr3:uid="{00000000-0010-0000-0A00-000009000000}" name="Home" dataDxfId="43"/>
    <tableColumn id="10" xr3:uid="{00000000-0010-0000-0A00-00000A000000}" name="Savings" dataDxfId="42"/>
    <tableColumn id="11" xr3:uid="{00000000-0010-0000-0A00-00000B000000}" name="Pesonal Care" dataDxfId="41"/>
    <tableColumn id="12" xr3:uid="{00000000-0010-0000-0A00-00000C000000}" name="Groceries" dataDxfId="40"/>
    <tableColumn id="13" xr3:uid="{00000000-0010-0000-0A00-00000D000000}" name="Other" dataDxfId="39"/>
    <tableColumn id="14" xr3:uid="{00000000-0010-0000-0A00-00000E000000}" name="Column13" dataDxfId="38"/>
    <tableColumn id="15" xr3:uid="{00000000-0010-0000-0A00-00000F000000}" name="Column14" dataDxfId="37"/>
    <tableColumn id="16" xr3:uid="{00000000-0010-0000-0A00-000010000000}" name="Column15" dataDxfId="36"/>
    <tableColumn id="17" xr3:uid="{00000000-0010-0000-0A00-000011000000}" name="Column16" dataDxfId="35"/>
    <tableColumn id="18" xr3:uid="{00000000-0010-0000-0A00-000012000000}" name="Column17" dataDxfId="34"/>
    <tableColumn id="19" xr3:uid="{00000000-0010-0000-0A00-000013000000}" name="Column18" dataDxfId="33"/>
    <tableColumn id="20" xr3:uid="{00000000-0010-0000-0A00-000014000000}" name="Column19" dataDxfId="32"/>
    <tableColumn id="21" xr3:uid="{00000000-0010-0000-0A00-000015000000}" name="Column20" dataDxfId="31"/>
    <tableColumn id="22" xr3:uid="{00000000-0010-0000-0A00-000016000000}" name="Column21" dataDxfId="30"/>
    <tableColumn id="23" xr3:uid="{00000000-0010-0000-0A00-000017000000}" name="Column22" dataDxfId="29"/>
  </tableColumns>
  <tableStyleInfo name="TableStyleLight1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Dec" displayName="Dec" ref="B8:W26" totalsRowShown="0" headerRowDxfId="28" dataDxfId="27">
  <tableColumns count="22">
    <tableColumn id="2" xr3:uid="{00000000-0010-0000-0B00-000002000000}" name="Weekend Exp" dataDxfId="26"/>
    <tableColumn id="3" xr3:uid="{00000000-0010-0000-0B00-000003000000}" name="Travelling" dataDxfId="25"/>
    <tableColumn id="4" xr3:uid="{00000000-0010-0000-0B00-000004000000}" name="Electric Bill" dataDxfId="24"/>
    <tableColumn id="5" xr3:uid="{00000000-0010-0000-0B00-000005000000}" name="Mobile/Internet" dataDxfId="23"/>
    <tableColumn id="6" xr3:uid="{00000000-0010-0000-0B00-000006000000}" name="Shopping" dataDxfId="22"/>
    <tableColumn id="7" xr3:uid="{00000000-0010-0000-0B00-000007000000}" name="Office Food" dataDxfId="21"/>
    <tableColumn id="8" xr3:uid="{00000000-0010-0000-0B00-000008000000}" name="Office Extras" dataDxfId="20"/>
    <tableColumn id="9" xr3:uid="{00000000-0010-0000-0B00-000009000000}" name="Home" dataDxfId="19"/>
    <tableColumn id="10" xr3:uid="{00000000-0010-0000-0B00-00000A000000}" name="Savings" dataDxfId="18"/>
    <tableColumn id="11" xr3:uid="{00000000-0010-0000-0B00-00000B000000}" name="Pesonal Care" dataDxfId="17"/>
    <tableColumn id="12" xr3:uid="{00000000-0010-0000-0B00-00000C000000}" name="Groceries" dataDxfId="16"/>
    <tableColumn id="13" xr3:uid="{00000000-0010-0000-0B00-00000D000000}" name="Other" dataDxfId="15"/>
    <tableColumn id="14" xr3:uid="{00000000-0010-0000-0B00-00000E000000}" name="Column13" dataDxfId="14"/>
    <tableColumn id="15" xr3:uid="{00000000-0010-0000-0B00-00000F000000}" name="Column14" dataDxfId="13"/>
    <tableColumn id="16" xr3:uid="{00000000-0010-0000-0B00-000010000000}" name="Column15" dataDxfId="12"/>
    <tableColumn id="17" xr3:uid="{00000000-0010-0000-0B00-000011000000}" name="Column16" dataDxfId="11"/>
    <tableColumn id="18" xr3:uid="{00000000-0010-0000-0B00-000012000000}" name="Column17" dataDxfId="10"/>
    <tableColumn id="19" xr3:uid="{00000000-0010-0000-0B00-000013000000}" name="Column18" dataDxfId="9"/>
    <tableColumn id="20" xr3:uid="{00000000-0010-0000-0B00-000014000000}" name="Column19" dataDxfId="8"/>
    <tableColumn id="21" xr3:uid="{00000000-0010-0000-0B00-000015000000}" name="Column20" dataDxfId="7"/>
    <tableColumn id="22" xr3:uid="{00000000-0010-0000-0B00-000016000000}" name="Column21" dataDxfId="6"/>
    <tableColumn id="23" xr3:uid="{00000000-0010-0000-0B00-000017000000}" name="Column22" dataDxfId="5"/>
  </tableColumns>
  <tableStyleInfo name="TableStyleLight1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C000000}" name="checking" displayName="checking" ref="A1:E5" totalsRowShown="0" headerRowDxfId="4">
  <tableColumns count="5">
    <tableColumn id="1" xr3:uid="{00000000-0010-0000-0C00-000001000000}" name="Date" dataDxfId="3"/>
    <tableColumn id="2" xr3:uid="{00000000-0010-0000-0C00-000002000000}" name="Transaction"/>
    <tableColumn id="4" xr3:uid="{00000000-0010-0000-0C00-000004000000}" name="Debit (-)" dataDxfId="2"/>
    <tableColumn id="5" xr3:uid="{00000000-0010-0000-0C00-000005000000}" name="Credit (+)" dataDxfId="1"/>
    <tableColumn id="6" xr3:uid="{00000000-0010-0000-0C00-000006000000}" name="Balance" dataDxfId="0">
      <calculatedColumnFormula>E1-C2+D2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1000000}" name="feb" displayName="feb" ref="B8:W26" totalsRowShown="0" headerRowDxfId="268" dataDxfId="267">
  <tableColumns count="22">
    <tableColumn id="2" xr3:uid="{00000000-0010-0000-0100-000002000000}" name="Weekend Exp" dataDxfId="266"/>
    <tableColumn id="3" xr3:uid="{00000000-0010-0000-0100-000003000000}" name="Travelling" dataDxfId="265"/>
    <tableColumn id="4" xr3:uid="{00000000-0010-0000-0100-000004000000}" name="Electric Bill" dataDxfId="264"/>
    <tableColumn id="5" xr3:uid="{00000000-0010-0000-0100-000005000000}" name="Mobile/Internet" dataDxfId="263"/>
    <tableColumn id="6" xr3:uid="{00000000-0010-0000-0100-000006000000}" name="Shopping" dataDxfId="262"/>
    <tableColumn id="7" xr3:uid="{00000000-0010-0000-0100-000007000000}" name="Office Food" dataDxfId="261"/>
    <tableColumn id="8" xr3:uid="{00000000-0010-0000-0100-000008000000}" name="Office Extras" dataDxfId="260"/>
    <tableColumn id="9" xr3:uid="{00000000-0010-0000-0100-000009000000}" name="Home" dataDxfId="259"/>
    <tableColumn id="10" xr3:uid="{00000000-0010-0000-0100-00000A000000}" name="Savings" dataDxfId="258"/>
    <tableColumn id="11" xr3:uid="{00000000-0010-0000-0100-00000B000000}" name="Pesonal Care" dataDxfId="257"/>
    <tableColumn id="12" xr3:uid="{00000000-0010-0000-0100-00000C000000}" name="Groceries" dataDxfId="256"/>
    <tableColumn id="13" xr3:uid="{00000000-0010-0000-0100-00000D000000}" name="Other" dataDxfId="255"/>
    <tableColumn id="14" xr3:uid="{00000000-0010-0000-0100-00000E000000}" name="Column13" dataDxfId="254"/>
    <tableColumn id="15" xr3:uid="{00000000-0010-0000-0100-00000F000000}" name="Column14" dataDxfId="253"/>
    <tableColumn id="16" xr3:uid="{00000000-0010-0000-0100-000010000000}" name="Column15" dataDxfId="252"/>
    <tableColumn id="17" xr3:uid="{00000000-0010-0000-0100-000011000000}" name="Column16" dataDxfId="251"/>
    <tableColumn id="18" xr3:uid="{00000000-0010-0000-0100-000012000000}" name="Column17" dataDxfId="250"/>
    <tableColumn id="19" xr3:uid="{00000000-0010-0000-0100-000013000000}" name="Column18" dataDxfId="249"/>
    <tableColumn id="20" xr3:uid="{00000000-0010-0000-0100-000014000000}" name="Column19" dataDxfId="248"/>
    <tableColumn id="21" xr3:uid="{00000000-0010-0000-0100-000015000000}" name="Column20" dataDxfId="247"/>
    <tableColumn id="22" xr3:uid="{00000000-0010-0000-0100-000016000000}" name="Column21" dataDxfId="246"/>
    <tableColumn id="23" xr3:uid="{00000000-0010-0000-0100-000017000000}" name="Column22" dataDxfId="245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2000000}" name="mar" displayName="mar" ref="B8:W26" totalsRowShown="0" headerRowDxfId="244" dataDxfId="243">
  <tableColumns count="22">
    <tableColumn id="2" xr3:uid="{00000000-0010-0000-0200-000002000000}" name="Weekend Exp" dataDxfId="242"/>
    <tableColumn id="3" xr3:uid="{00000000-0010-0000-0200-000003000000}" name="Travelling" dataDxfId="241"/>
    <tableColumn id="4" xr3:uid="{00000000-0010-0000-0200-000004000000}" name="Electric Bill" dataDxfId="240"/>
    <tableColumn id="5" xr3:uid="{00000000-0010-0000-0200-000005000000}" name="Mobile/Internet" dataDxfId="239"/>
    <tableColumn id="6" xr3:uid="{00000000-0010-0000-0200-000006000000}" name="Shopping" dataDxfId="238"/>
    <tableColumn id="7" xr3:uid="{00000000-0010-0000-0200-000007000000}" name="Office Food" dataDxfId="237"/>
    <tableColumn id="8" xr3:uid="{00000000-0010-0000-0200-000008000000}" name="Office Extras" dataDxfId="236"/>
    <tableColumn id="9" xr3:uid="{00000000-0010-0000-0200-000009000000}" name="Home" dataDxfId="235"/>
    <tableColumn id="10" xr3:uid="{00000000-0010-0000-0200-00000A000000}" name="Savings" dataDxfId="234"/>
    <tableColumn id="11" xr3:uid="{00000000-0010-0000-0200-00000B000000}" name="Pesonal Care" dataDxfId="233"/>
    <tableColumn id="12" xr3:uid="{00000000-0010-0000-0200-00000C000000}" name="Groceries" dataDxfId="232"/>
    <tableColumn id="13" xr3:uid="{00000000-0010-0000-0200-00000D000000}" name="Other" dataDxfId="231"/>
    <tableColumn id="14" xr3:uid="{00000000-0010-0000-0200-00000E000000}" name="Column13" dataDxfId="230"/>
    <tableColumn id="15" xr3:uid="{00000000-0010-0000-0200-00000F000000}" name="Column14" dataDxfId="229"/>
    <tableColumn id="16" xr3:uid="{00000000-0010-0000-0200-000010000000}" name="Column15" dataDxfId="228"/>
    <tableColumn id="17" xr3:uid="{00000000-0010-0000-0200-000011000000}" name="Column16" dataDxfId="227"/>
    <tableColumn id="18" xr3:uid="{00000000-0010-0000-0200-000012000000}" name="Column17" dataDxfId="226"/>
    <tableColumn id="19" xr3:uid="{00000000-0010-0000-0200-000013000000}" name="Column18" dataDxfId="225"/>
    <tableColumn id="20" xr3:uid="{00000000-0010-0000-0200-000014000000}" name="Column19" dataDxfId="224"/>
    <tableColumn id="21" xr3:uid="{00000000-0010-0000-0200-000015000000}" name="Column20" dataDxfId="223"/>
    <tableColumn id="22" xr3:uid="{00000000-0010-0000-0200-000016000000}" name="Column21" dataDxfId="222"/>
    <tableColumn id="23" xr3:uid="{00000000-0010-0000-0200-000017000000}" name="Column22" dataDxfId="22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apr" displayName="apr" ref="B8:W26" totalsRowShown="0" headerRowDxfId="220" dataDxfId="219">
  <tableColumns count="22">
    <tableColumn id="2" xr3:uid="{00000000-0010-0000-0300-000002000000}" name="Weekend Exp" dataDxfId="218"/>
    <tableColumn id="3" xr3:uid="{00000000-0010-0000-0300-000003000000}" name="Travelling" dataDxfId="217"/>
    <tableColumn id="4" xr3:uid="{00000000-0010-0000-0300-000004000000}" name="Electric Bill" dataDxfId="216"/>
    <tableColumn id="5" xr3:uid="{00000000-0010-0000-0300-000005000000}" name="Mobile/Internet" dataDxfId="215"/>
    <tableColumn id="6" xr3:uid="{00000000-0010-0000-0300-000006000000}" name="Shopping" dataDxfId="214"/>
    <tableColumn id="7" xr3:uid="{00000000-0010-0000-0300-000007000000}" name="Office Food" dataDxfId="213"/>
    <tableColumn id="8" xr3:uid="{00000000-0010-0000-0300-000008000000}" name="Office Extras" dataDxfId="212"/>
    <tableColumn id="9" xr3:uid="{00000000-0010-0000-0300-000009000000}" name="Home" dataDxfId="211"/>
    <tableColumn id="10" xr3:uid="{00000000-0010-0000-0300-00000A000000}" name="Savings" dataDxfId="210"/>
    <tableColumn id="11" xr3:uid="{00000000-0010-0000-0300-00000B000000}" name="Pesonal Care" dataDxfId="209"/>
    <tableColumn id="12" xr3:uid="{00000000-0010-0000-0300-00000C000000}" name="Groceries" dataDxfId="208"/>
    <tableColumn id="13" xr3:uid="{00000000-0010-0000-0300-00000D000000}" name="Other" dataDxfId="207"/>
    <tableColumn id="14" xr3:uid="{00000000-0010-0000-0300-00000E000000}" name="Column13" dataDxfId="206"/>
    <tableColumn id="15" xr3:uid="{00000000-0010-0000-0300-00000F000000}" name="Column14" dataDxfId="205"/>
    <tableColumn id="16" xr3:uid="{00000000-0010-0000-0300-000010000000}" name="Column15" dataDxfId="204"/>
    <tableColumn id="17" xr3:uid="{00000000-0010-0000-0300-000011000000}" name="Column16" dataDxfId="203"/>
    <tableColumn id="18" xr3:uid="{00000000-0010-0000-0300-000012000000}" name="Column17" dataDxfId="202"/>
    <tableColumn id="19" xr3:uid="{00000000-0010-0000-0300-000013000000}" name="Column18" dataDxfId="201"/>
    <tableColumn id="20" xr3:uid="{00000000-0010-0000-0300-000014000000}" name="Column19" dataDxfId="200"/>
    <tableColumn id="21" xr3:uid="{00000000-0010-0000-0300-000015000000}" name="Column20" dataDxfId="199"/>
    <tableColumn id="22" xr3:uid="{00000000-0010-0000-0300-000016000000}" name="Column21" dataDxfId="198"/>
    <tableColumn id="23" xr3:uid="{00000000-0010-0000-0300-000017000000}" name="Column22" dataDxfId="197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4000000}" name="may" displayName="may" ref="B8:W26" totalsRowShown="0" headerRowDxfId="196" dataDxfId="195">
  <tableColumns count="22">
    <tableColumn id="2" xr3:uid="{00000000-0010-0000-0400-000002000000}" name="Weekend Exp" dataDxfId="194"/>
    <tableColumn id="3" xr3:uid="{00000000-0010-0000-0400-000003000000}" name="Travelling" dataDxfId="193"/>
    <tableColumn id="4" xr3:uid="{00000000-0010-0000-0400-000004000000}" name="Electric Bill" dataDxfId="192"/>
    <tableColumn id="5" xr3:uid="{00000000-0010-0000-0400-000005000000}" name="Mobile/Internet" dataDxfId="191"/>
    <tableColumn id="6" xr3:uid="{00000000-0010-0000-0400-000006000000}" name="Shopping" dataDxfId="190"/>
    <tableColumn id="7" xr3:uid="{00000000-0010-0000-0400-000007000000}" name="Office Food" dataDxfId="189"/>
    <tableColumn id="8" xr3:uid="{00000000-0010-0000-0400-000008000000}" name="Office Extras" dataDxfId="188"/>
    <tableColumn id="9" xr3:uid="{00000000-0010-0000-0400-000009000000}" name="Home" dataDxfId="187"/>
    <tableColumn id="10" xr3:uid="{00000000-0010-0000-0400-00000A000000}" name="Savings" dataDxfId="186"/>
    <tableColumn id="11" xr3:uid="{00000000-0010-0000-0400-00000B000000}" name="Pesonal Care" dataDxfId="185"/>
    <tableColumn id="12" xr3:uid="{00000000-0010-0000-0400-00000C000000}" name="Groceries" dataDxfId="184"/>
    <tableColumn id="13" xr3:uid="{00000000-0010-0000-0400-00000D000000}" name="Other" dataDxfId="183"/>
    <tableColumn id="14" xr3:uid="{00000000-0010-0000-0400-00000E000000}" name="Column13" dataDxfId="182"/>
    <tableColumn id="15" xr3:uid="{00000000-0010-0000-0400-00000F000000}" name="Column14" dataDxfId="181"/>
    <tableColumn id="16" xr3:uid="{00000000-0010-0000-0400-000010000000}" name="Column15" dataDxfId="180"/>
    <tableColumn id="17" xr3:uid="{00000000-0010-0000-0400-000011000000}" name="Column16" dataDxfId="179"/>
    <tableColumn id="18" xr3:uid="{00000000-0010-0000-0400-000012000000}" name="Column17" dataDxfId="178"/>
    <tableColumn id="19" xr3:uid="{00000000-0010-0000-0400-000013000000}" name="Column18" dataDxfId="177"/>
    <tableColumn id="20" xr3:uid="{00000000-0010-0000-0400-000014000000}" name="Column19" dataDxfId="176"/>
    <tableColumn id="21" xr3:uid="{00000000-0010-0000-0400-000015000000}" name="Column20" dataDxfId="175"/>
    <tableColumn id="22" xr3:uid="{00000000-0010-0000-0400-000016000000}" name="Column21" dataDxfId="174"/>
    <tableColumn id="23" xr3:uid="{00000000-0010-0000-0400-000017000000}" name="Column22" dataDxfId="173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Jun" displayName="Jun" ref="B8:W26" totalsRowShown="0" headerRowDxfId="172" dataDxfId="171">
  <tableColumns count="22">
    <tableColumn id="2" xr3:uid="{00000000-0010-0000-0500-000002000000}" name="Column4" dataDxfId="170"/>
    <tableColumn id="3" xr3:uid="{00000000-0010-0000-0500-000003000000}" name="Column5" dataDxfId="169"/>
    <tableColumn id="4" xr3:uid="{00000000-0010-0000-0500-000004000000}" name="Column6" dataDxfId="168"/>
    <tableColumn id="5" xr3:uid="{00000000-0010-0000-0500-000005000000}" name="Column7" dataDxfId="167"/>
    <tableColumn id="6" xr3:uid="{00000000-0010-0000-0500-000006000000}" name="Column8" dataDxfId="166"/>
    <tableColumn id="7" xr3:uid="{00000000-0010-0000-0500-000007000000}" name="Column9" dataDxfId="165"/>
    <tableColumn id="8" xr3:uid="{00000000-0010-0000-0500-000008000000}" name="Column10" dataDxfId="164"/>
    <tableColumn id="9" xr3:uid="{00000000-0010-0000-0500-000009000000}" name="Column11" dataDxfId="163"/>
    <tableColumn id="10" xr3:uid="{00000000-0010-0000-0500-00000A000000}" name="Column12" dataDxfId="162"/>
    <tableColumn id="11" xr3:uid="{00000000-0010-0000-0500-00000B000000}" name="Column3" dataDxfId="161"/>
    <tableColumn id="12" xr3:uid="{00000000-0010-0000-0500-00000C000000}" name="Column2" dataDxfId="160"/>
    <tableColumn id="13" xr3:uid="{00000000-0010-0000-0500-00000D000000}" name="Column1" dataDxfId="159"/>
    <tableColumn id="14" xr3:uid="{00000000-0010-0000-0500-00000E000000}" name="Column13" dataDxfId="158"/>
    <tableColumn id="15" xr3:uid="{00000000-0010-0000-0500-00000F000000}" name="Column14" dataDxfId="157"/>
    <tableColumn id="16" xr3:uid="{00000000-0010-0000-0500-000010000000}" name="Column15" dataDxfId="156"/>
    <tableColumn id="17" xr3:uid="{00000000-0010-0000-0500-000011000000}" name="Column16" dataDxfId="155"/>
    <tableColumn id="18" xr3:uid="{00000000-0010-0000-0500-000012000000}" name="Column17" dataDxfId="154"/>
    <tableColumn id="19" xr3:uid="{00000000-0010-0000-0500-000013000000}" name="Column18" dataDxfId="153"/>
    <tableColumn id="20" xr3:uid="{00000000-0010-0000-0500-000014000000}" name="Column19" dataDxfId="152"/>
    <tableColumn id="21" xr3:uid="{00000000-0010-0000-0500-000015000000}" name="Column20" dataDxfId="151"/>
    <tableColumn id="22" xr3:uid="{00000000-0010-0000-0500-000016000000}" name="Column21" dataDxfId="150"/>
    <tableColumn id="23" xr3:uid="{00000000-0010-0000-0500-000017000000}" name="Column22" dataDxfId="149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Jul" displayName="Jul" ref="B8:W26" totalsRowShown="0" headerRowDxfId="148" dataDxfId="147">
  <tableColumns count="22">
    <tableColumn id="2" xr3:uid="{00000000-0010-0000-0600-000002000000}" name="Weekend Exp" dataDxfId="146"/>
    <tableColumn id="3" xr3:uid="{00000000-0010-0000-0600-000003000000}" name="Travelling" dataDxfId="145"/>
    <tableColumn id="4" xr3:uid="{00000000-0010-0000-0600-000004000000}" name="Electric Bill" dataDxfId="144"/>
    <tableColumn id="5" xr3:uid="{00000000-0010-0000-0600-000005000000}" name="Mobile/Internet" dataDxfId="143"/>
    <tableColumn id="6" xr3:uid="{00000000-0010-0000-0600-000006000000}" name="Shopping" dataDxfId="142"/>
    <tableColumn id="7" xr3:uid="{00000000-0010-0000-0600-000007000000}" name="Office Food" dataDxfId="141"/>
    <tableColumn id="8" xr3:uid="{00000000-0010-0000-0600-000008000000}" name="Office Extras" dataDxfId="140"/>
    <tableColumn id="9" xr3:uid="{00000000-0010-0000-0600-000009000000}" name="Home" dataDxfId="139"/>
    <tableColumn id="10" xr3:uid="{00000000-0010-0000-0600-00000A000000}" name="Savings" dataDxfId="138"/>
    <tableColumn id="11" xr3:uid="{00000000-0010-0000-0600-00000B000000}" name="Pesonal Care" dataDxfId="137"/>
    <tableColumn id="12" xr3:uid="{00000000-0010-0000-0600-00000C000000}" name="Groceries" dataDxfId="136"/>
    <tableColumn id="13" xr3:uid="{00000000-0010-0000-0600-00000D000000}" name="Other" dataDxfId="135"/>
    <tableColumn id="14" xr3:uid="{00000000-0010-0000-0600-00000E000000}" name="Column13" dataDxfId="134"/>
    <tableColumn id="15" xr3:uid="{00000000-0010-0000-0600-00000F000000}" name="Column14" dataDxfId="133"/>
    <tableColumn id="16" xr3:uid="{00000000-0010-0000-0600-000010000000}" name="Column15" dataDxfId="132"/>
    <tableColumn id="17" xr3:uid="{00000000-0010-0000-0600-000011000000}" name="Column16" dataDxfId="131"/>
    <tableColumn id="18" xr3:uid="{00000000-0010-0000-0600-000012000000}" name="Column17" dataDxfId="130"/>
    <tableColumn id="19" xr3:uid="{00000000-0010-0000-0600-000013000000}" name="Column18" dataDxfId="129"/>
    <tableColumn id="20" xr3:uid="{00000000-0010-0000-0600-000014000000}" name="Column19" dataDxfId="128"/>
    <tableColumn id="21" xr3:uid="{00000000-0010-0000-0600-000015000000}" name="Column20" dataDxfId="127"/>
    <tableColumn id="22" xr3:uid="{00000000-0010-0000-0600-000016000000}" name="Column21" dataDxfId="126"/>
    <tableColumn id="23" xr3:uid="{00000000-0010-0000-0600-000017000000}" name="Column22" dataDxfId="125"/>
  </tableColumns>
  <tableStyleInfo name="TableStyleLight1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Aug" displayName="Aug" ref="B8:W29" totalsRowShown="0" headerRowDxfId="124" dataDxfId="123">
  <tableColumns count="22">
    <tableColumn id="2" xr3:uid="{00000000-0010-0000-0700-000002000000}" name="Weekend Exp" dataDxfId="122"/>
    <tableColumn id="3" xr3:uid="{00000000-0010-0000-0700-000003000000}" name="Travelling" dataDxfId="121"/>
    <tableColumn id="4" xr3:uid="{00000000-0010-0000-0700-000004000000}" name="Electric Bill" dataDxfId="120"/>
    <tableColumn id="5" xr3:uid="{00000000-0010-0000-0700-000005000000}" name="Mobile/Internet" dataDxfId="119"/>
    <tableColumn id="6" xr3:uid="{00000000-0010-0000-0700-000006000000}" name="Shopping" dataDxfId="118"/>
    <tableColumn id="7" xr3:uid="{00000000-0010-0000-0700-000007000000}" name="Office Food" dataDxfId="117"/>
    <tableColumn id="8" xr3:uid="{00000000-0010-0000-0700-000008000000}" name="Office Extras" dataDxfId="116"/>
    <tableColumn id="9" xr3:uid="{00000000-0010-0000-0700-000009000000}" name="Home" dataDxfId="115"/>
    <tableColumn id="10" xr3:uid="{00000000-0010-0000-0700-00000A000000}" name="Savings" dataDxfId="114"/>
    <tableColumn id="11" xr3:uid="{00000000-0010-0000-0700-00000B000000}" name="Pesonal Care" dataDxfId="113"/>
    <tableColumn id="12" xr3:uid="{00000000-0010-0000-0700-00000C000000}" name="Groceries" dataDxfId="112"/>
    <tableColumn id="13" xr3:uid="{00000000-0010-0000-0700-00000D000000}" name="Other" dataDxfId="111"/>
    <tableColumn id="14" xr3:uid="{00000000-0010-0000-0700-00000E000000}" name="Column13" dataDxfId="110"/>
    <tableColumn id="15" xr3:uid="{00000000-0010-0000-0700-00000F000000}" name="Column14" dataDxfId="109"/>
    <tableColumn id="16" xr3:uid="{00000000-0010-0000-0700-000010000000}" name="Column15" dataDxfId="108"/>
    <tableColumn id="17" xr3:uid="{00000000-0010-0000-0700-000011000000}" name="Column16" dataDxfId="107"/>
    <tableColumn id="18" xr3:uid="{00000000-0010-0000-0700-000012000000}" name="Column17" dataDxfId="106"/>
    <tableColumn id="19" xr3:uid="{00000000-0010-0000-0700-000013000000}" name="Column18" dataDxfId="105"/>
    <tableColumn id="20" xr3:uid="{00000000-0010-0000-0700-000014000000}" name="Column19" dataDxfId="104"/>
    <tableColumn id="21" xr3:uid="{00000000-0010-0000-0700-000015000000}" name="Column20" dataDxfId="103"/>
    <tableColumn id="22" xr3:uid="{00000000-0010-0000-0700-000016000000}" name="Column21" dataDxfId="102"/>
    <tableColumn id="23" xr3:uid="{00000000-0010-0000-0700-000017000000}" name="Column22" dataDxfId="101"/>
  </tableColumns>
  <tableStyleInfo name="TableStyleLight1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Sep" displayName="Sep" ref="B8:W26" totalsRowShown="0" headerRowDxfId="100" dataDxfId="99">
  <tableColumns count="22">
    <tableColumn id="2" xr3:uid="{00000000-0010-0000-0800-000002000000}" name="Weekend Exp" dataDxfId="98"/>
    <tableColumn id="3" xr3:uid="{00000000-0010-0000-0800-000003000000}" name="Travelling" dataDxfId="97"/>
    <tableColumn id="4" xr3:uid="{00000000-0010-0000-0800-000004000000}" name="Electric Bill" dataDxfId="96"/>
    <tableColumn id="5" xr3:uid="{00000000-0010-0000-0800-000005000000}" name="Mobile/Internet" dataDxfId="95"/>
    <tableColumn id="6" xr3:uid="{00000000-0010-0000-0800-000006000000}" name="Shopping" dataDxfId="94"/>
    <tableColumn id="7" xr3:uid="{00000000-0010-0000-0800-000007000000}" name="Office Food" dataDxfId="93"/>
    <tableColumn id="8" xr3:uid="{00000000-0010-0000-0800-000008000000}" name="Office Extras" dataDxfId="92"/>
    <tableColumn id="9" xr3:uid="{00000000-0010-0000-0800-000009000000}" name="Home" dataDxfId="91"/>
    <tableColumn id="10" xr3:uid="{00000000-0010-0000-0800-00000A000000}" name="Savings" dataDxfId="90"/>
    <tableColumn id="11" xr3:uid="{00000000-0010-0000-0800-00000B000000}" name="Pesonal Care" dataDxfId="89"/>
    <tableColumn id="12" xr3:uid="{00000000-0010-0000-0800-00000C000000}" name="Groceries" dataDxfId="88"/>
    <tableColumn id="13" xr3:uid="{00000000-0010-0000-0800-00000D000000}" name="Other" dataDxfId="87"/>
    <tableColumn id="14" xr3:uid="{00000000-0010-0000-0800-00000E000000}" name="Column14" dataDxfId="86"/>
    <tableColumn id="15" xr3:uid="{00000000-0010-0000-0800-00000F000000}" name="Column15" dataDxfId="85"/>
    <tableColumn id="16" xr3:uid="{00000000-0010-0000-0800-000010000000}" name="Column16" dataDxfId="84"/>
    <tableColumn id="17" xr3:uid="{00000000-0010-0000-0800-000011000000}" name="Column17" dataDxfId="83"/>
    <tableColumn id="18" xr3:uid="{00000000-0010-0000-0800-000012000000}" name="Column18" dataDxfId="82"/>
    <tableColumn id="19" xr3:uid="{00000000-0010-0000-0800-000013000000}" name="Column19" dataDxfId="81"/>
    <tableColumn id="20" xr3:uid="{00000000-0010-0000-0800-000014000000}" name="Column20" dataDxfId="80"/>
    <tableColumn id="21" xr3:uid="{00000000-0010-0000-0800-000015000000}" name="Column21" dataDxfId="79"/>
    <tableColumn id="22" xr3:uid="{00000000-0010-0000-0800-000016000000}" name="Column22" dataDxfId="78"/>
    <tableColumn id="23" xr3:uid="{00000000-0010-0000-0800-000017000000}" name="Column23" dataDxfId="7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10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11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12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7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8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002060"/>
  </sheetPr>
  <dimension ref="A1:N3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1" sqref="H11"/>
    </sheetView>
  </sheetViews>
  <sheetFormatPr defaultRowHeight="15" x14ac:dyDescent="0.25"/>
  <cols>
    <col min="1" max="1" width="19.42578125" customWidth="1"/>
    <col min="2" max="6" width="13.7109375" customWidth="1"/>
    <col min="7" max="13" width="11.7109375" customWidth="1"/>
    <col min="14" max="14" width="14.42578125" customWidth="1"/>
  </cols>
  <sheetData>
    <row r="1" spans="1:14" s="71" customFormat="1" ht="23.25" customHeight="1" x14ac:dyDescent="0.25">
      <c r="A1" s="70" t="s">
        <v>48</v>
      </c>
      <c r="B1" s="70" t="s">
        <v>49</v>
      </c>
      <c r="C1" s="70" t="s">
        <v>50</v>
      </c>
      <c r="D1" s="70" t="s">
        <v>51</v>
      </c>
      <c r="E1" s="70" t="s">
        <v>52</v>
      </c>
      <c r="F1" s="70" t="s">
        <v>0</v>
      </c>
      <c r="G1" s="70" t="s">
        <v>53</v>
      </c>
      <c r="H1" s="70" t="s">
        <v>54</v>
      </c>
      <c r="I1" s="70" t="s">
        <v>55</v>
      </c>
      <c r="J1" s="70" t="s">
        <v>56</v>
      </c>
      <c r="K1" s="70" t="s">
        <v>57</v>
      </c>
      <c r="L1" s="70" t="s">
        <v>58</v>
      </c>
      <c r="M1" s="70" t="s">
        <v>59</v>
      </c>
      <c r="N1" s="70" t="s">
        <v>60</v>
      </c>
    </row>
    <row r="2" spans="1:14" ht="19.5" customHeight="1" thickBot="1" x14ac:dyDescent="0.3">
      <c r="A2" s="37"/>
      <c r="B2" s="44">
        <f>SUM(Jan[[#All],[Column1]])</f>
        <v>0</v>
      </c>
      <c r="C2" s="44">
        <f>SUM(feb[[#All],[Weekend Exp]])</f>
        <v>0</v>
      </c>
      <c r="D2" s="44">
        <f>SUM(mar[[#All],[Weekend Exp]])</f>
        <v>0</v>
      </c>
      <c r="E2" s="44">
        <f>SUM(apr[[#All],[Weekend Exp]])</f>
        <v>0</v>
      </c>
      <c r="F2" s="44">
        <f>SUM(may[[#All],[Weekend Exp]])</f>
        <v>0</v>
      </c>
      <c r="G2" s="44">
        <f>SUM(Jun[[#All],[Column4]])</f>
        <v>0</v>
      </c>
      <c r="H2" s="44">
        <f>SUM(Jul[[#All],[Weekend Exp]])</f>
        <v>0</v>
      </c>
      <c r="I2" s="44">
        <f>SUM(Aug[[#All],[Weekend Exp]])</f>
        <v>0</v>
      </c>
      <c r="J2" s="44">
        <f>SUM(Sep[[#All],[Weekend Exp]])</f>
        <v>0</v>
      </c>
      <c r="K2" s="44">
        <f>SUM(Oct[[#All],[Weekend Exp]])</f>
        <v>0</v>
      </c>
      <c r="L2" s="44">
        <f>SUM(Nov[[#All],[Weekend Exp]])</f>
        <v>0</v>
      </c>
      <c r="M2" s="44">
        <f>SUM(Dec[[#All],[Weekend Exp]])</f>
        <v>0</v>
      </c>
      <c r="N2" s="44">
        <f>SUM(B2:M2)</f>
        <v>0</v>
      </c>
    </row>
    <row r="3" spans="1:14" ht="19.5" customHeight="1" thickBot="1" x14ac:dyDescent="0.3">
      <c r="A3" s="37"/>
      <c r="B3" s="44">
        <f>SUM(Jan[[#All],[Travelling]])</f>
        <v>0</v>
      </c>
      <c r="C3" s="44">
        <f>SUM(feb[[#All],[Travelling]])</f>
        <v>0</v>
      </c>
      <c r="D3" s="44">
        <f>SUM(mar[[#All],[Travelling]])</f>
        <v>0</v>
      </c>
      <c r="E3" s="44">
        <f>SUM(apr[[#All],[Travelling]])</f>
        <v>0</v>
      </c>
      <c r="F3" s="44">
        <f>SUM(may[[#All],[Travelling]])</f>
        <v>0</v>
      </c>
      <c r="G3" s="44">
        <f>SUM(Jun[[#All],[Column5]])</f>
        <v>0</v>
      </c>
      <c r="H3" s="44">
        <f>SUM(Jul[[#All],[Travelling]])</f>
        <v>0</v>
      </c>
      <c r="I3" s="44">
        <f>SUM(Aug[[#All],[Travelling]])</f>
        <v>0</v>
      </c>
      <c r="J3" s="44">
        <f>SUM(Sep[[#All],[Travelling]])</f>
        <v>0</v>
      </c>
      <c r="K3" s="44">
        <f>SUM(Oct[[#All],[Travelling]])</f>
        <v>0</v>
      </c>
      <c r="L3" s="44">
        <f>SUM(Nov[[#All],[Travelling]])</f>
        <v>0</v>
      </c>
      <c r="M3" s="44">
        <f>SUM(Dec[[#All],[Travelling]])</f>
        <v>0</v>
      </c>
      <c r="N3" s="44">
        <f t="shared" ref="N3:N13" si="0">SUM(B3:M3)</f>
        <v>0</v>
      </c>
    </row>
    <row r="4" spans="1:14" ht="19.5" customHeight="1" thickBot="1" x14ac:dyDescent="0.3">
      <c r="A4" s="37"/>
      <c r="B4" s="44">
        <f>SUM(Jan[[#All],[Electric Bill]])</f>
        <v>0</v>
      </c>
      <c r="C4" s="44">
        <f>SUM(feb[[#All],[Electric Bill]])</f>
        <v>0</v>
      </c>
      <c r="D4" s="44">
        <f>SUM(mar[[#All],[Electric Bill]])</f>
        <v>0</v>
      </c>
      <c r="E4" s="44">
        <f>SUM(apr[[#All],[Electric Bill]])</f>
        <v>0</v>
      </c>
      <c r="F4" s="44">
        <f>SUM(may[[#All],[Electric Bill]])</f>
        <v>0</v>
      </c>
      <c r="G4" s="44">
        <f>SUM(Jun[[#All],[Column6]])</f>
        <v>0</v>
      </c>
      <c r="H4" s="44">
        <f>SUM(Jul[[#All],[Electric Bill]])</f>
        <v>0</v>
      </c>
      <c r="I4" s="44">
        <f>SUM(Aug[[#All],[Electric Bill]])</f>
        <v>0</v>
      </c>
      <c r="J4" s="44">
        <f>SUM(Sep[[#All],[Electric Bill]])</f>
        <v>0</v>
      </c>
      <c r="K4" s="44">
        <f>SUM(Oct[[#All],[Electric Bill]])</f>
        <v>0</v>
      </c>
      <c r="L4" s="44">
        <f>SUM(Nov[[#All],[Electric Bill]])</f>
        <v>0</v>
      </c>
      <c r="M4" s="44">
        <f>SUM(Dec[[#All],[Electric Bill]])</f>
        <v>0</v>
      </c>
      <c r="N4" s="44">
        <f t="shared" si="0"/>
        <v>0</v>
      </c>
    </row>
    <row r="5" spans="1:14" ht="19.5" customHeight="1" thickBot="1" x14ac:dyDescent="0.3">
      <c r="A5" s="69"/>
      <c r="B5" s="44">
        <f>SUM(Jan[[#All],[Mobile/Internet]])</f>
        <v>0</v>
      </c>
      <c r="C5" s="44">
        <f>SUM(feb[[#All],[Mobile/Internet]])</f>
        <v>0</v>
      </c>
      <c r="D5" s="44">
        <f>SUM(mar[[#All],[Mobile/Internet]])</f>
        <v>0</v>
      </c>
      <c r="E5" s="44">
        <f>SUM(apr[[#All],[Mobile/Internet]])</f>
        <v>0</v>
      </c>
      <c r="F5" s="44">
        <f>SUM(may[[#All],[Mobile/Internet]])</f>
        <v>0</v>
      </c>
      <c r="G5" s="44">
        <f>SUM(Jun[[#All],[Column7]])</f>
        <v>0</v>
      </c>
      <c r="H5" s="44">
        <f>SUM(Jul[[#All],[Mobile/Internet]])</f>
        <v>0</v>
      </c>
      <c r="I5" s="44">
        <f>SUM(Aug[[#All],[Mobile/Internet]])</f>
        <v>0</v>
      </c>
      <c r="J5" s="44">
        <f>SUM(Sep[[#All],[Mobile/Internet]])</f>
        <v>0</v>
      </c>
      <c r="K5" s="44">
        <f>SUM(Oct[[#All],[Mobile/Internet]])</f>
        <v>0</v>
      </c>
      <c r="L5" s="44">
        <f>SUM(Nov[[#All],[Mobile/Internet]])</f>
        <v>0</v>
      </c>
      <c r="M5" s="44">
        <f>SUM(Dec[[#All],[Mobile/Internet]])</f>
        <v>0</v>
      </c>
      <c r="N5" s="44">
        <f t="shared" si="0"/>
        <v>0</v>
      </c>
    </row>
    <row r="6" spans="1:14" ht="19.5" customHeight="1" thickBot="1" x14ac:dyDescent="0.3">
      <c r="A6" s="37"/>
      <c r="B6" s="44">
        <f>SUM(Jan[[#All],[Shopping]])</f>
        <v>0</v>
      </c>
      <c r="C6" s="44">
        <f>SUM(feb[[#All],[Shopping]])</f>
        <v>0</v>
      </c>
      <c r="D6" s="44">
        <f>SUM(mar[[#All],[Shopping]])</f>
        <v>0</v>
      </c>
      <c r="E6" s="44">
        <f>SUM(apr[[#All],[Shopping]])</f>
        <v>0</v>
      </c>
      <c r="F6" s="44">
        <f>SUM(may[[#All],[Shopping]])</f>
        <v>0</v>
      </c>
      <c r="G6" s="44">
        <f>SUM(Jun[[#All],[Column8]])</f>
        <v>0</v>
      </c>
      <c r="H6" s="44">
        <f>SUM(Jul[[#All],[Shopping]])</f>
        <v>0</v>
      </c>
      <c r="I6" s="44">
        <f>SUM(Aug[[#All],[Shopping]])</f>
        <v>0</v>
      </c>
      <c r="J6" s="44">
        <f>SUM(Sep[[#All],[Shopping]])</f>
        <v>0</v>
      </c>
      <c r="K6" s="44">
        <f>SUM(Oct[[#All],[Shopping]])</f>
        <v>0</v>
      </c>
      <c r="L6" s="44">
        <f>SUM(Nov[[#All],[Shopping]])</f>
        <v>0</v>
      </c>
      <c r="M6" s="44">
        <f>SUM(Dec[[#All],[Shopping]])</f>
        <v>0</v>
      </c>
      <c r="N6" s="44">
        <f t="shared" si="0"/>
        <v>0</v>
      </c>
    </row>
    <row r="7" spans="1:14" ht="19.5" customHeight="1" thickBot="1" x14ac:dyDescent="0.3">
      <c r="A7" s="37"/>
      <c r="B7" s="44">
        <f>SUM(Jan[[#All],[Office Food]])</f>
        <v>0</v>
      </c>
      <c r="C7" s="44">
        <f>SUM(feb[[#All],[Office Food]])</f>
        <v>0</v>
      </c>
      <c r="D7" s="44">
        <f>SUM(mar[[#All],[Office Food]])</f>
        <v>0</v>
      </c>
      <c r="E7" s="44">
        <f>SUM(apr[[#All],[Office Food]])</f>
        <v>0</v>
      </c>
      <c r="F7" s="44">
        <f>SUM(may[[#All],[Office Food]])</f>
        <v>0</v>
      </c>
      <c r="G7" s="44">
        <f>SUM(Jun[[#All],[Column9]])</f>
        <v>0</v>
      </c>
      <c r="H7" s="44">
        <f>SUM(Jul[[#All],[Office Food]])</f>
        <v>0</v>
      </c>
      <c r="I7" s="44">
        <f>SUM(Aug[[#All],[Office Food]])</f>
        <v>0</v>
      </c>
      <c r="J7" s="44">
        <f>SUM(Sep[[#All],[Office Food]])</f>
        <v>0</v>
      </c>
      <c r="K7" s="44">
        <f>SUM(Oct[[#All],[Office Food]])</f>
        <v>0</v>
      </c>
      <c r="L7" s="44">
        <f>SUM(Nov[[#All],[Office Food]])</f>
        <v>0</v>
      </c>
      <c r="M7" s="44">
        <f>SUM(Dec[[#All],[Office Food]])</f>
        <v>0</v>
      </c>
      <c r="N7" s="44">
        <f t="shared" si="0"/>
        <v>0</v>
      </c>
    </row>
    <row r="8" spans="1:14" ht="19.5" customHeight="1" thickBot="1" x14ac:dyDescent="0.3">
      <c r="A8" s="37"/>
      <c r="B8" s="44">
        <f>SUM(Jan[[#All],[Office Extras]])</f>
        <v>0</v>
      </c>
      <c r="C8" s="44">
        <f>SUM(feb[[#All],[Office Extras]])</f>
        <v>0</v>
      </c>
      <c r="D8" s="44">
        <f>SUM(mar[[#All],[Office Extras]])</f>
        <v>0</v>
      </c>
      <c r="E8" s="44">
        <f>SUM(apr[[#All],[Office Extras]])</f>
        <v>0</v>
      </c>
      <c r="F8" s="44">
        <f>SUM(may[[#All],[Office Extras]])</f>
        <v>0</v>
      </c>
      <c r="G8" s="44">
        <f>SUM(Jun[[#All],[Column10]])</f>
        <v>0</v>
      </c>
      <c r="H8" s="44">
        <f>SUM(Jul[[#All],[Office Extras]])</f>
        <v>0</v>
      </c>
      <c r="I8" s="44">
        <f>SUM(Aug[[#All],[Office Extras]])</f>
        <v>0</v>
      </c>
      <c r="J8" s="44">
        <f>SUM(Sep[[#All],[Office Extras]])</f>
        <v>0</v>
      </c>
      <c r="K8" s="44">
        <f>SUM(Oct[[#All],[Office Extras]])</f>
        <v>0</v>
      </c>
      <c r="L8" s="44">
        <f>SUM(Nov[[#All],[Office Extras]])</f>
        <v>0</v>
      </c>
      <c r="M8" s="44">
        <f>SUM(Dec[[#All],[Office Extras]])</f>
        <v>0</v>
      </c>
      <c r="N8" s="44">
        <f t="shared" si="0"/>
        <v>0</v>
      </c>
    </row>
    <row r="9" spans="1:14" ht="19.5" customHeight="1" thickBot="1" x14ac:dyDescent="0.3">
      <c r="A9" s="68"/>
      <c r="B9" s="44">
        <f>SUM(Jan[[#All],[Home]])</f>
        <v>0</v>
      </c>
      <c r="C9" s="44">
        <f>SUM(feb[[#All],[Home]])</f>
        <v>0</v>
      </c>
      <c r="D9" s="44">
        <f>SUM(mar[[#All],[Home]])</f>
        <v>0</v>
      </c>
      <c r="E9" s="44">
        <f>SUM(apr[[#All],[Home]])</f>
        <v>0</v>
      </c>
      <c r="F9" s="44">
        <f>SUM(may[[#All],[Home]])</f>
        <v>0</v>
      </c>
      <c r="G9" s="44">
        <f>SUM(Jun[[#All],[Column11]])</f>
        <v>0</v>
      </c>
      <c r="H9" s="44">
        <f>SUM(Jul[[#All],[Home]])</f>
        <v>0</v>
      </c>
      <c r="I9" s="44">
        <f>SUM(Aug[[#All],[Home]])</f>
        <v>0</v>
      </c>
      <c r="J9" s="44">
        <f>SUM(Sep[[#All],[Home]])</f>
        <v>0</v>
      </c>
      <c r="K9" s="44">
        <f>SUM(Oct[[#All],[Home]])</f>
        <v>0</v>
      </c>
      <c r="L9" s="44">
        <f>SUM(Nov[[#All],[Home]])</f>
        <v>0</v>
      </c>
      <c r="M9" s="44">
        <f>SUM(Dec[[#All],[Home]])</f>
        <v>0</v>
      </c>
      <c r="N9" s="44">
        <f t="shared" si="0"/>
        <v>0</v>
      </c>
    </row>
    <row r="10" spans="1:14" ht="19.5" customHeight="1" thickBot="1" x14ac:dyDescent="0.3">
      <c r="A10" s="37"/>
      <c r="B10" s="44">
        <f>SUM(Jan[[#All],[Savings]])</f>
        <v>0</v>
      </c>
      <c r="C10" s="44">
        <f>SUM(feb[[#All],[Savings]])</f>
        <v>0</v>
      </c>
      <c r="D10" s="44">
        <f>SUM(mar[[#All],[Savings]])</f>
        <v>0</v>
      </c>
      <c r="E10" s="44">
        <f>SUM(apr[[#All],[Savings]])</f>
        <v>0</v>
      </c>
      <c r="F10" s="44">
        <f>SUM(may[[#All],[Savings]])</f>
        <v>0</v>
      </c>
      <c r="G10" s="44">
        <f>SUM(Jun[[#All],[Column12]])</f>
        <v>0</v>
      </c>
      <c r="H10" s="44">
        <f>SUM(Jul[[#All],[Savings]])</f>
        <v>0</v>
      </c>
      <c r="I10" s="44">
        <f>SUM(Aug[[#All],[Savings]])</f>
        <v>0</v>
      </c>
      <c r="J10" s="44">
        <f>SUM(Sep[[#All],[Savings]])</f>
        <v>0</v>
      </c>
      <c r="K10" s="44">
        <f>SUM(Oct[[#All],[Savings]])</f>
        <v>0</v>
      </c>
      <c r="L10" s="44">
        <f>SUM(Nov[[#All],[Savings]])</f>
        <v>0</v>
      </c>
      <c r="M10" s="44">
        <f>SUM(Dec[[#All],[Savings]])</f>
        <v>0</v>
      </c>
      <c r="N10" s="44">
        <f t="shared" si="0"/>
        <v>0</v>
      </c>
    </row>
    <row r="11" spans="1:14" ht="19.5" customHeight="1" thickBot="1" x14ac:dyDescent="0.3">
      <c r="A11" s="37"/>
      <c r="B11" s="44">
        <f>SUM(Jan[[#All],[Pesonal Care]])</f>
        <v>0</v>
      </c>
      <c r="C11" s="44">
        <f>SUM(feb[[#All],[Pesonal Care]])</f>
        <v>0</v>
      </c>
      <c r="D11" s="44">
        <f>SUM(mar[[#All],[Pesonal Care]])</f>
        <v>0</v>
      </c>
      <c r="E11" s="44">
        <f>SUM(apr[[#All],[Pesonal Care]])</f>
        <v>0</v>
      </c>
      <c r="F11" s="44">
        <f>SUM(may[[#All],[Pesonal Care]])</f>
        <v>0</v>
      </c>
      <c r="G11" s="44">
        <f>SUM(Jun[[#All],[Column3]])</f>
        <v>0</v>
      </c>
      <c r="H11" s="44">
        <f>SUM(Jul[[#All],[Pesonal Care]])</f>
        <v>0</v>
      </c>
      <c r="I11" s="44">
        <f>SUM(Aug[[#All],[Pesonal Care]])</f>
        <v>0</v>
      </c>
      <c r="J11" s="44">
        <f>SUM(Sep[[#All],[Pesonal Care]])</f>
        <v>0</v>
      </c>
      <c r="K11" s="44">
        <f>SUM(Oct[[#All],[Pesonal Care]])</f>
        <v>0</v>
      </c>
      <c r="L11" s="44">
        <f>SUM(Nov[[#All],[Pesonal Care]])</f>
        <v>0</v>
      </c>
      <c r="M11" s="44">
        <f>SUM(Dec[[#All],[Pesonal Care]])</f>
        <v>0</v>
      </c>
      <c r="N11" s="44">
        <f t="shared" si="0"/>
        <v>0</v>
      </c>
    </row>
    <row r="12" spans="1:14" ht="19.5" customHeight="1" thickBot="1" x14ac:dyDescent="0.3">
      <c r="A12" s="37"/>
      <c r="B12" s="44">
        <f>SUM(Jan[[#All],[Groceries]])</f>
        <v>0</v>
      </c>
      <c r="C12" s="44">
        <f>SUM(feb[[#All],[Groceries]])</f>
        <v>0</v>
      </c>
      <c r="D12" s="44">
        <f>SUM(mar[[#All],[Groceries]])</f>
        <v>0</v>
      </c>
      <c r="E12" s="44">
        <f>SUM(apr[[#All],[Groceries]])</f>
        <v>0</v>
      </c>
      <c r="F12" s="44">
        <f>SUM(may[[#All],[Groceries]])</f>
        <v>0</v>
      </c>
      <c r="G12" s="44">
        <f>SUM(Jun[[#All],[Column2]])</f>
        <v>0</v>
      </c>
      <c r="H12" s="44">
        <f>SUM(Jul[[#All],[Groceries]])</f>
        <v>0</v>
      </c>
      <c r="I12" s="44">
        <f>SUM(Aug[[#All],[Groceries]])</f>
        <v>0</v>
      </c>
      <c r="J12" s="44">
        <f>SUM(Sep[[#All],[Groceries]])</f>
        <v>0</v>
      </c>
      <c r="K12" s="44">
        <f>SUM(Oct[[#All],[Groceries]])</f>
        <v>0</v>
      </c>
      <c r="L12" s="44">
        <f>SUM(Nov[[#All],[Groceries]])</f>
        <v>0</v>
      </c>
      <c r="M12" s="44">
        <f>SUM(Dec[[#All],[Groceries]])</f>
        <v>0</v>
      </c>
      <c r="N12" s="44">
        <f t="shared" si="0"/>
        <v>0</v>
      </c>
    </row>
    <row r="13" spans="1:14" ht="19.5" customHeight="1" thickBot="1" x14ac:dyDescent="0.3">
      <c r="A13" s="37"/>
      <c r="B13" s="44">
        <f>SUM(Jan[[#All],[Other]])</f>
        <v>0</v>
      </c>
      <c r="C13" s="44">
        <f>SUM(feb[[#All],[Other]])</f>
        <v>0</v>
      </c>
      <c r="D13" s="44">
        <f>SUM(mar[[#All],[Other]])</f>
        <v>0</v>
      </c>
      <c r="E13" s="44">
        <f>SUM(apr[[#All],[Other]])</f>
        <v>0</v>
      </c>
      <c r="F13" s="44">
        <f>SUM(may[[#All],[Other]])</f>
        <v>0</v>
      </c>
      <c r="G13" s="44">
        <f>SUM(Jun[[#All],[Column1]])</f>
        <v>0</v>
      </c>
      <c r="H13" s="44">
        <f>SUM(Jul[[#All],[Other]])</f>
        <v>0</v>
      </c>
      <c r="I13" s="44">
        <f>SUM(Aug[[#All],[Other]])</f>
        <v>0</v>
      </c>
      <c r="J13" s="44">
        <f>SUM(Sep[[#All],[Other]])</f>
        <v>0</v>
      </c>
      <c r="K13" s="44">
        <f>SUM(Oct[[#All],[Other]])</f>
        <v>0</v>
      </c>
      <c r="L13" s="44">
        <f>SUM(Nov[[#All],[Other]])</f>
        <v>0</v>
      </c>
      <c r="M13" s="44">
        <f>SUM(Dec[[#All],[Other]])</f>
        <v>0</v>
      </c>
      <c r="N13" s="44">
        <f t="shared" si="0"/>
        <v>0</v>
      </c>
    </row>
    <row r="14" spans="1:14" ht="19.5" hidden="1" customHeight="1" thickBot="1" x14ac:dyDescent="0.3">
      <c r="A14" s="6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</row>
    <row r="15" spans="1:14" ht="19.5" hidden="1" customHeight="1" thickBot="1" x14ac:dyDescent="0.3">
      <c r="A15" s="8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</row>
    <row r="16" spans="1:14" ht="19.5" hidden="1" customHeight="1" thickBot="1" x14ac:dyDescent="0.3">
      <c r="A16" s="6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</row>
    <row r="17" spans="1:14" ht="19.5" hidden="1" customHeight="1" thickBot="1" x14ac:dyDescent="0.3">
      <c r="A17" s="5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</row>
    <row r="18" spans="1:14" ht="19.5" hidden="1" customHeight="1" thickBot="1" x14ac:dyDescent="0.3">
      <c r="A18" s="6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</row>
    <row r="19" spans="1:14" ht="19.5" hidden="1" customHeight="1" thickBot="1" x14ac:dyDescent="0.3">
      <c r="A19" s="5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</row>
    <row r="20" spans="1:14" ht="20.25" hidden="1" customHeight="1" thickBot="1" x14ac:dyDescent="0.3">
      <c r="A20" s="7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</row>
    <row r="21" spans="1:14" ht="20.25" hidden="1" customHeight="1" thickBot="1" x14ac:dyDescent="0.3">
      <c r="A21" s="5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</row>
    <row r="22" spans="1:14" ht="20.25" hidden="1" customHeight="1" thickBot="1" x14ac:dyDescent="0.3">
      <c r="A22" s="7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</row>
    <row r="23" spans="1:14" ht="20.25" hidden="1" customHeight="1" thickBot="1" x14ac:dyDescent="0.3">
      <c r="A23" s="8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</row>
    <row r="24" spans="1:14" hidden="1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1:14" hidden="1" x14ac:dyDescent="0.25"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</row>
    <row r="26" spans="1:14" ht="30.75" customHeight="1" x14ac:dyDescent="0.35">
      <c r="A26" s="67" t="s">
        <v>61</v>
      </c>
      <c r="B26" s="46">
        <f t="shared" ref="B26:M26" si="1">SUM(B2:B23)</f>
        <v>0</v>
      </c>
      <c r="C26" s="46">
        <f t="shared" si="1"/>
        <v>0</v>
      </c>
      <c r="D26" s="46">
        <f t="shared" si="1"/>
        <v>0</v>
      </c>
      <c r="E26" s="46">
        <f t="shared" si="1"/>
        <v>0</v>
      </c>
      <c r="F26" s="46">
        <f t="shared" si="1"/>
        <v>0</v>
      </c>
      <c r="G26" s="46">
        <f t="shared" si="1"/>
        <v>0</v>
      </c>
      <c r="H26" s="46">
        <f t="shared" si="1"/>
        <v>0</v>
      </c>
      <c r="I26" s="46">
        <f t="shared" si="1"/>
        <v>0</v>
      </c>
      <c r="J26" s="46">
        <f t="shared" si="1"/>
        <v>0</v>
      </c>
      <c r="K26" s="46">
        <f t="shared" si="1"/>
        <v>0</v>
      </c>
      <c r="L26" s="46">
        <f t="shared" si="1"/>
        <v>0</v>
      </c>
      <c r="M26" s="46">
        <f t="shared" si="1"/>
        <v>0</v>
      </c>
      <c r="N26" s="46">
        <f>SUM(B26:M26)</f>
        <v>0</v>
      </c>
    </row>
    <row r="27" spans="1:14" ht="29.25" customHeight="1" x14ac:dyDescent="0.35">
      <c r="A27" s="66" t="s">
        <v>62</v>
      </c>
      <c r="B27" s="47">
        <f>Jan!D5</f>
        <v>0</v>
      </c>
      <c r="C27" s="47">
        <f>Feb!D5</f>
        <v>0</v>
      </c>
      <c r="D27" s="47">
        <f>Mar!D5</f>
        <v>0</v>
      </c>
      <c r="E27" s="47">
        <f>Apr!D5</f>
        <v>0</v>
      </c>
      <c r="F27" s="47">
        <f>May!D5</f>
        <v>0</v>
      </c>
      <c r="G27" s="47">
        <f>Jun!D5</f>
        <v>0</v>
      </c>
      <c r="H27" s="47">
        <f>Jul!D5</f>
        <v>0</v>
      </c>
      <c r="I27" s="47">
        <f>Aug!D5</f>
        <v>0</v>
      </c>
      <c r="J27" s="47">
        <f>Sep!D5</f>
        <v>0</v>
      </c>
      <c r="K27" s="47">
        <f>Oct!D5</f>
        <v>0</v>
      </c>
      <c r="L27" s="47">
        <f>Nov!D5</f>
        <v>0</v>
      </c>
      <c r="M27" s="47">
        <f>Dec!D5</f>
        <v>0</v>
      </c>
      <c r="N27" s="47">
        <f>SUM(B27:M27)</f>
        <v>0</v>
      </c>
    </row>
    <row r="28" spans="1:14" x14ac:dyDescent="0.25">
      <c r="A28" s="54" t="s">
        <v>63</v>
      </c>
      <c r="B28" s="54" t="s">
        <v>5</v>
      </c>
      <c r="C28" s="63"/>
    </row>
    <row r="29" spans="1:14" ht="15.75" x14ac:dyDescent="0.25">
      <c r="A29" s="52">
        <f>SUM(B27:M27)</f>
        <v>0</v>
      </c>
      <c r="B29" s="52">
        <f>A29-A32</f>
        <v>0</v>
      </c>
    </row>
    <row r="30" spans="1:14" ht="15.75" x14ac:dyDescent="0.25">
      <c r="A30" s="55" t="s">
        <v>22</v>
      </c>
      <c r="B30" s="55" t="s">
        <v>6</v>
      </c>
    </row>
    <row r="31" spans="1:14" x14ac:dyDescent="0.25">
      <c r="A31" s="32"/>
    </row>
    <row r="32" spans="1:14" ht="15.75" x14ac:dyDescent="0.25">
      <c r="A32" s="53">
        <f>SUM(B26:M26)</f>
        <v>0</v>
      </c>
    </row>
    <row r="33" spans="1:1" ht="15.75" x14ac:dyDescent="0.25">
      <c r="A33" s="56" t="s">
        <v>21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W26"/>
  <sheetViews>
    <sheetView showGridLines="0" workbookViewId="0">
      <selection activeCell="A2" sqref="A2"/>
    </sheetView>
  </sheetViews>
  <sheetFormatPr defaultRowHeight="15" x14ac:dyDescent="0.25"/>
  <cols>
    <col min="1" max="1" width="26.285156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5.7109375" style="11" customWidth="1"/>
    <col min="6" max="6" width="11.140625" style="11" customWidth="1"/>
    <col min="7" max="8" width="13.7109375" style="11" bestFit="1" customWidth="1"/>
    <col min="9" max="10" width="11.5703125" style="11" customWidth="1"/>
    <col min="11" max="11" width="14" style="11" bestFit="1" customWidth="1"/>
    <col min="12" max="12" width="12.5703125" style="1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15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9"/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SUM(Sep[])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48">
        <f>SUM(Sep[[#All],[Weekend Exp]])</f>
        <v>0</v>
      </c>
      <c r="C7" s="48">
        <f>SUM(Sep[[#All],[Travelling]])</f>
        <v>0</v>
      </c>
      <c r="D7" s="48">
        <f>SUM(Sep[[#All],[Electric Bill]])</f>
        <v>0</v>
      </c>
      <c r="E7" s="48">
        <f>SUM(Sep[[#All],[Mobile/Internet]])</f>
        <v>0</v>
      </c>
      <c r="F7" s="48">
        <f>SUM(Sep[[#All],[Shopping]])</f>
        <v>0</v>
      </c>
      <c r="G7" s="48">
        <f>SUM(Sep[[#All],[Office Food]])</f>
        <v>0</v>
      </c>
      <c r="H7" s="48">
        <f>SUM(Sep[[#All],[Office Extras]])</f>
        <v>0</v>
      </c>
      <c r="I7" s="48">
        <f>SUM(Sep[[#All],[Home]])</f>
        <v>0</v>
      </c>
      <c r="J7" s="48">
        <f>SUM(Sep[[#All],[Savings]])</f>
        <v>0</v>
      </c>
      <c r="K7" s="48">
        <f>SUM(Sep[[#All],[Pesonal Care]])</f>
        <v>0</v>
      </c>
      <c r="L7" s="48">
        <f>SUM(Sep[[#All],[Groceries]])</f>
        <v>0</v>
      </c>
      <c r="M7" s="48">
        <f>SUM(Sep[[#All],[Other]])</f>
        <v>0</v>
      </c>
      <c r="N7" s="48">
        <f>SUM(Sep[[#All],[Column14]])</f>
        <v>0</v>
      </c>
      <c r="O7" s="48">
        <f>SUM(Sep[[#All],[Column15]])</f>
        <v>0</v>
      </c>
      <c r="P7" s="48">
        <f>SUM(Sep[[#All],[Column16]])</f>
        <v>0</v>
      </c>
      <c r="Q7" s="48">
        <f>SUM(Sep[[#All],[Column17]])</f>
        <v>0</v>
      </c>
      <c r="R7" s="48">
        <f>SUM(Sep[[#All],[Column18]])</f>
        <v>0</v>
      </c>
      <c r="S7" s="13">
        <f>SUM(Sep[[#All],[Column19]])</f>
        <v>0</v>
      </c>
      <c r="T7" s="13">
        <f>SUM(Sep[[#All],[Column20]])</f>
        <v>0</v>
      </c>
      <c r="U7" s="13">
        <f>SUM(Sep[[#All],[Column21]])</f>
        <v>0</v>
      </c>
      <c r="V7" s="13">
        <f>SUM(Sep[[#All],[Column22]])</f>
        <v>0</v>
      </c>
      <c r="W7" s="13">
        <f>SUM(Sep[[#All],[Column23]])</f>
        <v>0</v>
      </c>
    </row>
    <row r="8" spans="1:23" ht="24" customHeight="1" thickBot="1" x14ac:dyDescent="0.3">
      <c r="A8" s="40" t="s">
        <v>42</v>
      </c>
      <c r="B8" s="11" t="s">
        <v>35</v>
      </c>
      <c r="C8" s="37" t="s">
        <v>47</v>
      </c>
      <c r="D8" s="11" t="s">
        <v>36</v>
      </c>
      <c r="E8" s="50" t="s">
        <v>45</v>
      </c>
      <c r="F8" s="37" t="s">
        <v>46</v>
      </c>
      <c r="G8" s="11" t="s">
        <v>37</v>
      </c>
      <c r="H8" s="11" t="s">
        <v>38</v>
      </c>
      <c r="I8" s="38" t="s">
        <v>39</v>
      </c>
      <c r="J8" s="38" t="s">
        <v>6</v>
      </c>
      <c r="K8" s="11" t="s">
        <v>40</v>
      </c>
      <c r="L8" s="11" t="s">
        <v>7</v>
      </c>
      <c r="M8" s="11" t="s">
        <v>20</v>
      </c>
      <c r="N8" s="11" t="s">
        <v>25</v>
      </c>
      <c r="O8" s="11" t="s">
        <v>26</v>
      </c>
      <c r="P8" s="11" t="s">
        <v>27</v>
      </c>
      <c r="Q8" s="11" t="s">
        <v>28</v>
      </c>
      <c r="R8" s="11" t="s">
        <v>29</v>
      </c>
      <c r="S8" s="11" t="s">
        <v>30</v>
      </c>
      <c r="T8" s="11" t="s">
        <v>31</v>
      </c>
      <c r="U8" s="11" t="s">
        <v>32</v>
      </c>
      <c r="V8" s="11" t="s">
        <v>33</v>
      </c>
      <c r="W8" s="11" t="s">
        <v>41</v>
      </c>
    </row>
    <row r="9" spans="1:23" x14ac:dyDescent="0.25">
      <c r="A9" s="4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3" x14ac:dyDescent="0.25">
      <c r="A10" s="65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3" x14ac:dyDescent="0.25">
      <c r="A11" s="41"/>
      <c r="B11" s="6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spans="1:23" x14ac:dyDescent="0.25">
      <c r="A12" s="65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spans="1:23" x14ac:dyDescent="0.25">
      <c r="A13" s="41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spans="1:23" x14ac:dyDescent="0.25">
      <c r="A14" s="6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spans="1:23" x14ac:dyDescent="0.25">
      <c r="A15" s="4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spans="1:23" x14ac:dyDescent="0.25">
      <c r="A16" s="6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spans="1:23" x14ac:dyDescent="0.25">
      <c r="A17" s="41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62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23" x14ac:dyDescent="0.25">
      <c r="A19" s="59"/>
    </row>
    <row r="20" spans="1:23" x14ac:dyDescent="0.25">
      <c r="A20" s="60"/>
    </row>
    <row r="21" spans="1:23" x14ac:dyDescent="0.25">
      <c r="A21" s="59"/>
    </row>
    <row r="22" spans="1:23" x14ac:dyDescent="0.25">
      <c r="A22" s="60"/>
    </row>
    <row r="23" spans="1:23" x14ac:dyDescent="0.25">
      <c r="A23" s="59"/>
    </row>
    <row r="24" spans="1:23" x14ac:dyDescent="0.25">
      <c r="A24" s="60"/>
    </row>
    <row r="25" spans="1:23" x14ac:dyDescent="0.25">
      <c r="A25" s="59"/>
    </row>
    <row r="26" spans="1:23" x14ac:dyDescent="0.25">
      <c r="A26" s="60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W26"/>
  <sheetViews>
    <sheetView showGridLines="0" workbookViewId="0">
      <selection sqref="A1:B1"/>
    </sheetView>
  </sheetViews>
  <sheetFormatPr defaultRowHeight="15" x14ac:dyDescent="0.25"/>
  <cols>
    <col min="1" max="1" width="26.285156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5.7109375" style="1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1.140625" style="1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16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9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SUM(Oct[])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14" customFormat="1" x14ac:dyDescent="0.25">
      <c r="A7" s="11"/>
      <c r="B7" s="13">
        <f>SUM(Oct[[#All],[Weekend Exp]])</f>
        <v>0</v>
      </c>
      <c r="C7" s="13">
        <f>SUM(Oct[[#All],[Travelling]])</f>
        <v>0</v>
      </c>
      <c r="D7" s="13">
        <f>SUM(Oct[[#All],[Electric Bill]])</f>
        <v>0</v>
      </c>
      <c r="E7" s="13">
        <f>SUM(Oct[[#All],[Mobile/Internet]])</f>
        <v>0</v>
      </c>
      <c r="F7" s="13">
        <f>SUM(Oct[[#All],[Shopping]])</f>
        <v>0</v>
      </c>
      <c r="G7" s="13">
        <f>SUM(Oct[[#All],[Office Food]])</f>
        <v>0</v>
      </c>
      <c r="H7" s="13">
        <f>SUM(Oct[[#All],[Office Extras]])</f>
        <v>0</v>
      </c>
      <c r="I7" s="13">
        <f>SUM(Oct[[#All],[Home]])</f>
        <v>0</v>
      </c>
      <c r="J7" s="13">
        <f>SUM(Oct[[#All],[Savings]])</f>
        <v>0</v>
      </c>
      <c r="K7" s="13">
        <f>SUM(Oct[[#All],[Pesonal Care]])</f>
        <v>0</v>
      </c>
      <c r="L7" s="13">
        <f>SUM(Oct[[#All],[Groceries]])</f>
        <v>0</v>
      </c>
      <c r="M7" s="13">
        <f>SUM(Oct[[#All],[Other]])</f>
        <v>0</v>
      </c>
      <c r="N7" s="13">
        <f>SUM(Oct[[#All],[Column13]])</f>
        <v>0</v>
      </c>
      <c r="O7" s="13">
        <f>SUM(Oct[[#All],[Column14]])</f>
        <v>0</v>
      </c>
      <c r="P7" s="13">
        <f>SUM(Oct[[#All],[Column15]])</f>
        <v>0</v>
      </c>
      <c r="Q7" s="13">
        <f>SUM(Oct[[#All],[Column16]])</f>
        <v>0</v>
      </c>
      <c r="R7" s="13">
        <f>SUM(Oct[[#All],[Column17]])</f>
        <v>0</v>
      </c>
      <c r="S7" s="13">
        <f>SUM(Oct[[#All],[Column18]])</f>
        <v>0</v>
      </c>
      <c r="T7" s="13">
        <f>SUM(Oct[[#All],[Column19]])</f>
        <v>0</v>
      </c>
      <c r="U7" s="13">
        <f>SUM(Oct[[#All],[Column20]])</f>
        <v>0</v>
      </c>
      <c r="V7" s="13">
        <f>SUM(Oct[[#All],[Column21]])</f>
        <v>0</v>
      </c>
      <c r="W7" s="13">
        <f>SUM(Oct[[#All],[Column22]])</f>
        <v>0</v>
      </c>
    </row>
    <row r="8" spans="1:23" ht="24" customHeight="1" thickBot="1" x14ac:dyDescent="0.3">
      <c r="A8" s="40" t="s">
        <v>42</v>
      </c>
      <c r="B8" s="11" t="s">
        <v>35</v>
      </c>
      <c r="C8" s="37" t="s">
        <v>47</v>
      </c>
      <c r="D8" s="11" t="s">
        <v>36</v>
      </c>
      <c r="E8" s="50" t="s">
        <v>45</v>
      </c>
      <c r="F8" s="37" t="s">
        <v>46</v>
      </c>
      <c r="G8" s="11" t="s">
        <v>37</v>
      </c>
      <c r="H8" s="11" t="s">
        <v>38</v>
      </c>
      <c r="I8" s="38" t="s">
        <v>39</v>
      </c>
      <c r="J8" s="38" t="s">
        <v>6</v>
      </c>
      <c r="K8" s="11" t="s">
        <v>40</v>
      </c>
      <c r="L8" s="11" t="s">
        <v>7</v>
      </c>
      <c r="M8" s="11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65"/>
    </row>
    <row r="11" spans="1:23" x14ac:dyDescent="0.25">
      <c r="A11" s="41"/>
    </row>
    <row r="12" spans="1:23" x14ac:dyDescent="0.25">
      <c r="A12" s="41"/>
    </row>
    <row r="13" spans="1:23" x14ac:dyDescent="0.25">
      <c r="A13" s="65"/>
    </row>
    <row r="14" spans="1:23" x14ac:dyDescent="0.25">
      <c r="A14" s="41"/>
    </row>
    <row r="15" spans="1:23" x14ac:dyDescent="0.25">
      <c r="A15" s="41"/>
    </row>
    <row r="16" spans="1:23" x14ac:dyDescent="0.25">
      <c r="A16" s="65"/>
    </row>
    <row r="17" spans="1:23" x14ac:dyDescent="0.25">
      <c r="A17" s="41"/>
    </row>
    <row r="18" spans="1:23" x14ac:dyDescent="0.25">
      <c r="A18" s="41"/>
    </row>
    <row r="19" spans="1:23" x14ac:dyDescent="0.25">
      <c r="A19" s="65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1:W26"/>
  <sheetViews>
    <sheetView showGridLines="0" workbookViewId="0">
      <selection sqref="A1:B1"/>
    </sheetView>
  </sheetViews>
  <sheetFormatPr defaultRowHeight="15" x14ac:dyDescent="0.25"/>
  <cols>
    <col min="1" max="1" width="27.1406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5.7109375" style="1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17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9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SUM(Nov[])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14" customFormat="1" x14ac:dyDescent="0.25">
      <c r="A7" s="11"/>
      <c r="B7" s="13">
        <f>SUM(Nov[[#All],[Weekend Exp]])</f>
        <v>0</v>
      </c>
      <c r="C7" s="13">
        <f>SUM(Nov[[#All],[Travelling]])</f>
        <v>0</v>
      </c>
      <c r="D7" s="13">
        <f>SUM(Nov[[#All],[Electric Bill]])</f>
        <v>0</v>
      </c>
      <c r="E7" s="13">
        <f>SUM(Nov[[#All],[Mobile/Internet]])</f>
        <v>0</v>
      </c>
      <c r="F7" s="13">
        <f>SUM(Nov[[#All],[Shopping]])</f>
        <v>0</v>
      </c>
      <c r="G7" s="13">
        <f>SUM(Nov[[#All],[Office Food]])</f>
        <v>0</v>
      </c>
      <c r="H7" s="13">
        <f>SUM(Nov[[#All],[Office Extras]])</f>
        <v>0</v>
      </c>
      <c r="I7" s="13">
        <f>SUM(Nov[[#All],[Home]])</f>
        <v>0</v>
      </c>
      <c r="J7" s="13">
        <f>SUM(Nov[[#All],[Savings]])</f>
        <v>0</v>
      </c>
      <c r="K7" s="13">
        <f>SUM(Nov[[#All],[Pesonal Care]])</f>
        <v>0</v>
      </c>
      <c r="L7" s="13">
        <f>SUM(Nov[[#All],[Groceries]])</f>
        <v>0</v>
      </c>
      <c r="M7" s="13">
        <f>SUM(Nov[[#All],[Other]])</f>
        <v>0</v>
      </c>
      <c r="N7" s="13">
        <f>SUM(Nov[[#All],[Column13]])</f>
        <v>0</v>
      </c>
      <c r="O7" s="13">
        <f>SUM(Nov[[#All],[Column14]])</f>
        <v>0</v>
      </c>
      <c r="P7" s="13">
        <f>SUM(Nov[[#All],[Column15]])</f>
        <v>0</v>
      </c>
      <c r="Q7" s="13">
        <f>SUM(Nov[[#All],[Column16]])</f>
        <v>0</v>
      </c>
      <c r="R7" s="13">
        <f>SUM(Nov[[#All],[Column17]])</f>
        <v>0</v>
      </c>
      <c r="S7" s="13">
        <f>SUM(Nov[[#All],[Column18]])</f>
        <v>0</v>
      </c>
      <c r="T7" s="13">
        <f>SUM(Nov[[#All],[Column19]])</f>
        <v>0</v>
      </c>
      <c r="U7" s="13">
        <f>SUM(Nov[[#All],[Column20]])</f>
        <v>0</v>
      </c>
      <c r="V7" s="13">
        <f>SUM(Nov[[#All],[Column21]])</f>
        <v>0</v>
      </c>
      <c r="W7" s="13">
        <f>SUM(Nov[[#All],[Column22]])</f>
        <v>0</v>
      </c>
    </row>
    <row r="8" spans="1:23" ht="24" customHeight="1" thickBot="1" x14ac:dyDescent="0.3">
      <c r="A8" s="40" t="s">
        <v>42</v>
      </c>
      <c r="B8" s="11" t="s">
        <v>35</v>
      </c>
      <c r="C8" s="37" t="s">
        <v>47</v>
      </c>
      <c r="D8" s="11" t="s">
        <v>36</v>
      </c>
      <c r="E8" s="50" t="s">
        <v>45</v>
      </c>
      <c r="F8" s="37" t="s">
        <v>46</v>
      </c>
      <c r="G8" s="11" t="s">
        <v>37</v>
      </c>
      <c r="H8" s="11" t="s">
        <v>38</v>
      </c>
      <c r="I8" s="38" t="s">
        <v>39</v>
      </c>
      <c r="J8" s="11" t="s">
        <v>6</v>
      </c>
      <c r="K8" s="11" t="s">
        <v>40</v>
      </c>
      <c r="L8" s="11" t="s">
        <v>7</v>
      </c>
      <c r="M8" s="11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W26"/>
  <sheetViews>
    <sheetView showGridLines="0" workbookViewId="0">
      <selection sqref="A1:B1"/>
    </sheetView>
  </sheetViews>
  <sheetFormatPr defaultRowHeight="15" x14ac:dyDescent="0.25"/>
  <cols>
    <col min="1" max="1" width="25.5703125" style="11" bestFit="1" customWidth="1"/>
    <col min="2" max="2" width="15.28515625" style="1" customWidth="1"/>
    <col min="3" max="3" width="11.140625" style="1" customWidth="1"/>
    <col min="4" max="4" width="12.140625" style="1" bestFit="1" customWidth="1"/>
    <col min="5" max="5" width="15.7109375" style="1" customWidth="1"/>
    <col min="6" max="6" width="11.140625" style="1" customWidth="1"/>
    <col min="7" max="8" width="13.7109375" style="1" bestFit="1" customWidth="1"/>
    <col min="9" max="9" width="11.5703125" style="1" customWidth="1"/>
    <col min="10" max="10" width="13.5703125" style="1" customWidth="1"/>
    <col min="11" max="11" width="14" style="1" bestFit="1" customWidth="1"/>
    <col min="12" max="12" width="15.140625" style="1" bestFit="1" customWidth="1"/>
    <col min="13" max="15" width="11.140625" style="1" customWidth="1"/>
    <col min="16" max="16" width="12.7109375" style="1" customWidth="1"/>
    <col min="17" max="17" width="11.140625" style="1" customWidth="1"/>
    <col min="18" max="18" width="18.28515625" style="1" customWidth="1"/>
    <col min="19" max="19" width="11.140625" style="1" customWidth="1"/>
    <col min="20" max="20" width="17.28515625" style="1" customWidth="1"/>
    <col min="21" max="21" width="11.140625" style="1" customWidth="1"/>
    <col min="22" max="23" width="11" style="1" customWidth="1"/>
  </cols>
  <sheetData>
    <row r="1" spans="1:23" ht="18" customHeight="1" x14ac:dyDescent="0.25">
      <c r="A1" s="75" t="s">
        <v>23</v>
      </c>
      <c r="B1" s="76"/>
      <c r="C1" s="21"/>
      <c r="D1" s="79" t="s">
        <v>18</v>
      </c>
      <c r="E1" s="79"/>
      <c r="F1" s="79"/>
      <c r="G1" s="21"/>
      <c r="H1" s="21"/>
      <c r="I1" s="21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 ht="18" customHeight="1" x14ac:dyDescent="0.25">
      <c r="A2" s="39" t="s">
        <v>34</v>
      </c>
      <c r="B2" s="35"/>
      <c r="C2" s="21"/>
      <c r="D2" s="79"/>
      <c r="E2" s="79"/>
      <c r="F2" s="79"/>
      <c r="G2" s="21"/>
      <c r="H2" s="21"/>
      <c r="I2" s="21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</row>
    <row r="3" spans="1:23" ht="18" customHeight="1" x14ac:dyDescent="0.25">
      <c r="A3" s="33"/>
      <c r="B3" s="35"/>
      <c r="C3" s="21"/>
      <c r="D3" s="21"/>
      <c r="E3" s="21"/>
      <c r="F3" s="21"/>
      <c r="G3" s="21"/>
      <c r="H3" s="21"/>
      <c r="I3" s="21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</row>
    <row r="4" spans="1:23" ht="18" customHeight="1" x14ac:dyDescent="0.35">
      <c r="A4" s="34"/>
      <c r="B4" s="36"/>
      <c r="C4" s="17"/>
      <c r="D4" s="80">
        <f>SUM(Dec[])</f>
        <v>0</v>
      </c>
      <c r="E4" s="80"/>
      <c r="F4" s="80"/>
      <c r="G4" s="28" t="s">
        <v>21</v>
      </c>
      <c r="H4" s="25"/>
      <c r="I4" s="17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8" customHeight="1" x14ac:dyDescent="0.35">
      <c r="A5" s="34"/>
      <c r="B5" s="36"/>
      <c r="C5" s="17"/>
      <c r="D5" s="78">
        <f>SUM(B2:B5)</f>
        <v>0</v>
      </c>
      <c r="E5" s="78"/>
      <c r="F5" s="78"/>
      <c r="G5" s="29" t="s">
        <v>22</v>
      </c>
      <c r="H5" s="17"/>
      <c r="I5" s="17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x14ac:dyDescent="0.25">
      <c r="A6" s="16"/>
      <c r="B6" s="17"/>
      <c r="C6" s="17"/>
      <c r="D6" s="17"/>
      <c r="E6" s="17"/>
      <c r="F6" s="17"/>
      <c r="G6" s="17"/>
      <c r="H6" s="17"/>
      <c r="I6" s="17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x14ac:dyDescent="0.25">
      <c r="B7" s="9">
        <f>SUM(Dec[[#All],[Weekend Exp]])</f>
        <v>0</v>
      </c>
      <c r="C7" s="9">
        <f>SUM(Dec[[#All],[Travelling]])</f>
        <v>0</v>
      </c>
      <c r="D7" s="9">
        <f>SUM(Dec[[#All],[Electric Bill]])</f>
        <v>0</v>
      </c>
      <c r="E7" s="9">
        <f>SUM(Dec[[#All],[Mobile/Internet]])</f>
        <v>0</v>
      </c>
      <c r="F7" s="9">
        <f>SUM(Dec[[#All],[Shopping]])</f>
        <v>0</v>
      </c>
      <c r="G7" s="9">
        <f>SUM(Dec[[#All],[Office Food]])</f>
        <v>0</v>
      </c>
      <c r="H7" s="9">
        <f>SUM(Dec[[#All],[Office Extras]])</f>
        <v>0</v>
      </c>
      <c r="I7" s="9">
        <f>SUM(Dec[[#All],[Home]])</f>
        <v>0</v>
      </c>
      <c r="J7" s="9">
        <f>SUM(Dec[[#All],[Savings]])</f>
        <v>0</v>
      </c>
      <c r="K7" s="9">
        <f>SUM(Dec[[#All],[Pesonal Care]])</f>
        <v>0</v>
      </c>
      <c r="L7" s="9">
        <f>SUM(Dec[[#All],[Groceries]])</f>
        <v>0</v>
      </c>
      <c r="M7" s="9">
        <f>SUM(Dec[[#All],[Other]])</f>
        <v>0</v>
      </c>
      <c r="N7" s="9">
        <f>SUM(Dec[[#All],[Column13]])</f>
        <v>0</v>
      </c>
      <c r="O7" s="9">
        <f>SUM(Dec[[#All],[Column14]])</f>
        <v>0</v>
      </c>
      <c r="P7" s="9">
        <f>SUM(Dec[[#All],[Column15]])</f>
        <v>0</v>
      </c>
      <c r="Q7" s="9">
        <f>SUM(Dec[[#All],[Column16]])</f>
        <v>0</v>
      </c>
      <c r="R7" s="9">
        <f>SUM(Dec[[#All],[Column17]])</f>
        <v>0</v>
      </c>
      <c r="S7" s="9">
        <f>SUM(Dec[[#All],[Column18]])</f>
        <v>0</v>
      </c>
      <c r="T7" s="9">
        <f>SUM(Dec[[#All],[Column19]])</f>
        <v>0</v>
      </c>
      <c r="U7" s="9">
        <f>SUM(Dec[[#All],[Column20]])</f>
        <v>0</v>
      </c>
      <c r="V7" s="9">
        <f>SUM(Dec[[#All],[Column21]])</f>
        <v>0</v>
      </c>
      <c r="W7" s="9">
        <f>SUM(Dec[[#All],[Column22]])</f>
        <v>0</v>
      </c>
    </row>
    <row r="8" spans="1:23" ht="24" customHeight="1" thickBot="1" x14ac:dyDescent="0.3">
      <c r="A8" s="40" t="s">
        <v>42</v>
      </c>
      <c r="B8" s="11" t="s">
        <v>35</v>
      </c>
      <c r="C8" s="37" t="s">
        <v>47</v>
      </c>
      <c r="D8" s="11" t="s">
        <v>36</v>
      </c>
      <c r="E8" s="50" t="s">
        <v>45</v>
      </c>
      <c r="F8" s="37" t="s">
        <v>46</v>
      </c>
      <c r="G8" s="11" t="s">
        <v>37</v>
      </c>
      <c r="H8" s="11" t="s">
        <v>38</v>
      </c>
      <c r="I8" s="38" t="s">
        <v>39</v>
      </c>
      <c r="J8" s="11" t="s">
        <v>6</v>
      </c>
      <c r="K8" s="11" t="s">
        <v>40</v>
      </c>
      <c r="L8" s="11" t="s">
        <v>7</v>
      </c>
      <c r="M8" s="11" t="s">
        <v>20</v>
      </c>
      <c r="N8" s="1" t="s">
        <v>24</v>
      </c>
      <c r="O8" s="1" t="s">
        <v>25</v>
      </c>
      <c r="P8" s="1" t="s">
        <v>26</v>
      </c>
      <c r="Q8" s="1" t="s">
        <v>27</v>
      </c>
      <c r="R8" s="1" t="s">
        <v>28</v>
      </c>
      <c r="S8" s="1" t="s">
        <v>29</v>
      </c>
      <c r="T8" s="1" t="s">
        <v>30</v>
      </c>
      <c r="U8" s="1" t="s">
        <v>31</v>
      </c>
      <c r="V8" s="1" t="s">
        <v>32</v>
      </c>
      <c r="W8" s="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</sheetData>
  <mergeCells count="4">
    <mergeCell ref="D5:F5"/>
    <mergeCell ref="D1:F2"/>
    <mergeCell ref="D4:F4"/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">
    <tabColor rgb="FF002060"/>
  </sheetPr>
  <dimension ref="A1:E5"/>
  <sheetViews>
    <sheetView workbookViewId="0"/>
  </sheetViews>
  <sheetFormatPr defaultRowHeight="15" x14ac:dyDescent="0.25"/>
  <cols>
    <col min="1" max="1" width="21.140625" style="43" customWidth="1"/>
    <col min="2" max="2" width="43.5703125" customWidth="1"/>
    <col min="3" max="5" width="16.42578125" style="1" customWidth="1"/>
  </cols>
  <sheetData>
    <row r="1" spans="1:5" ht="21.75" customHeight="1" x14ac:dyDescent="0.25">
      <c r="A1" s="42" t="s">
        <v>1</v>
      </c>
      <c r="B1" s="3" t="s">
        <v>2</v>
      </c>
      <c r="C1" s="4" t="s">
        <v>3</v>
      </c>
      <c r="D1" s="4" t="s">
        <v>4</v>
      </c>
      <c r="E1" s="4" t="s">
        <v>5</v>
      </c>
    </row>
    <row r="2" spans="1:5" x14ac:dyDescent="0.25">
      <c r="A2" s="43">
        <v>41852</v>
      </c>
      <c r="B2" t="s">
        <v>19</v>
      </c>
      <c r="E2" s="1">
        <v>500</v>
      </c>
    </row>
    <row r="3" spans="1:5" x14ac:dyDescent="0.25">
      <c r="B3" t="s">
        <v>34</v>
      </c>
      <c r="D3" s="1">
        <v>15000</v>
      </c>
      <c r="E3" s="1">
        <f>E2-C3+D3</f>
        <v>15500</v>
      </c>
    </row>
    <row r="4" spans="1:5" x14ac:dyDescent="0.25">
      <c r="B4" t="s">
        <v>43</v>
      </c>
      <c r="C4" s="1">
        <v>10000</v>
      </c>
      <c r="E4" s="1">
        <f>E3-C4+D4</f>
        <v>5500</v>
      </c>
    </row>
    <row r="5" spans="1:5" x14ac:dyDescent="0.25">
      <c r="B5" t="s">
        <v>44</v>
      </c>
      <c r="C5" s="1">
        <v>2200</v>
      </c>
      <c r="E5" s="1">
        <f>E4-C5+D5</f>
        <v>3300</v>
      </c>
    </row>
  </sheetData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55CCB-D4CF-43AB-890D-7BE254FB20CE}">
  <dimension ref="A1:I773"/>
  <sheetViews>
    <sheetView workbookViewId="0">
      <selection activeCell="K14" sqref="K14"/>
    </sheetView>
  </sheetViews>
  <sheetFormatPr defaultRowHeight="15" x14ac:dyDescent="0.25"/>
  <cols>
    <col min="1" max="1" width="12.5703125" bestFit="1" customWidth="1"/>
    <col min="2" max="2" width="10.42578125" style="81" bestFit="1" customWidth="1"/>
    <col min="3" max="3" width="22.42578125" bestFit="1" customWidth="1"/>
    <col min="4" max="4" width="21.42578125" bestFit="1" customWidth="1"/>
    <col min="5" max="5" width="3" bestFit="1" customWidth="1"/>
    <col min="6" max="6" width="12.140625" bestFit="1" customWidth="1"/>
    <col min="7" max="7" width="9.5703125" bestFit="1" customWidth="1"/>
    <col min="8" max="8" width="12.7109375" bestFit="1" customWidth="1"/>
    <col min="9" max="9" width="9.85546875" bestFit="1" customWidth="1"/>
  </cols>
  <sheetData>
    <row r="1" spans="1:9" x14ac:dyDescent="0.25">
      <c r="A1" s="82" t="s">
        <v>438</v>
      </c>
      <c r="B1" s="83" t="s">
        <v>1</v>
      </c>
      <c r="C1" s="82" t="s">
        <v>439</v>
      </c>
      <c r="D1" s="82" t="s">
        <v>440</v>
      </c>
      <c r="E1" s="82" t="s">
        <v>441</v>
      </c>
      <c r="F1" s="82" t="s">
        <v>442</v>
      </c>
      <c r="G1" s="82" t="s">
        <v>443</v>
      </c>
      <c r="H1" s="82" t="s">
        <v>444</v>
      </c>
      <c r="I1" s="82" t="s">
        <v>239</v>
      </c>
    </row>
    <row r="2" spans="1:9" x14ac:dyDescent="0.25">
      <c r="A2">
        <v>1733</v>
      </c>
      <c r="B2" s="81">
        <v>43983</v>
      </c>
      <c r="C2" t="s">
        <v>65</v>
      </c>
      <c r="D2" t="s">
        <v>66</v>
      </c>
      <c r="E2">
        <v>2</v>
      </c>
      <c r="H2">
        <v>0</v>
      </c>
      <c r="I2" t="s">
        <v>239</v>
      </c>
    </row>
    <row r="3" spans="1:9" x14ac:dyDescent="0.25">
      <c r="A3">
        <v>1734</v>
      </c>
      <c r="B3" s="81">
        <v>43983</v>
      </c>
      <c r="C3" t="s">
        <v>67</v>
      </c>
      <c r="D3" t="s">
        <v>68</v>
      </c>
      <c r="E3">
        <v>2</v>
      </c>
      <c r="H3">
        <v>0</v>
      </c>
      <c r="I3" t="s">
        <v>239</v>
      </c>
    </row>
    <row r="4" spans="1:9" x14ac:dyDescent="0.25">
      <c r="A4">
        <v>1735</v>
      </c>
      <c r="B4" s="81">
        <v>43984</v>
      </c>
      <c r="C4" t="s">
        <v>69</v>
      </c>
      <c r="D4" t="s">
        <v>70</v>
      </c>
      <c r="E4">
        <v>1</v>
      </c>
      <c r="H4">
        <v>0</v>
      </c>
      <c r="I4" t="s">
        <v>239</v>
      </c>
    </row>
    <row r="5" spans="1:9" x14ac:dyDescent="0.25">
      <c r="A5">
        <v>1736</v>
      </c>
      <c r="B5" s="81">
        <v>43984</v>
      </c>
      <c r="C5" t="s">
        <v>71</v>
      </c>
      <c r="D5" t="s">
        <v>68</v>
      </c>
      <c r="E5">
        <v>1</v>
      </c>
      <c r="H5">
        <v>0</v>
      </c>
      <c r="I5" t="s">
        <v>225</v>
      </c>
    </row>
    <row r="6" spans="1:9" x14ac:dyDescent="0.25">
      <c r="A6">
        <v>1737</v>
      </c>
      <c r="B6" s="81">
        <v>43984</v>
      </c>
      <c r="C6" t="s">
        <v>72</v>
      </c>
      <c r="D6" t="s">
        <v>73</v>
      </c>
      <c r="E6">
        <v>1</v>
      </c>
      <c r="H6">
        <v>0</v>
      </c>
      <c r="I6" t="s">
        <v>225</v>
      </c>
    </row>
    <row r="7" spans="1:9" x14ac:dyDescent="0.25">
      <c r="A7">
        <v>1738</v>
      </c>
      <c r="B7" s="81">
        <v>43984</v>
      </c>
      <c r="C7" t="s">
        <v>74</v>
      </c>
      <c r="D7" t="s">
        <v>70</v>
      </c>
      <c r="E7">
        <v>1</v>
      </c>
      <c r="H7">
        <v>0</v>
      </c>
      <c r="I7" t="s">
        <v>239</v>
      </c>
    </row>
    <row r="8" spans="1:9" x14ac:dyDescent="0.25">
      <c r="A8">
        <v>1739</v>
      </c>
      <c r="B8" s="81">
        <v>43985</v>
      </c>
      <c r="C8" t="s">
        <v>75</v>
      </c>
      <c r="D8" t="s">
        <v>76</v>
      </c>
      <c r="E8">
        <v>1</v>
      </c>
      <c r="F8">
        <v>59</v>
      </c>
      <c r="H8">
        <v>0</v>
      </c>
      <c r="I8" t="s">
        <v>239</v>
      </c>
    </row>
    <row r="9" spans="1:9" x14ac:dyDescent="0.25">
      <c r="A9">
        <v>1740</v>
      </c>
      <c r="B9" s="81">
        <v>43985</v>
      </c>
      <c r="C9" t="s">
        <v>77</v>
      </c>
      <c r="D9" t="s">
        <v>78</v>
      </c>
      <c r="E9">
        <v>2</v>
      </c>
      <c r="F9">
        <v>76</v>
      </c>
      <c r="H9">
        <v>0</v>
      </c>
      <c r="I9" t="s">
        <v>225</v>
      </c>
    </row>
    <row r="10" spans="1:9" x14ac:dyDescent="0.25">
      <c r="A10">
        <v>1741</v>
      </c>
      <c r="B10" s="81">
        <v>43985</v>
      </c>
      <c r="C10" t="s">
        <v>77</v>
      </c>
      <c r="D10" t="s">
        <v>73</v>
      </c>
      <c r="E10">
        <v>2</v>
      </c>
      <c r="F10">
        <v>81</v>
      </c>
      <c r="H10">
        <v>0</v>
      </c>
      <c r="I10" t="s">
        <v>225</v>
      </c>
    </row>
    <row r="11" spans="1:9" x14ac:dyDescent="0.25">
      <c r="A11">
        <v>1742</v>
      </c>
      <c r="B11" s="81">
        <v>43985</v>
      </c>
      <c r="C11" t="s">
        <v>79</v>
      </c>
      <c r="D11" t="s">
        <v>70</v>
      </c>
      <c r="E11">
        <v>2</v>
      </c>
      <c r="F11">
        <v>106</v>
      </c>
      <c r="H11">
        <v>0</v>
      </c>
      <c r="I11" t="s">
        <v>225</v>
      </c>
    </row>
    <row r="12" spans="1:9" x14ac:dyDescent="0.25">
      <c r="A12">
        <v>1743</v>
      </c>
      <c r="B12" s="81">
        <v>43985</v>
      </c>
      <c r="C12" t="s">
        <v>80</v>
      </c>
      <c r="D12" t="s">
        <v>81</v>
      </c>
      <c r="E12">
        <v>1</v>
      </c>
      <c r="F12">
        <v>53</v>
      </c>
      <c r="H12">
        <v>0</v>
      </c>
      <c r="I12" t="s">
        <v>225</v>
      </c>
    </row>
    <row r="13" spans="1:9" x14ac:dyDescent="0.25">
      <c r="A13">
        <v>1744</v>
      </c>
      <c r="B13" s="81">
        <v>43985</v>
      </c>
      <c r="C13" t="s">
        <v>69</v>
      </c>
      <c r="D13" t="s">
        <v>70</v>
      </c>
      <c r="E13">
        <v>2</v>
      </c>
      <c r="F13">
        <v>74</v>
      </c>
      <c r="H13">
        <v>0</v>
      </c>
      <c r="I13" t="s">
        <v>225</v>
      </c>
    </row>
    <row r="14" spans="1:9" x14ac:dyDescent="0.25">
      <c r="A14">
        <v>1745</v>
      </c>
      <c r="B14" s="81">
        <v>43985</v>
      </c>
      <c r="C14" t="s">
        <v>69</v>
      </c>
      <c r="D14" t="s">
        <v>82</v>
      </c>
      <c r="E14">
        <v>7</v>
      </c>
      <c r="F14">
        <v>371</v>
      </c>
      <c r="H14">
        <v>0</v>
      </c>
      <c r="I14" t="s">
        <v>225</v>
      </c>
    </row>
    <row r="15" spans="1:9" x14ac:dyDescent="0.25">
      <c r="A15">
        <v>1746</v>
      </c>
      <c r="B15" s="81">
        <v>43985</v>
      </c>
      <c r="C15" t="s">
        <v>67</v>
      </c>
      <c r="D15" t="s">
        <v>83</v>
      </c>
      <c r="E15">
        <v>3</v>
      </c>
      <c r="F15">
        <v>197</v>
      </c>
      <c r="H15">
        <v>0</v>
      </c>
      <c r="I15" t="s">
        <v>225</v>
      </c>
    </row>
    <row r="16" spans="1:9" x14ac:dyDescent="0.25">
      <c r="A16">
        <v>1747</v>
      </c>
      <c r="B16" s="81">
        <v>43985</v>
      </c>
      <c r="C16" t="s">
        <v>67</v>
      </c>
      <c r="D16" t="s">
        <v>84</v>
      </c>
      <c r="E16">
        <v>3</v>
      </c>
      <c r="F16">
        <v>169</v>
      </c>
      <c r="H16">
        <v>0</v>
      </c>
      <c r="I16" t="s">
        <v>225</v>
      </c>
    </row>
    <row r="17" spans="1:9" x14ac:dyDescent="0.25">
      <c r="A17">
        <v>1748</v>
      </c>
      <c r="B17" s="81">
        <v>43985</v>
      </c>
      <c r="C17" t="s">
        <v>67</v>
      </c>
      <c r="D17" t="s">
        <v>68</v>
      </c>
      <c r="E17">
        <v>2</v>
      </c>
      <c r="F17">
        <v>121</v>
      </c>
      <c r="H17">
        <v>0</v>
      </c>
      <c r="I17" t="s">
        <v>225</v>
      </c>
    </row>
    <row r="18" spans="1:9" x14ac:dyDescent="0.25">
      <c r="A18">
        <v>1749</v>
      </c>
      <c r="B18" s="81">
        <v>43985</v>
      </c>
      <c r="C18" t="s">
        <v>79</v>
      </c>
      <c r="D18" t="s">
        <v>85</v>
      </c>
      <c r="E18">
        <v>4</v>
      </c>
      <c r="F18">
        <v>193</v>
      </c>
      <c r="G18">
        <v>9</v>
      </c>
      <c r="H18">
        <v>1737</v>
      </c>
      <c r="I18" t="s">
        <v>225</v>
      </c>
    </row>
    <row r="19" spans="1:9" x14ac:dyDescent="0.25">
      <c r="A19">
        <v>1750</v>
      </c>
      <c r="B19" s="81">
        <v>43985</v>
      </c>
      <c r="C19" t="s">
        <v>79</v>
      </c>
      <c r="D19" t="s">
        <v>78</v>
      </c>
      <c r="E19">
        <v>1</v>
      </c>
      <c r="F19">
        <v>62</v>
      </c>
      <c r="H19">
        <v>0</v>
      </c>
      <c r="I19" t="s">
        <v>225</v>
      </c>
    </row>
    <row r="20" spans="1:9" x14ac:dyDescent="0.25">
      <c r="A20">
        <v>1751</v>
      </c>
      <c r="B20" s="81">
        <v>43985</v>
      </c>
      <c r="C20" t="s">
        <v>74</v>
      </c>
      <c r="D20" t="s">
        <v>66</v>
      </c>
      <c r="E20">
        <v>1</v>
      </c>
      <c r="H20">
        <v>0</v>
      </c>
      <c r="I20" t="s">
        <v>225</v>
      </c>
    </row>
    <row r="21" spans="1:9" x14ac:dyDescent="0.25">
      <c r="A21">
        <v>1752</v>
      </c>
      <c r="B21" s="81">
        <v>43985</v>
      </c>
      <c r="C21" t="s">
        <v>65</v>
      </c>
      <c r="D21" t="s">
        <v>86</v>
      </c>
      <c r="E21">
        <v>2</v>
      </c>
      <c r="F21">
        <v>100</v>
      </c>
      <c r="H21">
        <v>0</v>
      </c>
      <c r="I21" t="s">
        <v>239</v>
      </c>
    </row>
    <row r="22" spans="1:9" x14ac:dyDescent="0.25">
      <c r="A22">
        <v>1753</v>
      </c>
      <c r="B22" s="81">
        <v>43986</v>
      </c>
      <c r="C22" t="s">
        <v>87</v>
      </c>
      <c r="D22" t="s">
        <v>88</v>
      </c>
      <c r="E22">
        <v>4</v>
      </c>
      <c r="H22">
        <v>0</v>
      </c>
      <c r="I22" t="s">
        <v>239</v>
      </c>
    </row>
    <row r="23" spans="1:9" x14ac:dyDescent="0.25">
      <c r="A23">
        <v>1754</v>
      </c>
      <c r="B23" s="81">
        <v>43986</v>
      </c>
      <c r="C23" t="s">
        <v>89</v>
      </c>
      <c r="D23" t="s">
        <v>90</v>
      </c>
      <c r="E23">
        <v>2</v>
      </c>
      <c r="H23">
        <v>0</v>
      </c>
      <c r="I23" t="s">
        <v>225</v>
      </c>
    </row>
    <row r="24" spans="1:9" x14ac:dyDescent="0.25">
      <c r="A24">
        <v>1755</v>
      </c>
      <c r="B24" s="81">
        <v>43986</v>
      </c>
      <c r="C24" t="s">
        <v>89</v>
      </c>
      <c r="D24" t="s">
        <v>85</v>
      </c>
      <c r="E24">
        <v>2</v>
      </c>
      <c r="G24">
        <v>9</v>
      </c>
      <c r="H24">
        <v>0</v>
      </c>
      <c r="I24" t="s">
        <v>225</v>
      </c>
    </row>
    <row r="25" spans="1:9" x14ac:dyDescent="0.25">
      <c r="A25">
        <v>1756</v>
      </c>
      <c r="B25" s="81">
        <v>43986</v>
      </c>
      <c r="C25" t="s">
        <v>77</v>
      </c>
      <c r="D25" t="s">
        <v>91</v>
      </c>
      <c r="E25">
        <v>4</v>
      </c>
      <c r="H25">
        <v>0</v>
      </c>
      <c r="I25" t="s">
        <v>225</v>
      </c>
    </row>
    <row r="26" spans="1:9" x14ac:dyDescent="0.25">
      <c r="A26">
        <v>1757</v>
      </c>
      <c r="B26" s="81">
        <v>43986</v>
      </c>
      <c r="C26" t="s">
        <v>77</v>
      </c>
      <c r="D26" t="s">
        <v>78</v>
      </c>
      <c r="E26">
        <v>2</v>
      </c>
      <c r="H26">
        <v>0</v>
      </c>
      <c r="I26" t="s">
        <v>225</v>
      </c>
    </row>
    <row r="27" spans="1:9" x14ac:dyDescent="0.25">
      <c r="A27">
        <v>1758</v>
      </c>
      <c r="B27" s="81">
        <v>43986</v>
      </c>
      <c r="C27" t="s">
        <v>92</v>
      </c>
      <c r="D27" t="s">
        <v>93</v>
      </c>
      <c r="E27">
        <v>1</v>
      </c>
      <c r="H27">
        <v>0</v>
      </c>
      <c r="I27" t="s">
        <v>225</v>
      </c>
    </row>
    <row r="28" spans="1:9" x14ac:dyDescent="0.25">
      <c r="A28">
        <v>1759</v>
      </c>
      <c r="B28" s="81">
        <v>43986</v>
      </c>
      <c r="C28" t="s">
        <v>94</v>
      </c>
      <c r="D28" t="s">
        <v>95</v>
      </c>
      <c r="E28">
        <v>2</v>
      </c>
      <c r="H28">
        <v>0</v>
      </c>
      <c r="I28" t="s">
        <v>225</v>
      </c>
    </row>
    <row r="29" spans="1:9" x14ac:dyDescent="0.25">
      <c r="A29">
        <v>1760</v>
      </c>
      <c r="B29" s="81">
        <v>43986</v>
      </c>
      <c r="C29" t="s">
        <v>79</v>
      </c>
      <c r="D29" t="s">
        <v>78</v>
      </c>
      <c r="E29">
        <v>2</v>
      </c>
      <c r="H29">
        <v>0</v>
      </c>
      <c r="I29" t="s">
        <v>225</v>
      </c>
    </row>
    <row r="30" spans="1:9" x14ac:dyDescent="0.25">
      <c r="A30">
        <v>1761</v>
      </c>
      <c r="B30" s="81">
        <v>43986</v>
      </c>
      <c r="C30" t="s">
        <v>96</v>
      </c>
      <c r="D30" t="s">
        <v>68</v>
      </c>
      <c r="E30">
        <v>10</v>
      </c>
      <c r="H30">
        <v>0</v>
      </c>
      <c r="I30" t="s">
        <v>225</v>
      </c>
    </row>
    <row r="31" spans="1:9" x14ac:dyDescent="0.25">
      <c r="A31">
        <v>1762</v>
      </c>
      <c r="B31" s="81">
        <v>43986</v>
      </c>
      <c r="C31" t="s">
        <v>97</v>
      </c>
      <c r="D31" t="s">
        <v>88</v>
      </c>
      <c r="E31">
        <v>2</v>
      </c>
      <c r="H31">
        <v>0</v>
      </c>
      <c r="I31" t="s">
        <v>225</v>
      </c>
    </row>
    <row r="32" spans="1:9" x14ac:dyDescent="0.25">
      <c r="A32">
        <v>1763</v>
      </c>
      <c r="B32" s="81">
        <v>43986</v>
      </c>
      <c r="C32" t="s">
        <v>98</v>
      </c>
      <c r="D32" t="s">
        <v>88</v>
      </c>
      <c r="E32">
        <v>2</v>
      </c>
      <c r="H32">
        <v>0</v>
      </c>
      <c r="I32" t="s">
        <v>225</v>
      </c>
    </row>
    <row r="33" spans="1:9" x14ac:dyDescent="0.25">
      <c r="A33">
        <v>1764</v>
      </c>
      <c r="B33" s="81">
        <v>43986</v>
      </c>
      <c r="C33" t="s">
        <v>99</v>
      </c>
      <c r="D33" t="s">
        <v>93</v>
      </c>
      <c r="E33">
        <v>2</v>
      </c>
      <c r="H33">
        <v>0</v>
      </c>
      <c r="I33" t="s">
        <v>225</v>
      </c>
    </row>
    <row r="34" spans="1:9" x14ac:dyDescent="0.25">
      <c r="A34">
        <v>1765</v>
      </c>
      <c r="B34" s="81">
        <v>43986</v>
      </c>
      <c r="C34" t="s">
        <v>100</v>
      </c>
      <c r="D34" t="s">
        <v>101</v>
      </c>
      <c r="E34">
        <v>1</v>
      </c>
      <c r="H34">
        <v>0</v>
      </c>
      <c r="I34" t="s">
        <v>225</v>
      </c>
    </row>
    <row r="35" spans="1:9" x14ac:dyDescent="0.25">
      <c r="A35">
        <v>1766</v>
      </c>
      <c r="B35" s="81">
        <v>43986</v>
      </c>
      <c r="C35" t="s">
        <v>67</v>
      </c>
      <c r="D35" t="s">
        <v>68</v>
      </c>
      <c r="E35">
        <v>4</v>
      </c>
      <c r="H35">
        <v>0</v>
      </c>
      <c r="I35" t="s">
        <v>225</v>
      </c>
    </row>
    <row r="36" spans="1:9" x14ac:dyDescent="0.25">
      <c r="A36">
        <v>1767</v>
      </c>
      <c r="B36" s="81">
        <v>43986</v>
      </c>
      <c r="C36" t="s">
        <v>71</v>
      </c>
      <c r="D36" t="s">
        <v>68</v>
      </c>
      <c r="E36">
        <v>1</v>
      </c>
      <c r="H36">
        <v>0</v>
      </c>
      <c r="I36" t="s">
        <v>225</v>
      </c>
    </row>
    <row r="37" spans="1:9" x14ac:dyDescent="0.25">
      <c r="A37">
        <v>1768</v>
      </c>
      <c r="B37" s="81">
        <v>43986</v>
      </c>
      <c r="C37" t="s">
        <v>74</v>
      </c>
      <c r="D37" t="s">
        <v>70</v>
      </c>
      <c r="E37">
        <v>2</v>
      </c>
      <c r="H37">
        <v>0</v>
      </c>
      <c r="I37" t="s">
        <v>225</v>
      </c>
    </row>
    <row r="38" spans="1:9" x14ac:dyDescent="0.25">
      <c r="A38">
        <v>1769</v>
      </c>
      <c r="B38" s="81">
        <v>43986</v>
      </c>
      <c r="C38" t="s">
        <v>72</v>
      </c>
      <c r="D38" t="s">
        <v>73</v>
      </c>
      <c r="E38">
        <v>1</v>
      </c>
      <c r="H38">
        <v>0</v>
      </c>
      <c r="I38" t="s">
        <v>239</v>
      </c>
    </row>
    <row r="39" spans="1:9" x14ac:dyDescent="0.25">
      <c r="A39">
        <v>1770</v>
      </c>
      <c r="B39" s="81">
        <v>43987</v>
      </c>
      <c r="C39" t="s">
        <v>89</v>
      </c>
      <c r="D39" t="s">
        <v>90</v>
      </c>
      <c r="E39">
        <v>2</v>
      </c>
      <c r="F39">
        <v>130</v>
      </c>
      <c r="H39">
        <v>0</v>
      </c>
      <c r="I39" t="s">
        <v>239</v>
      </c>
    </row>
    <row r="40" spans="1:9" x14ac:dyDescent="0.25">
      <c r="A40">
        <v>1771</v>
      </c>
      <c r="B40" s="81">
        <v>43987</v>
      </c>
      <c r="C40" t="s">
        <v>74</v>
      </c>
      <c r="D40" t="s">
        <v>78</v>
      </c>
      <c r="E40">
        <v>4</v>
      </c>
      <c r="F40">
        <v>224</v>
      </c>
      <c r="H40">
        <v>0</v>
      </c>
      <c r="I40" t="s">
        <v>225</v>
      </c>
    </row>
    <row r="41" spans="1:9" x14ac:dyDescent="0.25">
      <c r="A41">
        <v>1772</v>
      </c>
      <c r="B41" s="81">
        <v>43987</v>
      </c>
      <c r="C41" t="s">
        <v>74</v>
      </c>
      <c r="D41" t="s">
        <v>102</v>
      </c>
      <c r="E41">
        <v>2</v>
      </c>
      <c r="F41">
        <v>113</v>
      </c>
      <c r="G41">
        <v>10</v>
      </c>
      <c r="H41">
        <v>1130</v>
      </c>
      <c r="I41" t="s">
        <v>225</v>
      </c>
    </row>
    <row r="42" spans="1:9" x14ac:dyDescent="0.25">
      <c r="A42">
        <v>1773</v>
      </c>
      <c r="B42" s="81">
        <v>43987</v>
      </c>
      <c r="C42" t="s">
        <v>69</v>
      </c>
      <c r="D42" t="s">
        <v>66</v>
      </c>
      <c r="E42">
        <v>2</v>
      </c>
      <c r="F42">
        <v>111</v>
      </c>
      <c r="H42">
        <v>0</v>
      </c>
      <c r="I42" t="s">
        <v>225</v>
      </c>
    </row>
    <row r="43" spans="1:9" x14ac:dyDescent="0.25">
      <c r="A43">
        <v>1774</v>
      </c>
      <c r="B43" s="81">
        <v>43987</v>
      </c>
      <c r="C43" t="s">
        <v>67</v>
      </c>
      <c r="D43" t="s">
        <v>68</v>
      </c>
      <c r="E43">
        <v>3</v>
      </c>
      <c r="F43">
        <v>190</v>
      </c>
      <c r="H43">
        <v>0</v>
      </c>
      <c r="I43" t="s">
        <v>225</v>
      </c>
    </row>
    <row r="44" spans="1:9" x14ac:dyDescent="0.25">
      <c r="A44">
        <v>1775</v>
      </c>
      <c r="B44" s="81">
        <v>43987</v>
      </c>
      <c r="C44" t="s">
        <v>79</v>
      </c>
      <c r="D44" t="s">
        <v>78</v>
      </c>
      <c r="E44">
        <v>1</v>
      </c>
      <c r="F44">
        <v>55</v>
      </c>
      <c r="H44">
        <v>0</v>
      </c>
      <c r="I44" t="s">
        <v>225</v>
      </c>
    </row>
    <row r="45" spans="1:9" x14ac:dyDescent="0.25">
      <c r="A45">
        <v>1776</v>
      </c>
      <c r="B45" s="81">
        <v>43987</v>
      </c>
      <c r="C45" t="s">
        <v>103</v>
      </c>
      <c r="D45" t="s">
        <v>66</v>
      </c>
      <c r="E45">
        <v>3</v>
      </c>
      <c r="F45">
        <v>177</v>
      </c>
      <c r="H45">
        <v>0</v>
      </c>
      <c r="I45" t="s">
        <v>225</v>
      </c>
    </row>
    <row r="46" spans="1:9" x14ac:dyDescent="0.25">
      <c r="A46">
        <v>1777</v>
      </c>
      <c r="B46" s="81">
        <v>43987</v>
      </c>
      <c r="C46" t="s">
        <v>104</v>
      </c>
      <c r="D46" t="s">
        <v>105</v>
      </c>
      <c r="E46">
        <v>1</v>
      </c>
      <c r="F46">
        <v>62</v>
      </c>
      <c r="H46">
        <v>0</v>
      </c>
      <c r="I46" t="s">
        <v>225</v>
      </c>
    </row>
    <row r="47" spans="1:9" x14ac:dyDescent="0.25">
      <c r="A47">
        <v>1778</v>
      </c>
      <c r="B47" s="81">
        <v>43987</v>
      </c>
      <c r="C47" t="s">
        <v>72</v>
      </c>
      <c r="D47" t="s">
        <v>73</v>
      </c>
      <c r="E47">
        <v>2</v>
      </c>
      <c r="F47">
        <v>126</v>
      </c>
      <c r="H47">
        <v>0</v>
      </c>
      <c r="I47" t="s">
        <v>225</v>
      </c>
    </row>
    <row r="48" spans="1:9" x14ac:dyDescent="0.25">
      <c r="A48">
        <v>1779</v>
      </c>
      <c r="B48" s="81">
        <v>43987</v>
      </c>
      <c r="C48" t="s">
        <v>77</v>
      </c>
      <c r="D48" t="s">
        <v>85</v>
      </c>
      <c r="E48">
        <v>4</v>
      </c>
      <c r="F48">
        <v>178</v>
      </c>
      <c r="G48">
        <v>9</v>
      </c>
      <c r="H48">
        <v>1602</v>
      </c>
      <c r="I48" t="s">
        <v>239</v>
      </c>
    </row>
    <row r="49" spans="1:9" x14ac:dyDescent="0.25">
      <c r="A49">
        <v>1780</v>
      </c>
      <c r="B49" s="81">
        <v>43988</v>
      </c>
      <c r="C49" t="s">
        <v>106</v>
      </c>
      <c r="D49" t="s">
        <v>78</v>
      </c>
      <c r="E49">
        <v>1</v>
      </c>
      <c r="F49">
        <v>53</v>
      </c>
      <c r="H49">
        <v>0</v>
      </c>
      <c r="I49" t="s">
        <v>239</v>
      </c>
    </row>
    <row r="50" spans="1:9" x14ac:dyDescent="0.25">
      <c r="A50">
        <v>1781</v>
      </c>
      <c r="B50" s="81">
        <v>43988</v>
      </c>
      <c r="C50" t="s">
        <v>65</v>
      </c>
      <c r="D50" t="s">
        <v>86</v>
      </c>
      <c r="E50">
        <v>3</v>
      </c>
      <c r="F50">
        <v>120</v>
      </c>
      <c r="H50">
        <v>0</v>
      </c>
      <c r="I50" t="s">
        <v>225</v>
      </c>
    </row>
    <row r="51" spans="1:9" x14ac:dyDescent="0.25">
      <c r="A51">
        <v>1782</v>
      </c>
      <c r="B51" s="81">
        <v>43988</v>
      </c>
      <c r="C51" t="s">
        <v>69</v>
      </c>
      <c r="D51" t="s">
        <v>107</v>
      </c>
      <c r="E51">
        <v>1</v>
      </c>
      <c r="F51">
        <v>40</v>
      </c>
      <c r="H51">
        <v>0</v>
      </c>
      <c r="I51" t="s">
        <v>225</v>
      </c>
    </row>
    <row r="52" spans="1:9" x14ac:dyDescent="0.25">
      <c r="A52">
        <v>1783</v>
      </c>
      <c r="B52" s="81">
        <v>43988</v>
      </c>
      <c r="C52" t="s">
        <v>65</v>
      </c>
      <c r="D52" t="s">
        <v>82</v>
      </c>
      <c r="E52">
        <v>1</v>
      </c>
      <c r="F52">
        <v>39</v>
      </c>
      <c r="H52">
        <v>0</v>
      </c>
      <c r="I52" t="s">
        <v>225</v>
      </c>
    </row>
    <row r="53" spans="1:9" x14ac:dyDescent="0.25">
      <c r="A53">
        <v>1784</v>
      </c>
      <c r="B53" s="81">
        <v>43988</v>
      </c>
      <c r="C53" t="s">
        <v>65</v>
      </c>
      <c r="D53" t="s">
        <v>78</v>
      </c>
      <c r="E53">
        <v>2</v>
      </c>
      <c r="F53">
        <v>80</v>
      </c>
      <c r="H53">
        <v>0</v>
      </c>
      <c r="I53" t="s">
        <v>225</v>
      </c>
    </row>
    <row r="54" spans="1:9" x14ac:dyDescent="0.25">
      <c r="A54">
        <v>1785</v>
      </c>
      <c r="B54" s="81">
        <v>43988</v>
      </c>
      <c r="C54" t="s">
        <v>65</v>
      </c>
      <c r="D54" t="s">
        <v>85</v>
      </c>
      <c r="E54">
        <v>1</v>
      </c>
      <c r="F54">
        <v>66</v>
      </c>
      <c r="G54">
        <v>9</v>
      </c>
      <c r="H54">
        <v>594</v>
      </c>
      <c r="I54" t="s">
        <v>225</v>
      </c>
    </row>
    <row r="55" spans="1:9" x14ac:dyDescent="0.25">
      <c r="A55">
        <v>1786</v>
      </c>
      <c r="B55" s="81">
        <v>43988</v>
      </c>
      <c r="C55" t="s">
        <v>79</v>
      </c>
      <c r="D55" t="s">
        <v>107</v>
      </c>
      <c r="E55">
        <v>2</v>
      </c>
      <c r="F55">
        <v>89</v>
      </c>
      <c r="H55">
        <v>0</v>
      </c>
      <c r="I55" t="s">
        <v>225</v>
      </c>
    </row>
    <row r="56" spans="1:9" x14ac:dyDescent="0.25">
      <c r="A56">
        <v>1787</v>
      </c>
      <c r="B56" s="81">
        <v>43988</v>
      </c>
      <c r="C56" t="s">
        <v>108</v>
      </c>
      <c r="D56" t="s">
        <v>109</v>
      </c>
      <c r="E56">
        <v>6</v>
      </c>
      <c r="F56">
        <v>321</v>
      </c>
      <c r="G56">
        <v>9</v>
      </c>
      <c r="H56">
        <v>2889</v>
      </c>
      <c r="I56" t="s">
        <v>225</v>
      </c>
    </row>
    <row r="57" spans="1:9" x14ac:dyDescent="0.25">
      <c r="A57">
        <v>1788</v>
      </c>
      <c r="B57" s="81">
        <v>43988</v>
      </c>
      <c r="C57" t="s">
        <v>110</v>
      </c>
      <c r="D57" t="s">
        <v>107</v>
      </c>
      <c r="E57">
        <v>1</v>
      </c>
      <c r="F57">
        <v>52</v>
      </c>
      <c r="H57">
        <v>0</v>
      </c>
      <c r="I57" t="s">
        <v>225</v>
      </c>
    </row>
    <row r="58" spans="1:9" x14ac:dyDescent="0.25">
      <c r="A58">
        <v>1789</v>
      </c>
      <c r="B58" s="81">
        <v>43988</v>
      </c>
      <c r="C58" t="s">
        <v>111</v>
      </c>
      <c r="D58" t="s">
        <v>112</v>
      </c>
      <c r="E58">
        <v>3</v>
      </c>
      <c r="F58">
        <v>169</v>
      </c>
      <c r="H58">
        <v>0</v>
      </c>
      <c r="I58" t="s">
        <v>225</v>
      </c>
    </row>
    <row r="59" spans="1:9" x14ac:dyDescent="0.25">
      <c r="A59">
        <v>1790</v>
      </c>
      <c r="B59" s="81">
        <v>43988</v>
      </c>
      <c r="C59" t="s">
        <v>71</v>
      </c>
      <c r="D59" t="s">
        <v>68</v>
      </c>
      <c r="E59">
        <v>1</v>
      </c>
      <c r="F59">
        <v>25</v>
      </c>
      <c r="H59">
        <v>0</v>
      </c>
      <c r="I59" t="s">
        <v>225</v>
      </c>
    </row>
    <row r="60" spans="1:9" x14ac:dyDescent="0.25">
      <c r="A60">
        <v>1791</v>
      </c>
      <c r="B60" s="81">
        <v>43988</v>
      </c>
      <c r="C60" t="s">
        <v>113</v>
      </c>
      <c r="D60" t="s">
        <v>66</v>
      </c>
      <c r="E60">
        <v>1</v>
      </c>
      <c r="F60">
        <v>54</v>
      </c>
      <c r="H60">
        <v>0</v>
      </c>
      <c r="I60" t="s">
        <v>225</v>
      </c>
    </row>
    <row r="61" spans="1:9" x14ac:dyDescent="0.25">
      <c r="A61">
        <v>1792</v>
      </c>
      <c r="B61" s="81">
        <v>43988</v>
      </c>
      <c r="C61" t="s">
        <v>74</v>
      </c>
      <c r="D61" t="s">
        <v>70</v>
      </c>
      <c r="E61">
        <v>1</v>
      </c>
      <c r="F61">
        <v>79</v>
      </c>
      <c r="H61">
        <v>0</v>
      </c>
      <c r="I61" t="s">
        <v>225</v>
      </c>
    </row>
    <row r="62" spans="1:9" x14ac:dyDescent="0.25">
      <c r="A62">
        <v>1793</v>
      </c>
      <c r="B62" s="81">
        <v>43988</v>
      </c>
      <c r="C62" t="s">
        <v>114</v>
      </c>
      <c r="D62" t="s">
        <v>115</v>
      </c>
      <c r="E62">
        <v>2</v>
      </c>
      <c r="F62">
        <v>88</v>
      </c>
      <c r="H62">
        <v>0</v>
      </c>
      <c r="I62" t="s">
        <v>225</v>
      </c>
    </row>
    <row r="63" spans="1:9" x14ac:dyDescent="0.25">
      <c r="A63">
        <v>1794</v>
      </c>
      <c r="B63" s="81">
        <v>43988</v>
      </c>
      <c r="C63" t="s">
        <v>116</v>
      </c>
      <c r="D63" t="s">
        <v>66</v>
      </c>
      <c r="E63">
        <v>2</v>
      </c>
      <c r="F63">
        <v>96</v>
      </c>
      <c r="H63">
        <v>0</v>
      </c>
      <c r="I63" t="s">
        <v>239</v>
      </c>
    </row>
    <row r="64" spans="1:9" x14ac:dyDescent="0.25">
      <c r="A64">
        <v>1795</v>
      </c>
      <c r="B64" s="81">
        <v>43989</v>
      </c>
      <c r="C64" t="s">
        <v>117</v>
      </c>
      <c r="D64" t="s">
        <v>109</v>
      </c>
      <c r="E64">
        <v>3</v>
      </c>
      <c r="F64">
        <v>78</v>
      </c>
      <c r="G64">
        <v>9</v>
      </c>
      <c r="H64">
        <v>702</v>
      </c>
      <c r="I64" t="s">
        <v>239</v>
      </c>
    </row>
    <row r="65" spans="1:9" x14ac:dyDescent="0.25">
      <c r="A65">
        <v>1796</v>
      </c>
      <c r="B65" s="81">
        <v>43989</v>
      </c>
      <c r="C65" t="s">
        <v>108</v>
      </c>
      <c r="D65" t="s">
        <v>109</v>
      </c>
      <c r="E65">
        <v>2</v>
      </c>
      <c r="F65">
        <v>124</v>
      </c>
      <c r="G65">
        <v>9</v>
      </c>
      <c r="H65">
        <v>1116</v>
      </c>
      <c r="I65" t="s">
        <v>225</v>
      </c>
    </row>
    <row r="66" spans="1:9" x14ac:dyDescent="0.25">
      <c r="A66">
        <v>1797</v>
      </c>
      <c r="B66" s="81">
        <v>43989</v>
      </c>
      <c r="C66" t="s">
        <v>67</v>
      </c>
      <c r="D66" t="s">
        <v>68</v>
      </c>
      <c r="E66">
        <v>3</v>
      </c>
      <c r="F66">
        <v>174</v>
      </c>
      <c r="H66">
        <v>0</v>
      </c>
      <c r="I66" t="s">
        <v>225</v>
      </c>
    </row>
    <row r="67" spans="1:9" x14ac:dyDescent="0.25">
      <c r="A67">
        <v>1798</v>
      </c>
      <c r="B67" s="81">
        <v>43989</v>
      </c>
      <c r="C67" t="s">
        <v>67</v>
      </c>
      <c r="D67" t="s">
        <v>118</v>
      </c>
      <c r="E67">
        <v>3</v>
      </c>
      <c r="F67">
        <v>168</v>
      </c>
      <c r="H67">
        <v>0</v>
      </c>
      <c r="I67" t="s">
        <v>225</v>
      </c>
    </row>
    <row r="68" spans="1:9" x14ac:dyDescent="0.25">
      <c r="A68">
        <v>1799</v>
      </c>
      <c r="B68" s="81">
        <v>43989</v>
      </c>
      <c r="C68" t="s">
        <v>119</v>
      </c>
      <c r="D68" t="s">
        <v>120</v>
      </c>
      <c r="E68">
        <v>1</v>
      </c>
      <c r="F68">
        <v>53</v>
      </c>
      <c r="H68">
        <v>0</v>
      </c>
      <c r="I68" t="s">
        <v>225</v>
      </c>
    </row>
    <row r="69" spans="1:9" x14ac:dyDescent="0.25">
      <c r="A69">
        <v>1800</v>
      </c>
      <c r="B69" s="81">
        <v>43989</v>
      </c>
      <c r="C69" t="s">
        <v>121</v>
      </c>
      <c r="D69" t="s">
        <v>107</v>
      </c>
      <c r="E69">
        <v>1</v>
      </c>
      <c r="F69">
        <v>39</v>
      </c>
      <c r="H69">
        <v>0</v>
      </c>
      <c r="I69" t="s">
        <v>225</v>
      </c>
    </row>
    <row r="70" spans="1:9" x14ac:dyDescent="0.25">
      <c r="A70">
        <v>1801</v>
      </c>
      <c r="B70" s="81">
        <v>43989</v>
      </c>
      <c r="C70" t="s">
        <v>122</v>
      </c>
      <c r="D70" t="s">
        <v>123</v>
      </c>
      <c r="E70">
        <v>1</v>
      </c>
      <c r="F70">
        <v>24</v>
      </c>
      <c r="H70">
        <v>0</v>
      </c>
      <c r="I70" t="s">
        <v>225</v>
      </c>
    </row>
    <row r="71" spans="1:9" x14ac:dyDescent="0.25">
      <c r="A71">
        <v>1802</v>
      </c>
      <c r="B71" s="81">
        <v>43989</v>
      </c>
      <c r="C71" t="s">
        <v>124</v>
      </c>
      <c r="D71" t="s">
        <v>123</v>
      </c>
      <c r="E71">
        <v>1</v>
      </c>
      <c r="F71">
        <v>49</v>
      </c>
      <c r="H71">
        <v>0</v>
      </c>
      <c r="I71" t="s">
        <v>225</v>
      </c>
    </row>
    <row r="72" spans="1:9" x14ac:dyDescent="0.25">
      <c r="A72">
        <v>1803</v>
      </c>
      <c r="B72" s="81">
        <v>43989</v>
      </c>
      <c r="C72" t="s">
        <v>74</v>
      </c>
      <c r="D72" t="s">
        <v>78</v>
      </c>
      <c r="E72">
        <v>2</v>
      </c>
      <c r="F72">
        <v>101</v>
      </c>
      <c r="H72">
        <v>0</v>
      </c>
      <c r="I72" t="s">
        <v>225</v>
      </c>
    </row>
    <row r="73" spans="1:9" x14ac:dyDescent="0.25">
      <c r="A73">
        <v>1804</v>
      </c>
      <c r="B73" s="81">
        <v>43989</v>
      </c>
      <c r="C73" t="s">
        <v>69</v>
      </c>
      <c r="D73" t="s">
        <v>66</v>
      </c>
      <c r="E73">
        <v>2</v>
      </c>
      <c r="F73">
        <v>91</v>
      </c>
      <c r="H73">
        <v>0</v>
      </c>
      <c r="I73" t="s">
        <v>225</v>
      </c>
    </row>
    <row r="74" spans="1:9" x14ac:dyDescent="0.25">
      <c r="A74">
        <v>1805</v>
      </c>
      <c r="B74" s="81">
        <v>43989</v>
      </c>
      <c r="C74" t="s">
        <v>69</v>
      </c>
      <c r="D74" t="s">
        <v>93</v>
      </c>
      <c r="E74">
        <v>2</v>
      </c>
      <c r="F74">
        <v>73</v>
      </c>
      <c r="H74">
        <v>0</v>
      </c>
      <c r="I74" t="s">
        <v>225</v>
      </c>
    </row>
    <row r="75" spans="1:9" x14ac:dyDescent="0.25">
      <c r="A75">
        <v>1806</v>
      </c>
      <c r="B75" s="81">
        <v>43989</v>
      </c>
      <c r="C75" t="s">
        <v>69</v>
      </c>
      <c r="D75" t="s">
        <v>70</v>
      </c>
      <c r="E75">
        <v>1</v>
      </c>
      <c r="F75">
        <v>58</v>
      </c>
      <c r="H75">
        <v>0</v>
      </c>
      <c r="I75" t="s">
        <v>225</v>
      </c>
    </row>
    <row r="76" spans="1:9" x14ac:dyDescent="0.25">
      <c r="A76">
        <v>1807</v>
      </c>
      <c r="B76" s="81">
        <v>43989</v>
      </c>
      <c r="C76" t="s">
        <v>125</v>
      </c>
      <c r="D76" t="s">
        <v>70</v>
      </c>
      <c r="E76">
        <v>2</v>
      </c>
      <c r="F76">
        <v>76</v>
      </c>
      <c r="H76">
        <v>0</v>
      </c>
      <c r="I76" t="s">
        <v>225</v>
      </c>
    </row>
    <row r="77" spans="1:9" x14ac:dyDescent="0.25">
      <c r="A77">
        <v>1808</v>
      </c>
      <c r="B77" s="81">
        <v>43989</v>
      </c>
      <c r="C77" t="s">
        <v>79</v>
      </c>
      <c r="D77" t="s">
        <v>78</v>
      </c>
      <c r="E77">
        <v>4</v>
      </c>
      <c r="F77">
        <v>231</v>
      </c>
      <c r="H77">
        <v>0</v>
      </c>
      <c r="I77" t="s">
        <v>225</v>
      </c>
    </row>
    <row r="78" spans="1:9" x14ac:dyDescent="0.25">
      <c r="A78">
        <v>1809</v>
      </c>
      <c r="B78" s="81">
        <v>43989</v>
      </c>
      <c r="C78" t="s">
        <v>92</v>
      </c>
      <c r="D78" t="s">
        <v>126</v>
      </c>
      <c r="E78">
        <v>1</v>
      </c>
      <c r="F78">
        <v>59</v>
      </c>
      <c r="H78">
        <v>0</v>
      </c>
      <c r="I78" t="s">
        <v>225</v>
      </c>
    </row>
    <row r="79" spans="1:9" x14ac:dyDescent="0.25">
      <c r="A79">
        <v>1810</v>
      </c>
      <c r="B79" s="81">
        <v>43989</v>
      </c>
      <c r="C79" t="s">
        <v>127</v>
      </c>
      <c r="D79" t="s">
        <v>66</v>
      </c>
      <c r="E79">
        <v>1</v>
      </c>
      <c r="F79">
        <v>55</v>
      </c>
      <c r="H79">
        <v>0</v>
      </c>
      <c r="I79" t="s">
        <v>225</v>
      </c>
    </row>
    <row r="80" spans="1:9" x14ac:dyDescent="0.25">
      <c r="A80">
        <v>1811</v>
      </c>
      <c r="B80" s="81">
        <v>43989</v>
      </c>
      <c r="C80" t="s">
        <v>111</v>
      </c>
      <c r="D80" t="s">
        <v>128</v>
      </c>
      <c r="E80">
        <v>2</v>
      </c>
      <c r="F80">
        <v>117</v>
      </c>
      <c r="H80">
        <v>0</v>
      </c>
      <c r="I80" t="s">
        <v>225</v>
      </c>
    </row>
    <row r="81" spans="1:9" x14ac:dyDescent="0.25">
      <c r="A81">
        <v>1812</v>
      </c>
      <c r="B81" s="81">
        <v>43989</v>
      </c>
      <c r="C81" t="s">
        <v>103</v>
      </c>
      <c r="D81" t="s">
        <v>126</v>
      </c>
      <c r="E81">
        <v>1</v>
      </c>
      <c r="F81">
        <v>37</v>
      </c>
      <c r="H81">
        <v>0</v>
      </c>
      <c r="I81" t="s">
        <v>225</v>
      </c>
    </row>
    <row r="82" spans="1:9" x14ac:dyDescent="0.25">
      <c r="A82">
        <v>1813</v>
      </c>
      <c r="B82" s="81">
        <v>43989</v>
      </c>
      <c r="C82" t="s">
        <v>79</v>
      </c>
      <c r="D82" t="s">
        <v>129</v>
      </c>
      <c r="E82">
        <v>1</v>
      </c>
      <c r="F82">
        <v>56</v>
      </c>
      <c r="H82">
        <v>0</v>
      </c>
      <c r="I82" t="s">
        <v>225</v>
      </c>
    </row>
    <row r="83" spans="1:9" x14ac:dyDescent="0.25">
      <c r="A83">
        <v>1814</v>
      </c>
      <c r="B83" s="81">
        <v>43989</v>
      </c>
      <c r="C83" t="s">
        <v>79</v>
      </c>
      <c r="D83" t="s">
        <v>70</v>
      </c>
      <c r="E83">
        <v>1</v>
      </c>
      <c r="F83">
        <v>59</v>
      </c>
      <c r="H83">
        <v>0</v>
      </c>
      <c r="I83" t="s">
        <v>225</v>
      </c>
    </row>
    <row r="84" spans="1:9" x14ac:dyDescent="0.25">
      <c r="A84">
        <v>1815</v>
      </c>
      <c r="B84" s="81">
        <v>43989</v>
      </c>
      <c r="C84" t="s">
        <v>130</v>
      </c>
      <c r="D84" t="s">
        <v>66</v>
      </c>
      <c r="E84">
        <v>1</v>
      </c>
      <c r="F84">
        <v>59</v>
      </c>
      <c r="H84">
        <v>0</v>
      </c>
      <c r="I84" t="s">
        <v>225</v>
      </c>
    </row>
    <row r="85" spans="1:9" x14ac:dyDescent="0.25">
      <c r="A85">
        <v>1816</v>
      </c>
      <c r="B85" s="81">
        <v>43989</v>
      </c>
      <c r="C85" t="s">
        <v>99</v>
      </c>
      <c r="D85" t="s">
        <v>93</v>
      </c>
      <c r="E85">
        <v>1</v>
      </c>
      <c r="F85">
        <v>44</v>
      </c>
      <c r="H85">
        <v>0</v>
      </c>
      <c r="I85" t="s">
        <v>225</v>
      </c>
    </row>
    <row r="86" spans="1:9" x14ac:dyDescent="0.25">
      <c r="A86">
        <v>1817</v>
      </c>
      <c r="B86" s="81">
        <v>43989</v>
      </c>
      <c r="C86" t="s">
        <v>71</v>
      </c>
      <c r="D86" t="s">
        <v>131</v>
      </c>
      <c r="E86">
        <v>1</v>
      </c>
      <c r="H86">
        <v>0</v>
      </c>
      <c r="I86" t="s">
        <v>225</v>
      </c>
    </row>
    <row r="87" spans="1:9" x14ac:dyDescent="0.25">
      <c r="A87">
        <v>1818</v>
      </c>
      <c r="B87" s="81">
        <v>43989</v>
      </c>
      <c r="C87" t="s">
        <v>71</v>
      </c>
      <c r="D87" t="s">
        <v>68</v>
      </c>
      <c r="E87">
        <v>1</v>
      </c>
      <c r="H87">
        <v>0</v>
      </c>
      <c r="I87" t="s">
        <v>225</v>
      </c>
    </row>
    <row r="88" spans="1:9" x14ac:dyDescent="0.25">
      <c r="A88">
        <v>1819</v>
      </c>
      <c r="B88" s="81">
        <v>43989</v>
      </c>
      <c r="C88" t="s">
        <v>116</v>
      </c>
      <c r="D88" t="s">
        <v>73</v>
      </c>
      <c r="E88">
        <v>2</v>
      </c>
      <c r="H88">
        <v>0</v>
      </c>
      <c r="I88" t="s">
        <v>225</v>
      </c>
    </row>
    <row r="89" spans="1:9" x14ac:dyDescent="0.25">
      <c r="A89">
        <v>1820</v>
      </c>
      <c r="B89" s="81">
        <v>43989</v>
      </c>
      <c r="C89" t="s">
        <v>116</v>
      </c>
      <c r="D89" t="s">
        <v>66</v>
      </c>
      <c r="E89">
        <v>1</v>
      </c>
      <c r="H89">
        <v>0</v>
      </c>
      <c r="I89" t="s">
        <v>239</v>
      </c>
    </row>
    <row r="90" spans="1:9" x14ac:dyDescent="0.25">
      <c r="A90">
        <v>1821</v>
      </c>
      <c r="B90" s="81">
        <v>43991</v>
      </c>
      <c r="C90" t="s">
        <v>80</v>
      </c>
      <c r="D90" t="s">
        <v>132</v>
      </c>
      <c r="E90">
        <v>5</v>
      </c>
      <c r="F90">
        <v>195</v>
      </c>
      <c r="H90">
        <v>0</v>
      </c>
      <c r="I90" t="s">
        <v>239</v>
      </c>
    </row>
    <row r="91" spans="1:9" x14ac:dyDescent="0.25">
      <c r="A91">
        <v>1822</v>
      </c>
      <c r="B91" s="81">
        <v>43991</v>
      </c>
      <c r="C91" t="s">
        <v>133</v>
      </c>
      <c r="D91" t="s">
        <v>88</v>
      </c>
      <c r="E91">
        <v>3</v>
      </c>
      <c r="F91">
        <v>146</v>
      </c>
      <c r="H91">
        <v>0</v>
      </c>
      <c r="I91" t="s">
        <v>225</v>
      </c>
    </row>
    <row r="92" spans="1:9" x14ac:dyDescent="0.25">
      <c r="A92">
        <v>1823</v>
      </c>
      <c r="B92" s="81">
        <v>43991</v>
      </c>
      <c r="C92" t="s">
        <v>79</v>
      </c>
      <c r="D92" t="s">
        <v>101</v>
      </c>
      <c r="E92">
        <v>2</v>
      </c>
      <c r="H92">
        <v>0</v>
      </c>
      <c r="I92" t="s">
        <v>225</v>
      </c>
    </row>
    <row r="93" spans="1:9" x14ac:dyDescent="0.25">
      <c r="A93">
        <v>1824</v>
      </c>
      <c r="B93" s="81">
        <v>43991</v>
      </c>
      <c r="C93" t="s">
        <v>74</v>
      </c>
      <c r="D93" t="s">
        <v>78</v>
      </c>
      <c r="E93">
        <v>3</v>
      </c>
      <c r="H93">
        <v>0</v>
      </c>
      <c r="I93" t="s">
        <v>225</v>
      </c>
    </row>
    <row r="94" spans="1:9" x14ac:dyDescent="0.25">
      <c r="A94">
        <v>1825</v>
      </c>
      <c r="B94" s="81">
        <v>43991</v>
      </c>
      <c r="C94" t="s">
        <v>65</v>
      </c>
      <c r="D94" t="s">
        <v>86</v>
      </c>
      <c r="E94">
        <v>2</v>
      </c>
      <c r="F94">
        <v>103</v>
      </c>
      <c r="H94">
        <v>0</v>
      </c>
      <c r="I94" t="s">
        <v>225</v>
      </c>
    </row>
    <row r="95" spans="1:9" x14ac:dyDescent="0.25">
      <c r="A95">
        <v>1826</v>
      </c>
      <c r="B95" s="81">
        <v>43991</v>
      </c>
      <c r="C95" t="s">
        <v>134</v>
      </c>
      <c r="D95" t="s">
        <v>135</v>
      </c>
      <c r="E95">
        <v>1</v>
      </c>
      <c r="F95">
        <v>34</v>
      </c>
      <c r="H95">
        <v>0</v>
      </c>
      <c r="I95" t="s">
        <v>225</v>
      </c>
    </row>
    <row r="96" spans="1:9" x14ac:dyDescent="0.25">
      <c r="A96">
        <v>1827</v>
      </c>
      <c r="B96" s="81">
        <v>43991</v>
      </c>
      <c r="C96" t="s">
        <v>103</v>
      </c>
      <c r="D96" t="s">
        <v>136</v>
      </c>
      <c r="E96">
        <v>2</v>
      </c>
      <c r="F96">
        <v>70</v>
      </c>
      <c r="H96">
        <v>0</v>
      </c>
      <c r="I96" t="s">
        <v>225</v>
      </c>
    </row>
    <row r="97" spans="1:9" x14ac:dyDescent="0.25">
      <c r="A97">
        <v>1828</v>
      </c>
      <c r="B97" s="81">
        <v>43991</v>
      </c>
      <c r="C97" t="s">
        <v>137</v>
      </c>
      <c r="D97" t="s">
        <v>88</v>
      </c>
      <c r="E97">
        <v>4</v>
      </c>
      <c r="F97">
        <v>202</v>
      </c>
      <c r="H97">
        <v>0</v>
      </c>
      <c r="I97" t="s">
        <v>225</v>
      </c>
    </row>
    <row r="98" spans="1:9" x14ac:dyDescent="0.25">
      <c r="A98">
        <v>1829</v>
      </c>
      <c r="B98" s="81">
        <v>43991</v>
      </c>
      <c r="C98" t="s">
        <v>79</v>
      </c>
      <c r="D98" t="s">
        <v>78</v>
      </c>
      <c r="E98">
        <v>1</v>
      </c>
      <c r="H98">
        <v>0</v>
      </c>
      <c r="I98" t="s">
        <v>225</v>
      </c>
    </row>
    <row r="99" spans="1:9" x14ac:dyDescent="0.25">
      <c r="A99">
        <v>1830</v>
      </c>
      <c r="B99" s="81">
        <v>43991</v>
      </c>
      <c r="C99" t="s">
        <v>67</v>
      </c>
      <c r="D99" t="s">
        <v>68</v>
      </c>
      <c r="E99">
        <v>3</v>
      </c>
      <c r="H99">
        <v>0</v>
      </c>
      <c r="I99" t="s">
        <v>225</v>
      </c>
    </row>
    <row r="100" spans="1:9" x14ac:dyDescent="0.25">
      <c r="A100">
        <v>1831</v>
      </c>
      <c r="B100" s="81">
        <v>43991</v>
      </c>
      <c r="C100" t="s">
        <v>138</v>
      </c>
      <c r="D100" t="s">
        <v>82</v>
      </c>
      <c r="E100">
        <v>1</v>
      </c>
      <c r="H100">
        <v>0</v>
      </c>
      <c r="I100" t="s">
        <v>225</v>
      </c>
    </row>
    <row r="101" spans="1:9" x14ac:dyDescent="0.25">
      <c r="A101">
        <v>1832</v>
      </c>
      <c r="B101" s="81">
        <v>43991</v>
      </c>
      <c r="C101" t="s">
        <v>71</v>
      </c>
      <c r="D101" t="s">
        <v>68</v>
      </c>
      <c r="E101">
        <v>1</v>
      </c>
      <c r="H101">
        <v>0</v>
      </c>
      <c r="I101" t="s">
        <v>225</v>
      </c>
    </row>
    <row r="102" spans="1:9" x14ac:dyDescent="0.25">
      <c r="A102">
        <v>1833</v>
      </c>
      <c r="B102" s="81">
        <v>43991</v>
      </c>
      <c r="C102" t="s">
        <v>139</v>
      </c>
      <c r="D102" t="s">
        <v>140</v>
      </c>
      <c r="E102">
        <v>1</v>
      </c>
      <c r="H102">
        <v>0</v>
      </c>
      <c r="I102" t="s">
        <v>239</v>
      </c>
    </row>
    <row r="103" spans="1:9" x14ac:dyDescent="0.25">
      <c r="A103">
        <v>1834</v>
      </c>
      <c r="B103" s="81">
        <v>43992</v>
      </c>
      <c r="C103" t="s">
        <v>141</v>
      </c>
      <c r="D103" t="s">
        <v>88</v>
      </c>
      <c r="E103">
        <v>3</v>
      </c>
      <c r="F103">
        <v>160</v>
      </c>
      <c r="G103">
        <v>10</v>
      </c>
      <c r="H103">
        <v>1600</v>
      </c>
      <c r="I103" t="s">
        <v>239</v>
      </c>
    </row>
    <row r="104" spans="1:9" x14ac:dyDescent="0.25">
      <c r="A104">
        <v>1835</v>
      </c>
      <c r="B104" s="81">
        <v>43992</v>
      </c>
      <c r="C104" t="s">
        <v>74</v>
      </c>
      <c r="D104" t="s">
        <v>78</v>
      </c>
      <c r="E104">
        <v>2</v>
      </c>
      <c r="F104">
        <v>101</v>
      </c>
      <c r="G104">
        <v>10</v>
      </c>
      <c r="H104">
        <v>1010</v>
      </c>
      <c r="I104" t="s">
        <v>225</v>
      </c>
    </row>
    <row r="105" spans="1:9" x14ac:dyDescent="0.25">
      <c r="A105">
        <v>1836</v>
      </c>
      <c r="B105" s="81">
        <v>43992</v>
      </c>
      <c r="C105" t="s">
        <v>69</v>
      </c>
      <c r="D105" t="s">
        <v>93</v>
      </c>
      <c r="E105">
        <v>5</v>
      </c>
      <c r="F105">
        <v>232</v>
      </c>
      <c r="G105">
        <v>10</v>
      </c>
      <c r="H105">
        <v>2320</v>
      </c>
      <c r="I105" t="s">
        <v>225</v>
      </c>
    </row>
    <row r="106" spans="1:9" x14ac:dyDescent="0.25">
      <c r="A106">
        <v>1837</v>
      </c>
      <c r="B106" s="81">
        <v>43992</v>
      </c>
      <c r="C106" t="s">
        <v>69</v>
      </c>
      <c r="D106" t="s">
        <v>82</v>
      </c>
      <c r="E106">
        <v>3</v>
      </c>
      <c r="F106">
        <v>121</v>
      </c>
      <c r="G106">
        <v>10</v>
      </c>
      <c r="H106">
        <v>1210</v>
      </c>
      <c r="I106" t="s">
        <v>225</v>
      </c>
    </row>
    <row r="107" spans="1:9" x14ac:dyDescent="0.25">
      <c r="A107">
        <v>1838</v>
      </c>
      <c r="B107" s="81">
        <v>43992</v>
      </c>
      <c r="C107" t="s">
        <v>65</v>
      </c>
      <c r="D107" t="s">
        <v>101</v>
      </c>
      <c r="E107">
        <v>2</v>
      </c>
      <c r="F107">
        <v>122</v>
      </c>
      <c r="G107">
        <v>10</v>
      </c>
      <c r="H107">
        <v>1220</v>
      </c>
      <c r="I107" t="s">
        <v>225</v>
      </c>
    </row>
    <row r="108" spans="1:9" x14ac:dyDescent="0.25">
      <c r="A108">
        <v>1839</v>
      </c>
      <c r="B108" s="81">
        <v>43992</v>
      </c>
      <c r="C108" t="s">
        <v>79</v>
      </c>
      <c r="D108" t="s">
        <v>142</v>
      </c>
      <c r="E108">
        <v>2</v>
      </c>
      <c r="F108">
        <v>117</v>
      </c>
      <c r="G108">
        <v>10</v>
      </c>
      <c r="H108">
        <v>1170</v>
      </c>
      <c r="I108" t="s">
        <v>225</v>
      </c>
    </row>
    <row r="109" spans="1:9" x14ac:dyDescent="0.25">
      <c r="A109">
        <v>1840</v>
      </c>
      <c r="B109" s="81">
        <v>43992</v>
      </c>
      <c r="C109" t="s">
        <v>65</v>
      </c>
      <c r="D109" t="s">
        <v>86</v>
      </c>
      <c r="E109">
        <v>1</v>
      </c>
      <c r="F109">
        <v>38</v>
      </c>
      <c r="G109">
        <v>10</v>
      </c>
      <c r="H109">
        <v>380</v>
      </c>
      <c r="I109" t="s">
        <v>225</v>
      </c>
    </row>
    <row r="110" spans="1:9" x14ac:dyDescent="0.25">
      <c r="A110">
        <v>1841</v>
      </c>
      <c r="B110" s="81">
        <v>43992</v>
      </c>
      <c r="C110" t="s">
        <v>65</v>
      </c>
      <c r="D110" t="s">
        <v>123</v>
      </c>
      <c r="E110">
        <v>1</v>
      </c>
      <c r="F110">
        <v>47</v>
      </c>
      <c r="G110">
        <v>10</v>
      </c>
      <c r="H110">
        <v>470</v>
      </c>
      <c r="I110" t="s">
        <v>225</v>
      </c>
    </row>
    <row r="111" spans="1:9" x14ac:dyDescent="0.25">
      <c r="A111">
        <v>1842</v>
      </c>
      <c r="B111" s="81">
        <v>43992</v>
      </c>
      <c r="C111" t="s">
        <v>122</v>
      </c>
      <c r="D111" t="s">
        <v>123</v>
      </c>
      <c r="E111">
        <v>1</v>
      </c>
      <c r="F111">
        <v>72</v>
      </c>
      <c r="G111">
        <v>10</v>
      </c>
      <c r="H111">
        <v>720</v>
      </c>
      <c r="I111" t="s">
        <v>225</v>
      </c>
    </row>
    <row r="112" spans="1:9" x14ac:dyDescent="0.25">
      <c r="A112">
        <v>1843</v>
      </c>
      <c r="B112" s="81">
        <v>43992</v>
      </c>
      <c r="C112" t="s">
        <v>103</v>
      </c>
      <c r="D112" t="s">
        <v>143</v>
      </c>
      <c r="E112">
        <v>1</v>
      </c>
      <c r="F112">
        <v>43</v>
      </c>
      <c r="G112">
        <v>10</v>
      </c>
      <c r="H112">
        <v>430</v>
      </c>
      <c r="I112" t="s">
        <v>225</v>
      </c>
    </row>
    <row r="113" spans="1:9" x14ac:dyDescent="0.25">
      <c r="A113">
        <v>1844</v>
      </c>
      <c r="B113" s="81">
        <v>43992</v>
      </c>
      <c r="C113" t="s">
        <v>144</v>
      </c>
      <c r="D113" t="s">
        <v>93</v>
      </c>
      <c r="E113">
        <v>1</v>
      </c>
      <c r="F113">
        <v>47</v>
      </c>
      <c r="G113">
        <v>10</v>
      </c>
      <c r="H113">
        <v>470</v>
      </c>
      <c r="I113" t="s">
        <v>225</v>
      </c>
    </row>
    <row r="114" spans="1:9" x14ac:dyDescent="0.25">
      <c r="A114">
        <v>1845</v>
      </c>
      <c r="B114" s="81">
        <v>43992</v>
      </c>
      <c r="C114" t="s">
        <v>144</v>
      </c>
      <c r="D114" t="s">
        <v>145</v>
      </c>
      <c r="E114">
        <v>2</v>
      </c>
      <c r="F114">
        <v>100</v>
      </c>
      <c r="G114">
        <v>10</v>
      </c>
      <c r="H114">
        <v>1000</v>
      </c>
      <c r="I114" t="s">
        <v>225</v>
      </c>
    </row>
    <row r="115" spans="1:9" x14ac:dyDescent="0.25">
      <c r="A115">
        <v>1846</v>
      </c>
      <c r="B115" s="81">
        <v>43992</v>
      </c>
      <c r="C115" t="s">
        <v>65</v>
      </c>
      <c r="D115" t="s">
        <v>86</v>
      </c>
      <c r="E115">
        <v>2</v>
      </c>
      <c r="F115">
        <v>98</v>
      </c>
      <c r="G115">
        <v>10</v>
      </c>
      <c r="H115">
        <v>980</v>
      </c>
      <c r="I115" t="s">
        <v>225</v>
      </c>
    </row>
    <row r="116" spans="1:9" x14ac:dyDescent="0.25">
      <c r="A116">
        <v>1847</v>
      </c>
      <c r="B116" s="81">
        <v>43992</v>
      </c>
      <c r="C116" t="s">
        <v>74</v>
      </c>
      <c r="D116" t="s">
        <v>146</v>
      </c>
      <c r="E116">
        <v>1</v>
      </c>
      <c r="F116">
        <v>57</v>
      </c>
      <c r="G116">
        <v>10</v>
      </c>
      <c r="H116">
        <v>570</v>
      </c>
      <c r="I116" t="s">
        <v>225</v>
      </c>
    </row>
    <row r="117" spans="1:9" x14ac:dyDescent="0.25">
      <c r="A117">
        <v>1848</v>
      </c>
      <c r="B117" s="81">
        <v>43992</v>
      </c>
      <c r="C117" t="s">
        <v>147</v>
      </c>
      <c r="D117" t="s">
        <v>81</v>
      </c>
      <c r="E117">
        <v>1</v>
      </c>
      <c r="F117">
        <v>48</v>
      </c>
      <c r="G117">
        <v>10</v>
      </c>
      <c r="H117">
        <v>480</v>
      </c>
      <c r="I117" t="s">
        <v>225</v>
      </c>
    </row>
    <row r="118" spans="1:9" x14ac:dyDescent="0.25">
      <c r="A118">
        <v>1849</v>
      </c>
      <c r="B118" s="81">
        <v>43992</v>
      </c>
      <c r="C118" t="s">
        <v>148</v>
      </c>
      <c r="D118" t="s">
        <v>149</v>
      </c>
      <c r="E118">
        <v>3</v>
      </c>
      <c r="F118">
        <v>169</v>
      </c>
      <c r="G118">
        <v>10</v>
      </c>
      <c r="H118">
        <v>1690</v>
      </c>
      <c r="I118" t="s">
        <v>225</v>
      </c>
    </row>
    <row r="119" spans="1:9" x14ac:dyDescent="0.25">
      <c r="A119">
        <v>1850</v>
      </c>
      <c r="B119" s="81">
        <v>43992</v>
      </c>
      <c r="C119" t="s">
        <v>150</v>
      </c>
      <c r="D119" t="s">
        <v>109</v>
      </c>
      <c r="E119">
        <v>2</v>
      </c>
      <c r="F119">
        <v>84</v>
      </c>
      <c r="G119">
        <v>9</v>
      </c>
      <c r="H119">
        <v>756</v>
      </c>
      <c r="I119" t="s">
        <v>225</v>
      </c>
    </row>
    <row r="120" spans="1:9" x14ac:dyDescent="0.25">
      <c r="A120">
        <v>1851</v>
      </c>
      <c r="B120" s="81">
        <v>43992</v>
      </c>
      <c r="C120" t="s">
        <v>147</v>
      </c>
      <c r="D120" t="s">
        <v>78</v>
      </c>
      <c r="E120">
        <v>3</v>
      </c>
      <c r="F120">
        <v>113</v>
      </c>
      <c r="G120">
        <v>10</v>
      </c>
      <c r="H120">
        <v>1130</v>
      </c>
      <c r="I120" t="s">
        <v>225</v>
      </c>
    </row>
    <row r="121" spans="1:9" x14ac:dyDescent="0.25">
      <c r="A121">
        <v>1852</v>
      </c>
      <c r="B121" s="81">
        <v>43992</v>
      </c>
      <c r="C121" t="s">
        <v>69</v>
      </c>
      <c r="D121" t="s">
        <v>73</v>
      </c>
      <c r="E121">
        <v>1</v>
      </c>
      <c r="F121">
        <v>60</v>
      </c>
      <c r="G121">
        <v>10</v>
      </c>
      <c r="H121">
        <v>600</v>
      </c>
      <c r="I121" t="s">
        <v>225</v>
      </c>
    </row>
    <row r="122" spans="1:9" x14ac:dyDescent="0.25">
      <c r="A122">
        <v>1853</v>
      </c>
      <c r="B122" s="81">
        <v>43992</v>
      </c>
      <c r="C122" t="s">
        <v>80</v>
      </c>
      <c r="D122" t="s">
        <v>151</v>
      </c>
      <c r="E122">
        <v>1</v>
      </c>
      <c r="F122">
        <v>59</v>
      </c>
      <c r="G122">
        <v>10</v>
      </c>
      <c r="H122">
        <v>590</v>
      </c>
      <c r="I122" t="s">
        <v>225</v>
      </c>
    </row>
    <row r="123" spans="1:9" x14ac:dyDescent="0.25">
      <c r="A123">
        <v>1854</v>
      </c>
      <c r="B123" s="81">
        <v>43992</v>
      </c>
      <c r="C123" t="s">
        <v>72</v>
      </c>
      <c r="D123" t="s">
        <v>73</v>
      </c>
      <c r="E123">
        <v>2</v>
      </c>
      <c r="F123">
        <v>128</v>
      </c>
      <c r="G123">
        <v>10</v>
      </c>
      <c r="H123">
        <v>1280</v>
      </c>
      <c r="I123" t="s">
        <v>225</v>
      </c>
    </row>
    <row r="124" spans="1:9" x14ac:dyDescent="0.25">
      <c r="A124">
        <v>1855</v>
      </c>
      <c r="B124" s="81">
        <v>43992</v>
      </c>
      <c r="C124" t="s">
        <v>152</v>
      </c>
      <c r="D124" t="s">
        <v>153</v>
      </c>
      <c r="E124">
        <v>2</v>
      </c>
      <c r="F124">
        <v>84</v>
      </c>
      <c r="G124">
        <v>10</v>
      </c>
      <c r="H124">
        <v>840</v>
      </c>
      <c r="I124" t="s">
        <v>225</v>
      </c>
    </row>
    <row r="125" spans="1:9" x14ac:dyDescent="0.25">
      <c r="A125">
        <v>1856</v>
      </c>
      <c r="B125" s="81">
        <v>43992</v>
      </c>
      <c r="C125" t="s">
        <v>139</v>
      </c>
      <c r="D125" t="s">
        <v>140</v>
      </c>
      <c r="E125">
        <v>1</v>
      </c>
      <c r="F125">
        <v>10</v>
      </c>
      <c r="G125">
        <v>10</v>
      </c>
      <c r="H125">
        <v>100</v>
      </c>
      <c r="I125" t="s">
        <v>225</v>
      </c>
    </row>
    <row r="126" spans="1:9" x14ac:dyDescent="0.25">
      <c r="A126">
        <v>1857</v>
      </c>
      <c r="B126" s="81">
        <v>43992</v>
      </c>
      <c r="C126" t="s">
        <v>71</v>
      </c>
      <c r="D126" t="s">
        <v>68</v>
      </c>
      <c r="E126">
        <v>1</v>
      </c>
      <c r="F126">
        <v>13</v>
      </c>
      <c r="G126">
        <v>10</v>
      </c>
      <c r="H126">
        <v>130</v>
      </c>
      <c r="I126" t="s">
        <v>239</v>
      </c>
    </row>
    <row r="127" spans="1:9" x14ac:dyDescent="0.25">
      <c r="A127">
        <v>1858</v>
      </c>
      <c r="B127" s="81">
        <v>43993</v>
      </c>
      <c r="C127" t="s">
        <v>116</v>
      </c>
      <c r="D127" t="s">
        <v>66</v>
      </c>
      <c r="E127">
        <v>2</v>
      </c>
      <c r="F127">
        <v>96</v>
      </c>
      <c r="G127">
        <v>10</v>
      </c>
      <c r="H127">
        <v>960</v>
      </c>
      <c r="I127" t="s">
        <v>239</v>
      </c>
    </row>
    <row r="128" spans="1:9" x14ac:dyDescent="0.25">
      <c r="A128">
        <v>1859</v>
      </c>
      <c r="B128" s="81">
        <v>43993</v>
      </c>
      <c r="C128" t="s">
        <v>116</v>
      </c>
      <c r="D128" t="s">
        <v>73</v>
      </c>
      <c r="E128">
        <v>2</v>
      </c>
      <c r="F128">
        <v>91</v>
      </c>
      <c r="G128">
        <v>10</v>
      </c>
      <c r="H128">
        <v>910</v>
      </c>
      <c r="I128" t="s">
        <v>225</v>
      </c>
    </row>
    <row r="129" spans="1:9" x14ac:dyDescent="0.25">
      <c r="A129">
        <v>1860</v>
      </c>
      <c r="B129" s="81">
        <v>43993</v>
      </c>
      <c r="C129" t="s">
        <v>116</v>
      </c>
      <c r="D129" t="s">
        <v>78</v>
      </c>
      <c r="E129">
        <v>1</v>
      </c>
      <c r="F129">
        <v>60</v>
      </c>
      <c r="G129">
        <v>10</v>
      </c>
      <c r="H129">
        <v>600</v>
      </c>
      <c r="I129" t="s">
        <v>225</v>
      </c>
    </row>
    <row r="130" spans="1:9" x14ac:dyDescent="0.25">
      <c r="A130">
        <v>1861</v>
      </c>
      <c r="B130" s="81">
        <v>43993</v>
      </c>
      <c r="C130" t="s">
        <v>116</v>
      </c>
      <c r="D130" t="s">
        <v>105</v>
      </c>
      <c r="E130">
        <v>2</v>
      </c>
      <c r="F130">
        <v>111</v>
      </c>
      <c r="G130">
        <v>10</v>
      </c>
      <c r="H130">
        <v>1110</v>
      </c>
      <c r="I130" t="s">
        <v>225</v>
      </c>
    </row>
    <row r="131" spans="1:9" x14ac:dyDescent="0.25">
      <c r="A131">
        <v>1862</v>
      </c>
      <c r="B131" s="81">
        <v>43993</v>
      </c>
      <c r="C131" t="s">
        <v>116</v>
      </c>
      <c r="D131" t="s">
        <v>142</v>
      </c>
      <c r="E131">
        <v>3</v>
      </c>
      <c r="F131">
        <v>168</v>
      </c>
      <c r="G131">
        <v>10</v>
      </c>
      <c r="H131">
        <v>1680</v>
      </c>
      <c r="I131" t="s">
        <v>225</v>
      </c>
    </row>
    <row r="132" spans="1:9" x14ac:dyDescent="0.25">
      <c r="A132">
        <v>1863</v>
      </c>
      <c r="B132" s="81">
        <v>43993</v>
      </c>
      <c r="C132" t="s">
        <v>92</v>
      </c>
      <c r="D132" t="s">
        <v>101</v>
      </c>
      <c r="E132">
        <v>1</v>
      </c>
      <c r="F132">
        <v>59</v>
      </c>
      <c r="G132">
        <v>10</v>
      </c>
      <c r="H132">
        <v>590</v>
      </c>
      <c r="I132" t="s">
        <v>225</v>
      </c>
    </row>
    <row r="133" spans="1:9" x14ac:dyDescent="0.25">
      <c r="A133">
        <v>1864</v>
      </c>
      <c r="B133" s="81">
        <v>43993</v>
      </c>
      <c r="C133" t="s">
        <v>74</v>
      </c>
      <c r="D133" t="s">
        <v>154</v>
      </c>
      <c r="E133">
        <v>1</v>
      </c>
      <c r="F133">
        <v>44</v>
      </c>
      <c r="G133">
        <v>10</v>
      </c>
      <c r="H133">
        <v>440</v>
      </c>
      <c r="I133" t="s">
        <v>225</v>
      </c>
    </row>
    <row r="134" spans="1:9" x14ac:dyDescent="0.25">
      <c r="A134">
        <v>1865</v>
      </c>
      <c r="B134" s="81">
        <v>43993</v>
      </c>
      <c r="C134" t="s">
        <v>74</v>
      </c>
      <c r="D134" t="s">
        <v>155</v>
      </c>
      <c r="E134">
        <v>1</v>
      </c>
      <c r="F134">
        <v>62</v>
      </c>
      <c r="G134">
        <v>10</v>
      </c>
      <c r="H134">
        <v>620</v>
      </c>
      <c r="I134" t="s">
        <v>225</v>
      </c>
    </row>
    <row r="135" spans="1:9" x14ac:dyDescent="0.25">
      <c r="A135">
        <v>1866</v>
      </c>
      <c r="B135" s="81">
        <v>43993</v>
      </c>
      <c r="C135" t="s">
        <v>156</v>
      </c>
      <c r="D135" t="s">
        <v>157</v>
      </c>
      <c r="E135">
        <v>6</v>
      </c>
      <c r="F135">
        <v>175</v>
      </c>
      <c r="G135">
        <v>15</v>
      </c>
      <c r="H135">
        <v>2625</v>
      </c>
      <c r="I135" t="s">
        <v>225</v>
      </c>
    </row>
    <row r="136" spans="1:9" x14ac:dyDescent="0.25">
      <c r="A136">
        <v>1867</v>
      </c>
      <c r="B136" s="81">
        <v>43993</v>
      </c>
      <c r="C136" t="s">
        <v>158</v>
      </c>
      <c r="D136" t="s">
        <v>159</v>
      </c>
      <c r="E136">
        <v>2</v>
      </c>
      <c r="F136">
        <v>66</v>
      </c>
      <c r="G136">
        <v>15</v>
      </c>
      <c r="H136">
        <v>990</v>
      </c>
      <c r="I136" t="s">
        <v>225</v>
      </c>
    </row>
    <row r="137" spans="1:9" x14ac:dyDescent="0.25">
      <c r="A137">
        <v>1868</v>
      </c>
      <c r="B137" s="81">
        <v>43993</v>
      </c>
      <c r="C137" t="s">
        <v>69</v>
      </c>
      <c r="D137" t="s">
        <v>66</v>
      </c>
      <c r="E137">
        <v>2</v>
      </c>
      <c r="F137">
        <v>117</v>
      </c>
      <c r="G137">
        <v>10</v>
      </c>
      <c r="H137">
        <v>1170</v>
      </c>
      <c r="I137" t="s">
        <v>225</v>
      </c>
    </row>
    <row r="138" spans="1:9" x14ac:dyDescent="0.25">
      <c r="A138">
        <v>1869</v>
      </c>
      <c r="B138" s="81">
        <v>43993</v>
      </c>
      <c r="C138" t="s">
        <v>138</v>
      </c>
      <c r="D138" t="s">
        <v>82</v>
      </c>
      <c r="E138">
        <v>1</v>
      </c>
      <c r="F138">
        <v>47</v>
      </c>
      <c r="G138">
        <v>10</v>
      </c>
      <c r="H138">
        <v>470</v>
      </c>
      <c r="I138" t="s">
        <v>225</v>
      </c>
    </row>
    <row r="139" spans="1:9" x14ac:dyDescent="0.25">
      <c r="A139">
        <v>1870</v>
      </c>
      <c r="B139" s="81">
        <v>43993</v>
      </c>
      <c r="C139" t="s">
        <v>67</v>
      </c>
      <c r="D139" t="s">
        <v>118</v>
      </c>
      <c r="E139">
        <v>4</v>
      </c>
      <c r="F139">
        <v>232</v>
      </c>
      <c r="G139">
        <v>10</v>
      </c>
      <c r="H139">
        <v>2320</v>
      </c>
      <c r="I139" t="s">
        <v>225</v>
      </c>
    </row>
    <row r="140" spans="1:9" x14ac:dyDescent="0.25">
      <c r="A140">
        <v>1871</v>
      </c>
      <c r="B140" s="81">
        <v>43993</v>
      </c>
      <c r="C140" t="s">
        <v>147</v>
      </c>
      <c r="D140" t="s">
        <v>81</v>
      </c>
      <c r="E140">
        <v>2</v>
      </c>
      <c r="F140">
        <v>88</v>
      </c>
      <c r="G140">
        <v>15</v>
      </c>
      <c r="H140">
        <v>1320</v>
      </c>
      <c r="I140" t="s">
        <v>225</v>
      </c>
    </row>
    <row r="141" spans="1:9" x14ac:dyDescent="0.25">
      <c r="A141">
        <v>1872</v>
      </c>
      <c r="B141" s="81">
        <v>43993</v>
      </c>
      <c r="C141" t="s">
        <v>160</v>
      </c>
      <c r="D141" t="s">
        <v>161</v>
      </c>
      <c r="E141">
        <v>1</v>
      </c>
      <c r="F141">
        <v>60</v>
      </c>
      <c r="G141">
        <v>15</v>
      </c>
      <c r="H141">
        <v>900</v>
      </c>
      <c r="I141" t="s">
        <v>225</v>
      </c>
    </row>
    <row r="142" spans="1:9" x14ac:dyDescent="0.25">
      <c r="A142">
        <v>1873</v>
      </c>
      <c r="B142" s="81">
        <v>43993</v>
      </c>
      <c r="C142" t="s">
        <v>79</v>
      </c>
      <c r="D142" t="s">
        <v>162</v>
      </c>
      <c r="E142">
        <v>1</v>
      </c>
      <c r="F142">
        <v>57</v>
      </c>
      <c r="G142">
        <v>9</v>
      </c>
      <c r="H142">
        <v>513</v>
      </c>
      <c r="I142" t="s">
        <v>225</v>
      </c>
    </row>
    <row r="143" spans="1:9" x14ac:dyDescent="0.25">
      <c r="A143">
        <v>1874</v>
      </c>
      <c r="B143" s="81">
        <v>43993</v>
      </c>
      <c r="C143" t="s">
        <v>65</v>
      </c>
      <c r="D143" t="s">
        <v>162</v>
      </c>
      <c r="E143">
        <v>2</v>
      </c>
      <c r="F143">
        <v>98</v>
      </c>
      <c r="G143">
        <v>9</v>
      </c>
      <c r="H143">
        <v>882</v>
      </c>
      <c r="I143" t="s">
        <v>225</v>
      </c>
    </row>
    <row r="144" spans="1:9" x14ac:dyDescent="0.25">
      <c r="A144">
        <v>1875</v>
      </c>
      <c r="B144" s="81">
        <v>43993</v>
      </c>
      <c r="C144" t="s">
        <v>65</v>
      </c>
      <c r="D144" t="s">
        <v>105</v>
      </c>
      <c r="E144">
        <v>1</v>
      </c>
      <c r="F144">
        <v>39</v>
      </c>
      <c r="G144">
        <v>10</v>
      </c>
      <c r="H144">
        <v>390</v>
      </c>
      <c r="I144" t="s">
        <v>225</v>
      </c>
    </row>
    <row r="145" spans="1:9" x14ac:dyDescent="0.25">
      <c r="A145">
        <v>1876</v>
      </c>
      <c r="B145" s="81">
        <v>43993</v>
      </c>
      <c r="C145" t="s">
        <v>141</v>
      </c>
      <c r="D145" t="s">
        <v>101</v>
      </c>
      <c r="E145">
        <v>2</v>
      </c>
      <c r="F145">
        <v>109</v>
      </c>
      <c r="G145">
        <v>10</v>
      </c>
      <c r="H145">
        <v>1090</v>
      </c>
      <c r="I145" t="s">
        <v>225</v>
      </c>
    </row>
    <row r="146" spans="1:9" x14ac:dyDescent="0.25">
      <c r="A146">
        <v>1877</v>
      </c>
      <c r="B146" s="81">
        <v>43993</v>
      </c>
      <c r="C146" t="s">
        <v>100</v>
      </c>
      <c r="D146" t="s">
        <v>101</v>
      </c>
      <c r="E146">
        <v>2</v>
      </c>
      <c r="F146">
        <v>52</v>
      </c>
      <c r="G146">
        <v>10</v>
      </c>
      <c r="H146">
        <v>520</v>
      </c>
      <c r="I146" t="s">
        <v>225</v>
      </c>
    </row>
    <row r="147" spans="1:9" x14ac:dyDescent="0.25">
      <c r="A147">
        <v>1878</v>
      </c>
      <c r="B147" s="81">
        <v>43993</v>
      </c>
      <c r="C147" t="s">
        <v>134</v>
      </c>
      <c r="D147" t="s">
        <v>162</v>
      </c>
      <c r="E147">
        <v>2</v>
      </c>
      <c r="F147">
        <v>106</v>
      </c>
      <c r="G147">
        <v>9</v>
      </c>
      <c r="H147">
        <v>954</v>
      </c>
      <c r="I147" t="s">
        <v>225</v>
      </c>
    </row>
    <row r="148" spans="1:9" x14ac:dyDescent="0.25">
      <c r="A148">
        <v>1879</v>
      </c>
      <c r="B148" s="81">
        <v>43993</v>
      </c>
      <c r="C148" t="s">
        <v>65</v>
      </c>
      <c r="D148" t="s">
        <v>86</v>
      </c>
      <c r="E148">
        <v>1</v>
      </c>
      <c r="F148">
        <v>38</v>
      </c>
      <c r="G148">
        <v>10</v>
      </c>
      <c r="H148">
        <v>380</v>
      </c>
      <c r="I148" t="s">
        <v>225</v>
      </c>
    </row>
    <row r="149" spans="1:9" x14ac:dyDescent="0.25">
      <c r="A149">
        <v>1880</v>
      </c>
      <c r="B149" s="81">
        <v>43993</v>
      </c>
      <c r="C149" t="s">
        <v>111</v>
      </c>
      <c r="D149" t="s">
        <v>163</v>
      </c>
      <c r="E149">
        <v>1</v>
      </c>
      <c r="F149">
        <v>57</v>
      </c>
      <c r="G149">
        <v>10</v>
      </c>
      <c r="H149">
        <v>570</v>
      </c>
      <c r="I149" t="s">
        <v>225</v>
      </c>
    </row>
    <row r="150" spans="1:9" x14ac:dyDescent="0.25">
      <c r="A150">
        <v>1881</v>
      </c>
      <c r="B150" s="81">
        <v>43993</v>
      </c>
      <c r="C150" t="s">
        <v>111</v>
      </c>
      <c r="D150" t="s">
        <v>112</v>
      </c>
      <c r="E150">
        <v>3</v>
      </c>
      <c r="F150">
        <v>193</v>
      </c>
      <c r="G150">
        <v>10</v>
      </c>
      <c r="H150">
        <v>1930</v>
      </c>
      <c r="I150" t="s">
        <v>225</v>
      </c>
    </row>
    <row r="151" spans="1:9" x14ac:dyDescent="0.25">
      <c r="A151">
        <v>1882</v>
      </c>
      <c r="B151" s="81">
        <v>43993</v>
      </c>
      <c r="C151" t="s">
        <v>139</v>
      </c>
      <c r="D151" t="s">
        <v>140</v>
      </c>
      <c r="E151">
        <v>1</v>
      </c>
      <c r="F151">
        <v>10</v>
      </c>
      <c r="G151">
        <v>10</v>
      </c>
      <c r="H151">
        <v>100</v>
      </c>
      <c r="I151" t="s">
        <v>225</v>
      </c>
    </row>
    <row r="152" spans="1:9" x14ac:dyDescent="0.25">
      <c r="A152">
        <v>1883</v>
      </c>
      <c r="B152" s="81">
        <v>43993</v>
      </c>
      <c r="C152" t="s">
        <v>71</v>
      </c>
      <c r="D152" t="s">
        <v>68</v>
      </c>
      <c r="E152">
        <v>1</v>
      </c>
      <c r="F152">
        <v>23</v>
      </c>
      <c r="G152">
        <v>10</v>
      </c>
      <c r="H152">
        <v>230</v>
      </c>
      <c r="I152" t="s">
        <v>225</v>
      </c>
    </row>
    <row r="153" spans="1:9" x14ac:dyDescent="0.25">
      <c r="A153">
        <v>1884</v>
      </c>
      <c r="B153" s="81">
        <v>43993</v>
      </c>
      <c r="C153" t="s">
        <v>164</v>
      </c>
      <c r="D153" t="s">
        <v>66</v>
      </c>
      <c r="E153">
        <v>1</v>
      </c>
      <c r="F153">
        <v>60</v>
      </c>
      <c r="G153">
        <v>10</v>
      </c>
      <c r="H153">
        <v>600</v>
      </c>
      <c r="I153" t="s">
        <v>239</v>
      </c>
    </row>
    <row r="154" spans="1:9" x14ac:dyDescent="0.25">
      <c r="A154">
        <v>1885</v>
      </c>
      <c r="B154" s="81">
        <v>43994</v>
      </c>
      <c r="C154" t="s">
        <v>138</v>
      </c>
      <c r="D154" t="s">
        <v>82</v>
      </c>
      <c r="E154">
        <v>1</v>
      </c>
      <c r="F154">
        <v>48</v>
      </c>
      <c r="G154">
        <v>10</v>
      </c>
      <c r="H154">
        <v>480</v>
      </c>
      <c r="I154" t="s">
        <v>239</v>
      </c>
    </row>
    <row r="155" spans="1:9" x14ac:dyDescent="0.25">
      <c r="A155">
        <v>1886</v>
      </c>
      <c r="B155" s="81">
        <v>43994</v>
      </c>
      <c r="C155" t="s">
        <v>165</v>
      </c>
      <c r="D155" t="s">
        <v>162</v>
      </c>
      <c r="E155">
        <v>2</v>
      </c>
      <c r="F155">
        <v>98</v>
      </c>
      <c r="G155">
        <v>9</v>
      </c>
      <c r="H155">
        <v>882</v>
      </c>
      <c r="I155" t="s">
        <v>225</v>
      </c>
    </row>
    <row r="156" spans="1:9" x14ac:dyDescent="0.25">
      <c r="A156">
        <v>1887</v>
      </c>
      <c r="B156" s="81">
        <v>43994</v>
      </c>
      <c r="C156" t="s">
        <v>166</v>
      </c>
      <c r="D156" t="s">
        <v>167</v>
      </c>
      <c r="E156">
        <v>4</v>
      </c>
      <c r="F156">
        <v>202</v>
      </c>
      <c r="G156">
        <v>10</v>
      </c>
      <c r="H156">
        <v>2020</v>
      </c>
      <c r="I156" t="s">
        <v>225</v>
      </c>
    </row>
    <row r="157" spans="1:9" x14ac:dyDescent="0.25">
      <c r="A157">
        <v>1888</v>
      </c>
      <c r="B157" s="81">
        <v>43994</v>
      </c>
      <c r="C157" t="s">
        <v>134</v>
      </c>
      <c r="D157" t="s">
        <v>101</v>
      </c>
      <c r="E157">
        <v>1</v>
      </c>
      <c r="F157">
        <v>56</v>
      </c>
      <c r="G157">
        <v>10</v>
      </c>
      <c r="H157">
        <v>560</v>
      </c>
      <c r="I157" t="s">
        <v>225</v>
      </c>
    </row>
    <row r="158" spans="1:9" x14ac:dyDescent="0.25">
      <c r="A158">
        <v>1889</v>
      </c>
      <c r="B158" s="81">
        <v>43994</v>
      </c>
      <c r="C158" t="s">
        <v>168</v>
      </c>
      <c r="D158" t="s">
        <v>161</v>
      </c>
      <c r="E158">
        <v>1</v>
      </c>
      <c r="F158">
        <v>56</v>
      </c>
      <c r="G158">
        <v>10</v>
      </c>
      <c r="H158">
        <v>560</v>
      </c>
      <c r="I158" t="s">
        <v>225</v>
      </c>
    </row>
    <row r="159" spans="1:9" x14ac:dyDescent="0.25">
      <c r="A159">
        <v>1890</v>
      </c>
      <c r="B159" s="81">
        <v>43994</v>
      </c>
      <c r="C159" t="s">
        <v>169</v>
      </c>
      <c r="D159" t="s">
        <v>109</v>
      </c>
      <c r="E159">
        <v>2</v>
      </c>
      <c r="F159">
        <v>128</v>
      </c>
      <c r="G159">
        <v>9</v>
      </c>
      <c r="H159">
        <v>1152</v>
      </c>
      <c r="I159" t="s">
        <v>225</v>
      </c>
    </row>
    <row r="160" spans="1:9" x14ac:dyDescent="0.25">
      <c r="A160">
        <v>1891</v>
      </c>
      <c r="B160" s="81">
        <v>43994</v>
      </c>
      <c r="C160" t="s">
        <v>138</v>
      </c>
      <c r="D160" t="s">
        <v>78</v>
      </c>
      <c r="E160">
        <v>1</v>
      </c>
      <c r="F160">
        <v>56</v>
      </c>
      <c r="G160">
        <v>10</v>
      </c>
      <c r="H160">
        <v>560</v>
      </c>
      <c r="I160" t="s">
        <v>225</v>
      </c>
    </row>
    <row r="161" spans="1:9" x14ac:dyDescent="0.25">
      <c r="A161">
        <v>1892</v>
      </c>
      <c r="B161" s="81">
        <v>43994</v>
      </c>
      <c r="C161" t="s">
        <v>134</v>
      </c>
      <c r="D161" t="s">
        <v>135</v>
      </c>
      <c r="E161">
        <v>1</v>
      </c>
      <c r="F161">
        <v>37</v>
      </c>
      <c r="G161">
        <v>10</v>
      </c>
      <c r="H161">
        <v>370</v>
      </c>
      <c r="I161" t="s">
        <v>225</v>
      </c>
    </row>
    <row r="162" spans="1:9" x14ac:dyDescent="0.25">
      <c r="A162">
        <v>1893</v>
      </c>
      <c r="B162" s="81">
        <v>43994</v>
      </c>
      <c r="C162" t="s">
        <v>65</v>
      </c>
      <c r="D162" t="s">
        <v>82</v>
      </c>
      <c r="E162">
        <v>1</v>
      </c>
      <c r="F162">
        <v>43</v>
      </c>
      <c r="G162">
        <v>10</v>
      </c>
      <c r="H162">
        <v>430</v>
      </c>
      <c r="I162" t="s">
        <v>225</v>
      </c>
    </row>
    <row r="163" spans="1:9" x14ac:dyDescent="0.25">
      <c r="A163">
        <v>1894</v>
      </c>
      <c r="B163" s="81">
        <v>43994</v>
      </c>
      <c r="C163" t="s">
        <v>69</v>
      </c>
      <c r="D163" t="s">
        <v>105</v>
      </c>
      <c r="E163">
        <v>2</v>
      </c>
      <c r="F163">
        <v>74</v>
      </c>
      <c r="G163">
        <v>10</v>
      </c>
      <c r="H163">
        <v>740</v>
      </c>
      <c r="I163" t="s">
        <v>225</v>
      </c>
    </row>
    <row r="164" spans="1:9" x14ac:dyDescent="0.25">
      <c r="A164">
        <v>1895</v>
      </c>
      <c r="B164" s="81">
        <v>43994</v>
      </c>
      <c r="C164" t="s">
        <v>69</v>
      </c>
      <c r="D164" t="s">
        <v>170</v>
      </c>
      <c r="E164">
        <v>1</v>
      </c>
      <c r="F164">
        <v>51</v>
      </c>
      <c r="G164">
        <v>10</v>
      </c>
      <c r="H164">
        <v>510</v>
      </c>
      <c r="I164" t="s">
        <v>225</v>
      </c>
    </row>
    <row r="165" spans="1:9" x14ac:dyDescent="0.25">
      <c r="A165">
        <v>1896</v>
      </c>
      <c r="B165" s="81">
        <v>43994</v>
      </c>
      <c r="C165" t="s">
        <v>69</v>
      </c>
      <c r="D165" t="s">
        <v>171</v>
      </c>
      <c r="E165">
        <v>1</v>
      </c>
      <c r="F165">
        <v>63</v>
      </c>
      <c r="G165">
        <v>10</v>
      </c>
      <c r="H165">
        <v>630</v>
      </c>
      <c r="I165" t="s">
        <v>225</v>
      </c>
    </row>
    <row r="166" spans="1:9" x14ac:dyDescent="0.25">
      <c r="A166">
        <v>1897</v>
      </c>
      <c r="B166" s="81">
        <v>43994</v>
      </c>
      <c r="C166" t="s">
        <v>166</v>
      </c>
      <c r="D166" t="s">
        <v>81</v>
      </c>
      <c r="E166">
        <v>1</v>
      </c>
      <c r="F166">
        <v>33</v>
      </c>
      <c r="G166">
        <v>10</v>
      </c>
      <c r="H166">
        <v>330</v>
      </c>
      <c r="I166" t="s">
        <v>225</v>
      </c>
    </row>
    <row r="167" spans="1:9" x14ac:dyDescent="0.25">
      <c r="A167">
        <v>1898</v>
      </c>
      <c r="B167" s="81">
        <v>43994</v>
      </c>
      <c r="C167" t="s">
        <v>92</v>
      </c>
      <c r="D167" t="s">
        <v>172</v>
      </c>
      <c r="E167">
        <v>3</v>
      </c>
      <c r="F167">
        <v>139</v>
      </c>
      <c r="G167">
        <v>10</v>
      </c>
      <c r="H167">
        <v>1390</v>
      </c>
      <c r="I167" t="s">
        <v>225</v>
      </c>
    </row>
    <row r="168" spans="1:9" x14ac:dyDescent="0.25">
      <c r="A168">
        <v>1899</v>
      </c>
      <c r="B168" s="81">
        <v>43994</v>
      </c>
      <c r="C168" t="s">
        <v>74</v>
      </c>
      <c r="D168" t="s">
        <v>78</v>
      </c>
      <c r="E168">
        <v>3</v>
      </c>
      <c r="F168">
        <v>160</v>
      </c>
      <c r="G168">
        <v>10</v>
      </c>
      <c r="H168">
        <v>1600</v>
      </c>
      <c r="I168" t="s">
        <v>225</v>
      </c>
    </row>
    <row r="169" spans="1:9" x14ac:dyDescent="0.25">
      <c r="A169">
        <v>1900</v>
      </c>
      <c r="B169" s="81">
        <v>43994</v>
      </c>
      <c r="C169" t="s">
        <v>74</v>
      </c>
      <c r="D169" t="s">
        <v>66</v>
      </c>
      <c r="E169">
        <v>1</v>
      </c>
      <c r="F169">
        <v>42</v>
      </c>
      <c r="G169">
        <v>10</v>
      </c>
      <c r="H169">
        <v>420</v>
      </c>
      <c r="I169" t="s">
        <v>225</v>
      </c>
    </row>
    <row r="170" spans="1:9" x14ac:dyDescent="0.25">
      <c r="A170">
        <v>1901</v>
      </c>
      <c r="B170" s="81">
        <v>43994</v>
      </c>
      <c r="C170" t="s">
        <v>80</v>
      </c>
      <c r="D170" t="s">
        <v>173</v>
      </c>
      <c r="E170">
        <v>1</v>
      </c>
      <c r="F170">
        <v>40</v>
      </c>
      <c r="G170">
        <v>10</v>
      </c>
      <c r="H170">
        <v>400</v>
      </c>
      <c r="I170" t="s">
        <v>225</v>
      </c>
    </row>
    <row r="171" spans="1:9" x14ac:dyDescent="0.25">
      <c r="A171">
        <v>1902</v>
      </c>
      <c r="B171" s="81">
        <v>43994</v>
      </c>
      <c r="C171" t="s">
        <v>141</v>
      </c>
      <c r="D171" t="s">
        <v>167</v>
      </c>
      <c r="E171">
        <v>4</v>
      </c>
      <c r="F171">
        <v>212</v>
      </c>
      <c r="G171">
        <v>10</v>
      </c>
      <c r="H171">
        <v>2120</v>
      </c>
      <c r="I171" t="s">
        <v>225</v>
      </c>
    </row>
    <row r="172" spans="1:9" x14ac:dyDescent="0.25">
      <c r="A172">
        <v>1903</v>
      </c>
      <c r="B172" s="81">
        <v>43994</v>
      </c>
      <c r="C172" t="s">
        <v>174</v>
      </c>
      <c r="D172" t="s">
        <v>101</v>
      </c>
      <c r="E172">
        <v>1</v>
      </c>
      <c r="F172">
        <v>51</v>
      </c>
      <c r="G172">
        <v>10</v>
      </c>
      <c r="H172">
        <v>510</v>
      </c>
      <c r="I172" t="s">
        <v>225</v>
      </c>
    </row>
    <row r="173" spans="1:9" x14ac:dyDescent="0.25">
      <c r="A173">
        <v>1904</v>
      </c>
      <c r="B173" s="81">
        <v>43994</v>
      </c>
      <c r="C173" t="s">
        <v>175</v>
      </c>
      <c r="D173" t="s">
        <v>171</v>
      </c>
      <c r="E173">
        <v>2</v>
      </c>
      <c r="F173">
        <v>65</v>
      </c>
      <c r="G173">
        <v>10</v>
      </c>
      <c r="H173">
        <v>650</v>
      </c>
      <c r="I173" t="s">
        <v>225</v>
      </c>
    </row>
    <row r="174" spans="1:9" x14ac:dyDescent="0.25">
      <c r="A174">
        <v>1905</v>
      </c>
      <c r="B174" s="81">
        <v>43994</v>
      </c>
      <c r="C174" t="s">
        <v>116</v>
      </c>
      <c r="D174" t="s">
        <v>66</v>
      </c>
      <c r="E174">
        <v>1</v>
      </c>
      <c r="F174">
        <v>40</v>
      </c>
      <c r="G174">
        <v>10</v>
      </c>
      <c r="H174">
        <v>400</v>
      </c>
      <c r="I174" t="s">
        <v>225</v>
      </c>
    </row>
    <row r="175" spans="1:9" x14ac:dyDescent="0.25">
      <c r="A175">
        <v>1906</v>
      </c>
      <c r="B175" s="81">
        <v>43994</v>
      </c>
      <c r="C175" t="s">
        <v>116</v>
      </c>
      <c r="D175" t="s">
        <v>162</v>
      </c>
      <c r="E175">
        <v>2</v>
      </c>
      <c r="F175">
        <v>80</v>
      </c>
      <c r="G175">
        <v>9</v>
      </c>
      <c r="H175">
        <v>720</v>
      </c>
      <c r="I175" t="s">
        <v>225</v>
      </c>
    </row>
    <row r="176" spans="1:9" x14ac:dyDescent="0.25">
      <c r="A176">
        <v>1907</v>
      </c>
      <c r="B176" s="81">
        <v>43994</v>
      </c>
      <c r="C176" t="s">
        <v>80</v>
      </c>
      <c r="D176" t="s">
        <v>81</v>
      </c>
      <c r="E176">
        <v>2</v>
      </c>
      <c r="F176">
        <v>97</v>
      </c>
      <c r="G176">
        <v>10</v>
      </c>
      <c r="H176">
        <v>970</v>
      </c>
      <c r="I176" t="s">
        <v>225</v>
      </c>
    </row>
    <row r="177" spans="1:9" x14ac:dyDescent="0.25">
      <c r="A177">
        <v>1908</v>
      </c>
      <c r="B177" s="81">
        <v>43994</v>
      </c>
      <c r="C177" t="s">
        <v>71</v>
      </c>
      <c r="D177" t="s">
        <v>176</v>
      </c>
      <c r="E177">
        <v>1</v>
      </c>
      <c r="F177">
        <v>21</v>
      </c>
      <c r="G177">
        <v>10</v>
      </c>
      <c r="H177">
        <v>210</v>
      </c>
      <c r="I177" t="s">
        <v>239</v>
      </c>
    </row>
    <row r="178" spans="1:9" x14ac:dyDescent="0.25">
      <c r="A178">
        <v>1909</v>
      </c>
      <c r="B178" s="81">
        <v>43995</v>
      </c>
      <c r="C178" t="s">
        <v>177</v>
      </c>
      <c r="D178" t="s">
        <v>162</v>
      </c>
      <c r="E178">
        <v>2</v>
      </c>
      <c r="F178">
        <v>80</v>
      </c>
      <c r="G178">
        <v>9</v>
      </c>
      <c r="H178">
        <v>720</v>
      </c>
      <c r="I178" t="s">
        <v>239</v>
      </c>
    </row>
    <row r="179" spans="1:9" x14ac:dyDescent="0.25">
      <c r="A179">
        <v>1910</v>
      </c>
      <c r="B179" s="81">
        <v>43995</v>
      </c>
      <c r="C179" t="s">
        <v>65</v>
      </c>
      <c r="D179" t="s">
        <v>86</v>
      </c>
      <c r="E179">
        <v>1</v>
      </c>
      <c r="F179">
        <v>27</v>
      </c>
      <c r="G179">
        <v>10</v>
      </c>
      <c r="H179">
        <v>270</v>
      </c>
      <c r="I179" t="s">
        <v>225</v>
      </c>
    </row>
    <row r="180" spans="1:9" x14ac:dyDescent="0.25">
      <c r="A180">
        <v>1911</v>
      </c>
      <c r="B180" s="81">
        <v>43995</v>
      </c>
      <c r="C180" t="s">
        <v>79</v>
      </c>
      <c r="D180" t="s">
        <v>178</v>
      </c>
      <c r="E180">
        <v>1</v>
      </c>
      <c r="F180">
        <v>58</v>
      </c>
      <c r="G180">
        <v>10</v>
      </c>
      <c r="H180">
        <v>580</v>
      </c>
      <c r="I180" t="s">
        <v>225</v>
      </c>
    </row>
    <row r="181" spans="1:9" x14ac:dyDescent="0.25">
      <c r="A181">
        <v>1912</v>
      </c>
      <c r="B181" s="81">
        <v>43995</v>
      </c>
      <c r="C181" t="s">
        <v>179</v>
      </c>
      <c r="D181" t="s">
        <v>101</v>
      </c>
      <c r="E181">
        <v>4</v>
      </c>
      <c r="F181">
        <v>205</v>
      </c>
      <c r="G181">
        <v>10</v>
      </c>
      <c r="H181">
        <v>2050</v>
      </c>
      <c r="I181" t="s">
        <v>225</v>
      </c>
    </row>
    <row r="182" spans="1:9" x14ac:dyDescent="0.25">
      <c r="A182">
        <v>1913</v>
      </c>
      <c r="B182" s="81">
        <v>43995</v>
      </c>
      <c r="C182" t="s">
        <v>69</v>
      </c>
      <c r="D182" t="s">
        <v>107</v>
      </c>
      <c r="E182">
        <v>2</v>
      </c>
      <c r="F182">
        <v>122</v>
      </c>
      <c r="G182">
        <v>10</v>
      </c>
      <c r="H182">
        <v>1220</v>
      </c>
      <c r="I182" t="s">
        <v>225</v>
      </c>
    </row>
    <row r="183" spans="1:9" x14ac:dyDescent="0.25">
      <c r="A183">
        <v>1914</v>
      </c>
      <c r="B183" s="81">
        <v>43995</v>
      </c>
      <c r="C183" t="s">
        <v>180</v>
      </c>
      <c r="D183" t="s">
        <v>181</v>
      </c>
      <c r="E183">
        <v>4</v>
      </c>
      <c r="F183">
        <v>188</v>
      </c>
      <c r="G183">
        <v>10</v>
      </c>
      <c r="H183">
        <v>1880</v>
      </c>
      <c r="I183" t="s">
        <v>225</v>
      </c>
    </row>
    <row r="184" spans="1:9" x14ac:dyDescent="0.25">
      <c r="A184">
        <v>1915</v>
      </c>
      <c r="B184" s="81">
        <v>43995</v>
      </c>
      <c r="C184" t="s">
        <v>77</v>
      </c>
      <c r="D184" t="s">
        <v>142</v>
      </c>
      <c r="E184">
        <v>3</v>
      </c>
      <c r="F184">
        <v>122</v>
      </c>
      <c r="G184">
        <v>10</v>
      </c>
      <c r="H184">
        <v>1220</v>
      </c>
      <c r="I184" t="s">
        <v>225</v>
      </c>
    </row>
    <row r="185" spans="1:9" x14ac:dyDescent="0.25">
      <c r="A185">
        <v>1916</v>
      </c>
      <c r="B185" s="81">
        <v>43995</v>
      </c>
      <c r="H185">
        <v>0</v>
      </c>
      <c r="I185" t="s">
        <v>225</v>
      </c>
    </row>
    <row r="186" spans="1:9" x14ac:dyDescent="0.25">
      <c r="A186">
        <v>1917</v>
      </c>
      <c r="B186" s="81">
        <v>43995</v>
      </c>
      <c r="C186" t="s">
        <v>77</v>
      </c>
      <c r="D186" t="s">
        <v>78</v>
      </c>
      <c r="E186">
        <v>2</v>
      </c>
      <c r="F186">
        <v>84</v>
      </c>
      <c r="G186">
        <v>10</v>
      </c>
      <c r="H186">
        <v>840</v>
      </c>
      <c r="I186" t="s">
        <v>225</v>
      </c>
    </row>
    <row r="187" spans="1:9" x14ac:dyDescent="0.25">
      <c r="A187">
        <v>1918</v>
      </c>
      <c r="B187" s="81">
        <v>43995</v>
      </c>
      <c r="C187" t="s">
        <v>182</v>
      </c>
      <c r="D187" t="s">
        <v>109</v>
      </c>
      <c r="E187">
        <v>1</v>
      </c>
      <c r="F187">
        <v>57</v>
      </c>
      <c r="G187">
        <v>9</v>
      </c>
      <c r="H187">
        <v>513</v>
      </c>
      <c r="I187" t="s">
        <v>225</v>
      </c>
    </row>
    <row r="188" spans="1:9" x14ac:dyDescent="0.25">
      <c r="A188">
        <v>1919</v>
      </c>
      <c r="B188" s="81">
        <v>43995</v>
      </c>
      <c r="C188" t="s">
        <v>183</v>
      </c>
      <c r="D188" t="s">
        <v>66</v>
      </c>
      <c r="E188">
        <v>1</v>
      </c>
      <c r="F188">
        <v>54</v>
      </c>
      <c r="G188">
        <v>10</v>
      </c>
      <c r="H188">
        <v>540</v>
      </c>
      <c r="I188" t="s">
        <v>225</v>
      </c>
    </row>
    <row r="189" spans="1:9" x14ac:dyDescent="0.25">
      <c r="A189">
        <v>1920</v>
      </c>
      <c r="B189" s="81">
        <v>43995</v>
      </c>
      <c r="C189" t="s">
        <v>119</v>
      </c>
      <c r="D189" t="s">
        <v>120</v>
      </c>
      <c r="E189">
        <v>1</v>
      </c>
      <c r="F189">
        <v>58</v>
      </c>
      <c r="G189">
        <v>10</v>
      </c>
      <c r="H189">
        <v>580</v>
      </c>
      <c r="I189" t="s">
        <v>225</v>
      </c>
    </row>
    <row r="190" spans="1:9" x14ac:dyDescent="0.25">
      <c r="A190">
        <v>1921</v>
      </c>
      <c r="B190" s="81">
        <v>43995</v>
      </c>
      <c r="C190" t="s">
        <v>80</v>
      </c>
      <c r="D190" t="s">
        <v>184</v>
      </c>
      <c r="E190">
        <v>1</v>
      </c>
      <c r="F190">
        <v>73</v>
      </c>
      <c r="G190">
        <v>10</v>
      </c>
      <c r="H190">
        <v>730</v>
      </c>
      <c r="I190" t="s">
        <v>225</v>
      </c>
    </row>
    <row r="191" spans="1:9" x14ac:dyDescent="0.25">
      <c r="A191">
        <v>1922</v>
      </c>
      <c r="B191" s="81">
        <v>43995</v>
      </c>
      <c r="C191" t="s">
        <v>185</v>
      </c>
      <c r="D191" t="s">
        <v>186</v>
      </c>
      <c r="E191">
        <v>1</v>
      </c>
      <c r="F191">
        <v>10</v>
      </c>
      <c r="G191">
        <v>10</v>
      </c>
      <c r="H191">
        <v>100</v>
      </c>
      <c r="I191" t="s">
        <v>225</v>
      </c>
    </row>
    <row r="192" spans="1:9" x14ac:dyDescent="0.25">
      <c r="A192">
        <v>1923</v>
      </c>
      <c r="B192" s="81">
        <v>43995</v>
      </c>
      <c r="C192" t="s">
        <v>185</v>
      </c>
      <c r="D192" t="s">
        <v>187</v>
      </c>
      <c r="E192">
        <v>1</v>
      </c>
      <c r="F192">
        <v>10</v>
      </c>
      <c r="G192">
        <v>10</v>
      </c>
      <c r="H192">
        <v>100</v>
      </c>
      <c r="I192" t="s">
        <v>225</v>
      </c>
    </row>
    <row r="193" spans="1:9" x14ac:dyDescent="0.25">
      <c r="A193">
        <v>1924</v>
      </c>
      <c r="B193" s="81">
        <v>43995</v>
      </c>
      <c r="C193" t="s">
        <v>138</v>
      </c>
      <c r="D193" t="s">
        <v>82</v>
      </c>
      <c r="E193">
        <v>1</v>
      </c>
      <c r="F193">
        <v>49</v>
      </c>
      <c r="G193">
        <v>10</v>
      </c>
      <c r="H193">
        <v>490</v>
      </c>
      <c r="I193" t="s">
        <v>225</v>
      </c>
    </row>
    <row r="194" spans="1:9" x14ac:dyDescent="0.25">
      <c r="A194">
        <v>1925</v>
      </c>
      <c r="B194" s="81">
        <v>43995</v>
      </c>
      <c r="C194" t="s">
        <v>125</v>
      </c>
      <c r="D194" t="s">
        <v>155</v>
      </c>
      <c r="E194">
        <v>1</v>
      </c>
      <c r="F194">
        <v>61</v>
      </c>
      <c r="G194">
        <v>10</v>
      </c>
      <c r="H194">
        <v>610</v>
      </c>
      <c r="I194" t="s">
        <v>225</v>
      </c>
    </row>
    <row r="195" spans="1:9" x14ac:dyDescent="0.25">
      <c r="A195">
        <v>1926</v>
      </c>
      <c r="B195" s="81">
        <v>43995</v>
      </c>
      <c r="C195" t="s">
        <v>185</v>
      </c>
      <c r="D195" t="s">
        <v>187</v>
      </c>
      <c r="E195">
        <v>1</v>
      </c>
      <c r="F195">
        <v>26</v>
      </c>
      <c r="G195">
        <v>10</v>
      </c>
      <c r="H195">
        <v>260</v>
      </c>
      <c r="I195" t="s">
        <v>225</v>
      </c>
    </row>
    <row r="196" spans="1:9" x14ac:dyDescent="0.25">
      <c r="A196">
        <v>1927</v>
      </c>
      <c r="B196" s="81">
        <v>43995</v>
      </c>
      <c r="C196" t="s">
        <v>185</v>
      </c>
      <c r="D196" t="s">
        <v>188</v>
      </c>
      <c r="E196">
        <v>1</v>
      </c>
      <c r="F196">
        <v>31</v>
      </c>
      <c r="G196">
        <v>10</v>
      </c>
      <c r="H196">
        <v>310</v>
      </c>
      <c r="I196" t="s">
        <v>225</v>
      </c>
    </row>
    <row r="197" spans="1:9" x14ac:dyDescent="0.25">
      <c r="A197">
        <v>1928</v>
      </c>
      <c r="B197" s="81">
        <v>43995</v>
      </c>
      <c r="C197" t="s">
        <v>185</v>
      </c>
      <c r="D197" t="s">
        <v>189</v>
      </c>
      <c r="E197">
        <v>1</v>
      </c>
      <c r="F197">
        <v>21</v>
      </c>
      <c r="G197">
        <v>10</v>
      </c>
      <c r="H197">
        <v>210</v>
      </c>
      <c r="I197" t="s">
        <v>225</v>
      </c>
    </row>
    <row r="198" spans="1:9" x14ac:dyDescent="0.25">
      <c r="A198">
        <v>1929</v>
      </c>
      <c r="B198" s="81">
        <v>43995</v>
      </c>
      <c r="C198" t="s">
        <v>103</v>
      </c>
      <c r="D198" t="s">
        <v>190</v>
      </c>
      <c r="E198">
        <v>2</v>
      </c>
      <c r="F198">
        <v>120</v>
      </c>
      <c r="G198">
        <v>10</v>
      </c>
      <c r="H198">
        <v>1200</v>
      </c>
      <c r="I198" t="s">
        <v>225</v>
      </c>
    </row>
    <row r="199" spans="1:9" x14ac:dyDescent="0.25">
      <c r="A199">
        <v>1930</v>
      </c>
      <c r="B199" s="81">
        <v>43995</v>
      </c>
      <c r="C199" t="s">
        <v>146</v>
      </c>
      <c r="D199" t="s">
        <v>146</v>
      </c>
      <c r="E199">
        <v>1</v>
      </c>
      <c r="F199">
        <v>49</v>
      </c>
      <c r="G199">
        <v>10</v>
      </c>
      <c r="H199">
        <v>490</v>
      </c>
      <c r="I199" t="s">
        <v>225</v>
      </c>
    </row>
    <row r="200" spans="1:9" x14ac:dyDescent="0.25">
      <c r="A200">
        <v>1931</v>
      </c>
      <c r="B200" s="81">
        <v>43995</v>
      </c>
      <c r="C200" t="s">
        <v>65</v>
      </c>
      <c r="D200" t="s">
        <v>86</v>
      </c>
      <c r="E200">
        <v>1</v>
      </c>
      <c r="F200">
        <v>60</v>
      </c>
      <c r="G200">
        <v>10</v>
      </c>
      <c r="H200">
        <v>600</v>
      </c>
      <c r="I200" t="s">
        <v>225</v>
      </c>
    </row>
    <row r="201" spans="1:9" x14ac:dyDescent="0.25">
      <c r="A201">
        <v>1932</v>
      </c>
      <c r="B201" s="81">
        <v>43995</v>
      </c>
      <c r="C201" t="s">
        <v>191</v>
      </c>
      <c r="D201" t="s">
        <v>78</v>
      </c>
      <c r="E201">
        <v>2</v>
      </c>
      <c r="F201">
        <v>80</v>
      </c>
      <c r="G201">
        <v>10</v>
      </c>
      <c r="H201">
        <v>800</v>
      </c>
      <c r="I201" t="s">
        <v>225</v>
      </c>
    </row>
    <row r="202" spans="1:9" x14ac:dyDescent="0.25">
      <c r="A202">
        <v>1933</v>
      </c>
      <c r="B202" s="81">
        <v>43995</v>
      </c>
      <c r="C202" t="s">
        <v>191</v>
      </c>
      <c r="D202" t="s">
        <v>170</v>
      </c>
      <c r="E202">
        <v>1</v>
      </c>
      <c r="F202">
        <v>52</v>
      </c>
      <c r="G202">
        <v>10</v>
      </c>
      <c r="H202">
        <v>520</v>
      </c>
      <c r="I202" t="s">
        <v>225</v>
      </c>
    </row>
    <row r="203" spans="1:9" x14ac:dyDescent="0.25">
      <c r="A203">
        <v>1934</v>
      </c>
      <c r="B203" s="81">
        <v>43995</v>
      </c>
      <c r="C203" t="s">
        <v>192</v>
      </c>
      <c r="D203" t="s">
        <v>193</v>
      </c>
      <c r="E203">
        <v>1</v>
      </c>
      <c r="F203">
        <v>42</v>
      </c>
      <c r="G203">
        <v>10</v>
      </c>
      <c r="H203">
        <v>420</v>
      </c>
      <c r="I203" t="s">
        <v>225</v>
      </c>
    </row>
    <row r="204" spans="1:9" x14ac:dyDescent="0.25">
      <c r="A204">
        <v>1935</v>
      </c>
      <c r="B204" s="81">
        <v>43995</v>
      </c>
      <c r="C204" t="s">
        <v>194</v>
      </c>
      <c r="D204" t="s">
        <v>78</v>
      </c>
      <c r="E204">
        <v>2</v>
      </c>
      <c r="F204">
        <v>137</v>
      </c>
      <c r="G204">
        <v>10</v>
      </c>
      <c r="H204">
        <v>1370</v>
      </c>
      <c r="I204" t="s">
        <v>225</v>
      </c>
    </row>
    <row r="205" spans="1:9" x14ac:dyDescent="0.25">
      <c r="A205">
        <v>1936</v>
      </c>
      <c r="B205" s="81">
        <v>43995</v>
      </c>
      <c r="C205" t="s">
        <v>65</v>
      </c>
      <c r="D205" t="s">
        <v>193</v>
      </c>
      <c r="E205">
        <v>2</v>
      </c>
      <c r="F205">
        <v>93</v>
      </c>
      <c r="G205">
        <v>10</v>
      </c>
      <c r="H205">
        <v>930</v>
      </c>
      <c r="I205" t="s">
        <v>225</v>
      </c>
    </row>
    <row r="206" spans="1:9" x14ac:dyDescent="0.25">
      <c r="A206">
        <v>1937</v>
      </c>
      <c r="B206" s="81">
        <v>43995</v>
      </c>
      <c r="C206" t="s">
        <v>195</v>
      </c>
      <c r="D206" t="s">
        <v>196</v>
      </c>
      <c r="E206">
        <v>2</v>
      </c>
      <c r="F206">
        <v>104</v>
      </c>
      <c r="G206">
        <v>10</v>
      </c>
      <c r="H206">
        <v>1040</v>
      </c>
      <c r="I206" t="s">
        <v>225</v>
      </c>
    </row>
    <row r="207" spans="1:9" x14ac:dyDescent="0.25">
      <c r="A207">
        <v>1938</v>
      </c>
      <c r="B207" s="81">
        <v>43995</v>
      </c>
      <c r="C207" t="s">
        <v>195</v>
      </c>
      <c r="D207" t="s">
        <v>82</v>
      </c>
      <c r="E207">
        <v>1</v>
      </c>
      <c r="F207">
        <v>56</v>
      </c>
      <c r="G207">
        <v>10</v>
      </c>
      <c r="H207">
        <v>560</v>
      </c>
      <c r="I207" t="s">
        <v>225</v>
      </c>
    </row>
    <row r="208" spans="1:9" x14ac:dyDescent="0.25">
      <c r="A208">
        <v>1939</v>
      </c>
      <c r="B208" s="81">
        <v>43995</v>
      </c>
      <c r="C208" t="s">
        <v>195</v>
      </c>
      <c r="D208" t="s">
        <v>193</v>
      </c>
      <c r="E208">
        <v>1</v>
      </c>
      <c r="F208">
        <v>61</v>
      </c>
      <c r="G208">
        <v>10</v>
      </c>
      <c r="H208">
        <v>610</v>
      </c>
      <c r="I208" t="s">
        <v>225</v>
      </c>
    </row>
    <row r="209" spans="1:9" x14ac:dyDescent="0.25">
      <c r="A209">
        <v>1940</v>
      </c>
      <c r="B209" s="81">
        <v>43995</v>
      </c>
      <c r="C209" t="s">
        <v>195</v>
      </c>
      <c r="D209" t="s">
        <v>78</v>
      </c>
      <c r="E209">
        <v>1</v>
      </c>
      <c r="F209">
        <v>61</v>
      </c>
      <c r="G209">
        <v>10</v>
      </c>
      <c r="H209">
        <v>610</v>
      </c>
      <c r="I209" t="s">
        <v>225</v>
      </c>
    </row>
    <row r="210" spans="1:9" x14ac:dyDescent="0.25">
      <c r="A210">
        <v>1941</v>
      </c>
      <c r="B210" s="81">
        <v>43995</v>
      </c>
      <c r="C210" t="s">
        <v>134</v>
      </c>
      <c r="D210" t="s">
        <v>162</v>
      </c>
      <c r="E210">
        <v>1</v>
      </c>
      <c r="F210">
        <v>38</v>
      </c>
      <c r="G210">
        <v>9</v>
      </c>
      <c r="H210">
        <v>342</v>
      </c>
      <c r="I210" t="s">
        <v>225</v>
      </c>
    </row>
    <row r="211" spans="1:9" x14ac:dyDescent="0.25">
      <c r="A211">
        <v>1942</v>
      </c>
      <c r="B211" s="81">
        <v>43995</v>
      </c>
      <c r="C211" t="s">
        <v>134</v>
      </c>
      <c r="D211" t="s">
        <v>101</v>
      </c>
      <c r="E211">
        <v>1</v>
      </c>
      <c r="F211">
        <v>56</v>
      </c>
      <c r="G211">
        <v>10</v>
      </c>
      <c r="H211">
        <v>560</v>
      </c>
      <c r="I211" t="s">
        <v>225</v>
      </c>
    </row>
    <row r="212" spans="1:9" x14ac:dyDescent="0.25">
      <c r="A212">
        <v>1943</v>
      </c>
      <c r="B212" s="81">
        <v>43995</v>
      </c>
      <c r="C212" t="s">
        <v>197</v>
      </c>
      <c r="D212" t="s">
        <v>68</v>
      </c>
      <c r="E212">
        <v>1</v>
      </c>
      <c r="F212">
        <v>27</v>
      </c>
      <c r="G212">
        <v>10</v>
      </c>
      <c r="H212">
        <v>270</v>
      </c>
      <c r="I212" t="s">
        <v>225</v>
      </c>
    </row>
    <row r="213" spans="1:9" x14ac:dyDescent="0.25">
      <c r="A213">
        <v>1944</v>
      </c>
      <c r="B213" s="81">
        <v>43995</v>
      </c>
      <c r="C213" t="s">
        <v>139</v>
      </c>
      <c r="D213" t="s">
        <v>140</v>
      </c>
      <c r="E213">
        <v>1</v>
      </c>
      <c r="F213">
        <v>14</v>
      </c>
      <c r="G213">
        <v>10</v>
      </c>
      <c r="H213">
        <v>140</v>
      </c>
      <c r="I213" t="s">
        <v>239</v>
      </c>
    </row>
    <row r="214" spans="1:9" x14ac:dyDescent="0.25">
      <c r="A214">
        <v>1945</v>
      </c>
      <c r="B214" s="81">
        <v>43996</v>
      </c>
      <c r="C214" t="s">
        <v>65</v>
      </c>
      <c r="D214" t="s">
        <v>82</v>
      </c>
      <c r="E214">
        <v>1</v>
      </c>
      <c r="F214">
        <v>75</v>
      </c>
      <c r="G214">
        <v>9</v>
      </c>
      <c r="H214">
        <v>675</v>
      </c>
      <c r="I214" t="s">
        <v>239</v>
      </c>
    </row>
    <row r="215" spans="1:9" x14ac:dyDescent="0.25">
      <c r="A215">
        <v>1946</v>
      </c>
      <c r="B215" s="81">
        <v>43996</v>
      </c>
      <c r="C215" t="s">
        <v>80</v>
      </c>
      <c r="D215" t="s">
        <v>132</v>
      </c>
      <c r="E215">
        <v>7</v>
      </c>
      <c r="F215">
        <v>353</v>
      </c>
      <c r="G215">
        <v>15</v>
      </c>
      <c r="H215">
        <v>5295</v>
      </c>
      <c r="I215" t="s">
        <v>225</v>
      </c>
    </row>
    <row r="216" spans="1:9" x14ac:dyDescent="0.25">
      <c r="A216">
        <v>1947</v>
      </c>
      <c r="B216" s="81">
        <v>43996</v>
      </c>
      <c r="C216" t="s">
        <v>80</v>
      </c>
      <c r="D216" t="s">
        <v>198</v>
      </c>
      <c r="E216">
        <v>1</v>
      </c>
      <c r="F216">
        <v>31</v>
      </c>
      <c r="G216">
        <v>15</v>
      </c>
      <c r="H216">
        <v>465</v>
      </c>
      <c r="I216" t="s">
        <v>225</v>
      </c>
    </row>
    <row r="217" spans="1:9" x14ac:dyDescent="0.25">
      <c r="A217">
        <v>1948</v>
      </c>
      <c r="B217" s="81">
        <v>43996</v>
      </c>
      <c r="C217" t="s">
        <v>71</v>
      </c>
      <c r="D217" t="s">
        <v>107</v>
      </c>
      <c r="E217">
        <v>1</v>
      </c>
      <c r="F217">
        <v>38</v>
      </c>
      <c r="G217">
        <v>10</v>
      </c>
      <c r="H217">
        <v>380</v>
      </c>
      <c r="I217" t="s">
        <v>225</v>
      </c>
    </row>
    <row r="218" spans="1:9" x14ac:dyDescent="0.25">
      <c r="A218">
        <v>1949</v>
      </c>
      <c r="B218" s="81">
        <v>43996</v>
      </c>
      <c r="C218" t="s">
        <v>80</v>
      </c>
      <c r="D218" t="s">
        <v>199</v>
      </c>
      <c r="E218">
        <v>2</v>
      </c>
      <c r="F218">
        <v>119</v>
      </c>
      <c r="G218">
        <v>10</v>
      </c>
      <c r="H218">
        <v>1190</v>
      </c>
      <c r="I218" t="s">
        <v>225</v>
      </c>
    </row>
    <row r="219" spans="1:9" x14ac:dyDescent="0.25">
      <c r="A219">
        <v>1950</v>
      </c>
      <c r="B219" s="81">
        <v>43996</v>
      </c>
      <c r="C219" t="s">
        <v>138</v>
      </c>
      <c r="D219" t="s">
        <v>78</v>
      </c>
      <c r="E219">
        <v>1</v>
      </c>
      <c r="F219">
        <v>45</v>
      </c>
      <c r="G219">
        <v>10</v>
      </c>
      <c r="H219">
        <v>450</v>
      </c>
      <c r="I219" t="s">
        <v>225</v>
      </c>
    </row>
    <row r="220" spans="1:9" x14ac:dyDescent="0.25">
      <c r="A220">
        <v>1951</v>
      </c>
      <c r="B220" s="81">
        <v>43996</v>
      </c>
      <c r="C220" t="s">
        <v>116</v>
      </c>
      <c r="D220" t="s">
        <v>200</v>
      </c>
      <c r="E220">
        <v>1</v>
      </c>
      <c r="F220">
        <v>51</v>
      </c>
      <c r="G220">
        <v>10</v>
      </c>
      <c r="H220">
        <v>510</v>
      </c>
      <c r="I220" t="s">
        <v>225</v>
      </c>
    </row>
    <row r="221" spans="1:9" x14ac:dyDescent="0.25">
      <c r="A221">
        <v>1952</v>
      </c>
      <c r="B221" s="81">
        <v>43996</v>
      </c>
      <c r="C221" t="s">
        <v>116</v>
      </c>
      <c r="D221" t="s">
        <v>78</v>
      </c>
      <c r="E221">
        <v>1</v>
      </c>
      <c r="F221">
        <v>34</v>
      </c>
      <c r="G221">
        <v>10</v>
      </c>
      <c r="H221">
        <v>340</v>
      </c>
      <c r="I221" t="s">
        <v>225</v>
      </c>
    </row>
    <row r="222" spans="1:9" x14ac:dyDescent="0.25">
      <c r="A222">
        <v>1953</v>
      </c>
      <c r="B222" s="81">
        <v>43996</v>
      </c>
      <c r="C222" t="s">
        <v>116</v>
      </c>
      <c r="D222" t="s">
        <v>105</v>
      </c>
      <c r="E222">
        <v>1</v>
      </c>
      <c r="F222">
        <v>30</v>
      </c>
      <c r="G222">
        <v>10</v>
      </c>
      <c r="H222">
        <v>300</v>
      </c>
      <c r="I222" t="s">
        <v>225</v>
      </c>
    </row>
    <row r="223" spans="1:9" x14ac:dyDescent="0.25">
      <c r="A223">
        <v>1954</v>
      </c>
      <c r="B223" s="81">
        <v>43996</v>
      </c>
      <c r="C223" t="s">
        <v>201</v>
      </c>
      <c r="D223" t="s">
        <v>167</v>
      </c>
      <c r="E223">
        <v>2</v>
      </c>
      <c r="F223">
        <v>111</v>
      </c>
      <c r="G223">
        <v>10</v>
      </c>
      <c r="H223">
        <v>1110</v>
      </c>
      <c r="I223" t="s">
        <v>225</v>
      </c>
    </row>
    <row r="224" spans="1:9" x14ac:dyDescent="0.25">
      <c r="A224">
        <v>1955</v>
      </c>
      <c r="B224" s="81">
        <v>43996</v>
      </c>
      <c r="C224" t="s">
        <v>92</v>
      </c>
      <c r="D224" t="s">
        <v>101</v>
      </c>
      <c r="E224">
        <v>4</v>
      </c>
      <c r="F224">
        <v>217</v>
      </c>
      <c r="G224">
        <v>10</v>
      </c>
      <c r="H224">
        <v>2170</v>
      </c>
      <c r="I224" t="s">
        <v>225</v>
      </c>
    </row>
    <row r="225" spans="1:9" x14ac:dyDescent="0.25">
      <c r="A225">
        <v>1956</v>
      </c>
      <c r="B225" s="81">
        <v>43996</v>
      </c>
      <c r="C225" t="s">
        <v>79</v>
      </c>
      <c r="D225" t="s">
        <v>86</v>
      </c>
      <c r="E225">
        <v>1</v>
      </c>
      <c r="F225">
        <v>52</v>
      </c>
      <c r="G225">
        <v>10</v>
      </c>
      <c r="H225">
        <v>520</v>
      </c>
      <c r="I225" t="s">
        <v>225</v>
      </c>
    </row>
    <row r="226" spans="1:9" x14ac:dyDescent="0.25">
      <c r="A226">
        <v>1957</v>
      </c>
      <c r="B226" s="81">
        <v>43996</v>
      </c>
      <c r="C226" t="s">
        <v>79</v>
      </c>
      <c r="D226" t="s">
        <v>142</v>
      </c>
      <c r="E226">
        <v>1</v>
      </c>
      <c r="F226">
        <v>60</v>
      </c>
      <c r="G226">
        <v>10</v>
      </c>
      <c r="H226">
        <v>600</v>
      </c>
      <c r="I226" t="s">
        <v>225</v>
      </c>
    </row>
    <row r="227" spans="1:9" x14ac:dyDescent="0.25">
      <c r="A227">
        <v>1958</v>
      </c>
      <c r="B227" s="81">
        <v>43996</v>
      </c>
      <c r="C227" t="s">
        <v>202</v>
      </c>
      <c r="D227" t="s">
        <v>101</v>
      </c>
      <c r="E227">
        <v>1</v>
      </c>
      <c r="F227">
        <v>63</v>
      </c>
      <c r="G227">
        <v>10</v>
      </c>
      <c r="H227">
        <v>630</v>
      </c>
      <c r="I227" t="s">
        <v>225</v>
      </c>
    </row>
    <row r="228" spans="1:9" x14ac:dyDescent="0.25">
      <c r="A228">
        <v>1959</v>
      </c>
      <c r="B228" s="81">
        <v>43996</v>
      </c>
      <c r="C228" t="s">
        <v>183</v>
      </c>
      <c r="D228" t="s">
        <v>78</v>
      </c>
      <c r="E228">
        <v>2</v>
      </c>
      <c r="F228">
        <v>80</v>
      </c>
      <c r="G228">
        <v>10</v>
      </c>
      <c r="H228">
        <v>800</v>
      </c>
      <c r="I228" t="s">
        <v>225</v>
      </c>
    </row>
    <row r="229" spans="1:9" x14ac:dyDescent="0.25">
      <c r="A229">
        <v>1960</v>
      </c>
      <c r="B229" s="81">
        <v>43996</v>
      </c>
      <c r="C229" t="s">
        <v>191</v>
      </c>
      <c r="D229" t="s">
        <v>203</v>
      </c>
      <c r="E229">
        <v>1</v>
      </c>
      <c r="F229">
        <v>71</v>
      </c>
      <c r="G229">
        <v>10</v>
      </c>
      <c r="H229">
        <v>710</v>
      </c>
      <c r="I229" t="s">
        <v>225</v>
      </c>
    </row>
    <row r="230" spans="1:9" x14ac:dyDescent="0.25">
      <c r="A230">
        <v>1961</v>
      </c>
      <c r="B230" s="81">
        <v>43996</v>
      </c>
      <c r="C230" t="s">
        <v>69</v>
      </c>
      <c r="D230" t="s">
        <v>101</v>
      </c>
      <c r="E230">
        <v>1</v>
      </c>
      <c r="F230">
        <v>34</v>
      </c>
      <c r="G230">
        <v>10</v>
      </c>
      <c r="H230">
        <v>340</v>
      </c>
      <c r="I230" t="s">
        <v>225</v>
      </c>
    </row>
    <row r="231" spans="1:9" x14ac:dyDescent="0.25">
      <c r="A231">
        <v>1962</v>
      </c>
      <c r="B231" s="81">
        <v>43996</v>
      </c>
      <c r="C231" t="s">
        <v>204</v>
      </c>
      <c r="D231" t="s">
        <v>167</v>
      </c>
      <c r="E231">
        <v>2</v>
      </c>
      <c r="F231">
        <v>78</v>
      </c>
      <c r="G231">
        <v>10</v>
      </c>
      <c r="H231">
        <v>780</v>
      </c>
      <c r="I231" t="s">
        <v>225</v>
      </c>
    </row>
    <row r="232" spans="1:9" x14ac:dyDescent="0.25">
      <c r="A232">
        <v>1963</v>
      </c>
      <c r="B232" s="81">
        <v>43996</v>
      </c>
      <c r="C232" t="s">
        <v>111</v>
      </c>
      <c r="D232" t="s">
        <v>115</v>
      </c>
      <c r="E232">
        <v>2</v>
      </c>
      <c r="F232">
        <v>113</v>
      </c>
      <c r="G232">
        <v>10</v>
      </c>
      <c r="H232">
        <v>1130</v>
      </c>
      <c r="I232" t="s">
        <v>225</v>
      </c>
    </row>
    <row r="233" spans="1:9" x14ac:dyDescent="0.25">
      <c r="A233">
        <v>1964</v>
      </c>
      <c r="B233" s="81">
        <v>43996</v>
      </c>
      <c r="C233" t="s">
        <v>205</v>
      </c>
      <c r="D233" t="s">
        <v>66</v>
      </c>
      <c r="E233">
        <v>1</v>
      </c>
      <c r="F233">
        <v>57</v>
      </c>
      <c r="G233">
        <v>10</v>
      </c>
      <c r="H233">
        <v>570</v>
      </c>
      <c r="I233" t="s">
        <v>225</v>
      </c>
    </row>
    <row r="234" spans="1:9" x14ac:dyDescent="0.25">
      <c r="A234">
        <v>1965</v>
      </c>
      <c r="B234" s="81">
        <v>43996</v>
      </c>
      <c r="C234" t="s">
        <v>206</v>
      </c>
      <c r="D234" t="s">
        <v>207</v>
      </c>
      <c r="E234">
        <v>3</v>
      </c>
      <c r="F234">
        <v>162</v>
      </c>
      <c r="G234">
        <v>10</v>
      </c>
      <c r="H234">
        <v>1620</v>
      </c>
      <c r="I234" t="s">
        <v>225</v>
      </c>
    </row>
    <row r="235" spans="1:9" x14ac:dyDescent="0.25">
      <c r="A235">
        <v>1966</v>
      </c>
      <c r="B235" s="81">
        <v>43996</v>
      </c>
      <c r="C235" t="s">
        <v>175</v>
      </c>
      <c r="D235" t="s">
        <v>171</v>
      </c>
      <c r="E235">
        <v>1</v>
      </c>
      <c r="F235">
        <v>40</v>
      </c>
      <c r="G235">
        <v>10</v>
      </c>
      <c r="H235">
        <v>400</v>
      </c>
      <c r="I235" t="s">
        <v>225</v>
      </c>
    </row>
    <row r="236" spans="1:9" x14ac:dyDescent="0.25">
      <c r="A236">
        <v>1967</v>
      </c>
      <c r="B236" s="81">
        <v>43996</v>
      </c>
      <c r="C236" t="s">
        <v>174</v>
      </c>
      <c r="D236" t="s">
        <v>101</v>
      </c>
      <c r="E236">
        <v>2</v>
      </c>
      <c r="F236">
        <v>104</v>
      </c>
      <c r="G236">
        <v>10</v>
      </c>
      <c r="H236">
        <v>1040</v>
      </c>
      <c r="I236" t="s">
        <v>225</v>
      </c>
    </row>
    <row r="237" spans="1:9" x14ac:dyDescent="0.25">
      <c r="A237">
        <v>1968</v>
      </c>
      <c r="B237" s="81">
        <v>43996</v>
      </c>
      <c r="C237" t="s">
        <v>69</v>
      </c>
      <c r="D237" t="s">
        <v>200</v>
      </c>
      <c r="E237">
        <v>2</v>
      </c>
      <c r="F237">
        <v>106</v>
      </c>
      <c r="G237">
        <v>10</v>
      </c>
      <c r="H237">
        <v>1060</v>
      </c>
      <c r="I237" t="s">
        <v>225</v>
      </c>
    </row>
    <row r="238" spans="1:9" x14ac:dyDescent="0.25">
      <c r="A238">
        <v>1969</v>
      </c>
      <c r="B238" s="81">
        <v>43996</v>
      </c>
      <c r="C238" t="s">
        <v>138</v>
      </c>
      <c r="D238" t="s">
        <v>82</v>
      </c>
      <c r="E238">
        <v>1</v>
      </c>
      <c r="F238">
        <v>46</v>
      </c>
      <c r="G238">
        <v>10</v>
      </c>
      <c r="H238">
        <v>460</v>
      </c>
      <c r="I238" t="s">
        <v>225</v>
      </c>
    </row>
    <row r="239" spans="1:9" x14ac:dyDescent="0.25">
      <c r="A239">
        <v>1970</v>
      </c>
      <c r="B239" s="81">
        <v>43996</v>
      </c>
      <c r="C239" t="s">
        <v>208</v>
      </c>
      <c r="D239" t="s">
        <v>209</v>
      </c>
      <c r="E239">
        <v>2</v>
      </c>
      <c r="F239">
        <v>112</v>
      </c>
      <c r="G239">
        <v>10</v>
      </c>
      <c r="H239">
        <v>1120</v>
      </c>
      <c r="I239" t="s">
        <v>225</v>
      </c>
    </row>
    <row r="240" spans="1:9" x14ac:dyDescent="0.25">
      <c r="A240">
        <v>1971</v>
      </c>
      <c r="B240" s="81">
        <v>43996</v>
      </c>
      <c r="C240" t="s">
        <v>125</v>
      </c>
      <c r="D240" t="s">
        <v>155</v>
      </c>
      <c r="E240">
        <v>2</v>
      </c>
      <c r="F240">
        <v>93</v>
      </c>
      <c r="G240">
        <v>10</v>
      </c>
      <c r="H240">
        <v>930</v>
      </c>
      <c r="I240" t="s">
        <v>225</v>
      </c>
    </row>
    <row r="241" spans="1:9" x14ac:dyDescent="0.25">
      <c r="A241">
        <v>1972</v>
      </c>
      <c r="B241" s="81">
        <v>43996</v>
      </c>
      <c r="C241" t="s">
        <v>210</v>
      </c>
      <c r="D241" t="s">
        <v>200</v>
      </c>
      <c r="E241">
        <v>2</v>
      </c>
      <c r="F241">
        <v>128</v>
      </c>
      <c r="G241">
        <v>10</v>
      </c>
      <c r="H241">
        <v>1280</v>
      </c>
      <c r="I241" t="s">
        <v>225</v>
      </c>
    </row>
    <row r="242" spans="1:9" x14ac:dyDescent="0.25">
      <c r="A242">
        <v>1973</v>
      </c>
      <c r="B242" s="81">
        <v>43996</v>
      </c>
      <c r="C242" t="s">
        <v>71</v>
      </c>
      <c r="D242" t="s">
        <v>68</v>
      </c>
      <c r="E242">
        <v>1</v>
      </c>
      <c r="F242">
        <v>34</v>
      </c>
      <c r="G242">
        <v>10</v>
      </c>
      <c r="H242">
        <v>340</v>
      </c>
      <c r="I242" t="s">
        <v>225</v>
      </c>
    </row>
    <row r="243" spans="1:9" x14ac:dyDescent="0.25">
      <c r="A243">
        <v>1974</v>
      </c>
      <c r="B243" s="81">
        <v>43996</v>
      </c>
      <c r="C243" t="s">
        <v>139</v>
      </c>
      <c r="D243" t="s">
        <v>140</v>
      </c>
      <c r="E243">
        <v>1</v>
      </c>
      <c r="F243">
        <v>10</v>
      </c>
      <c r="G243">
        <v>10</v>
      </c>
      <c r="H243">
        <v>100</v>
      </c>
      <c r="I243" t="s">
        <v>239</v>
      </c>
    </row>
    <row r="244" spans="1:9" x14ac:dyDescent="0.25">
      <c r="A244">
        <v>1975</v>
      </c>
      <c r="B244" s="81">
        <v>43997</v>
      </c>
      <c r="C244" t="s">
        <v>74</v>
      </c>
      <c r="D244" t="s">
        <v>78</v>
      </c>
      <c r="E244">
        <v>3</v>
      </c>
      <c r="H244">
        <v>0</v>
      </c>
      <c r="I244" t="s">
        <v>239</v>
      </c>
    </row>
    <row r="245" spans="1:9" x14ac:dyDescent="0.25">
      <c r="A245">
        <v>1976</v>
      </c>
      <c r="B245" s="81">
        <v>43997</v>
      </c>
      <c r="C245" t="s">
        <v>164</v>
      </c>
      <c r="D245" t="s">
        <v>66</v>
      </c>
      <c r="E245">
        <v>1</v>
      </c>
      <c r="H245">
        <v>0</v>
      </c>
      <c r="I245" t="s">
        <v>239</v>
      </c>
    </row>
    <row r="246" spans="1:9" x14ac:dyDescent="0.25">
      <c r="A246">
        <v>1977</v>
      </c>
      <c r="B246" s="81">
        <v>43998</v>
      </c>
      <c r="C246" t="s">
        <v>211</v>
      </c>
      <c r="D246" t="s">
        <v>212</v>
      </c>
      <c r="E246">
        <v>6</v>
      </c>
      <c r="F246">
        <v>374</v>
      </c>
      <c r="G246">
        <v>8</v>
      </c>
      <c r="H246">
        <v>2992</v>
      </c>
      <c r="I246" t="s">
        <v>239</v>
      </c>
    </row>
    <row r="247" spans="1:9" x14ac:dyDescent="0.25">
      <c r="A247">
        <v>1978</v>
      </c>
      <c r="B247" s="81">
        <v>43998</v>
      </c>
      <c r="C247" t="s">
        <v>211</v>
      </c>
      <c r="D247" t="s">
        <v>212</v>
      </c>
      <c r="E247">
        <v>4</v>
      </c>
      <c r="F247">
        <v>233</v>
      </c>
      <c r="G247">
        <v>8</v>
      </c>
      <c r="H247">
        <v>1864</v>
      </c>
      <c r="I247" t="s">
        <v>225</v>
      </c>
    </row>
    <row r="248" spans="1:9" x14ac:dyDescent="0.25">
      <c r="A248">
        <v>1979</v>
      </c>
      <c r="B248" s="81">
        <v>43998</v>
      </c>
      <c r="C248" t="s">
        <v>211</v>
      </c>
      <c r="D248" t="s">
        <v>212</v>
      </c>
      <c r="E248">
        <v>2</v>
      </c>
      <c r="F248">
        <v>123</v>
      </c>
      <c r="G248">
        <v>8</v>
      </c>
      <c r="H248">
        <v>984</v>
      </c>
      <c r="I248" t="s">
        <v>225</v>
      </c>
    </row>
    <row r="249" spans="1:9" x14ac:dyDescent="0.25">
      <c r="A249">
        <v>1980</v>
      </c>
      <c r="B249" s="81">
        <v>43998</v>
      </c>
      <c r="C249" t="s">
        <v>211</v>
      </c>
      <c r="D249" t="s">
        <v>212</v>
      </c>
      <c r="E249">
        <v>6</v>
      </c>
      <c r="F249">
        <v>343</v>
      </c>
      <c r="G249">
        <v>8</v>
      </c>
      <c r="H249">
        <v>2744</v>
      </c>
      <c r="I249" t="s">
        <v>225</v>
      </c>
    </row>
    <row r="250" spans="1:9" x14ac:dyDescent="0.25">
      <c r="A250">
        <v>1981</v>
      </c>
      <c r="B250" s="81">
        <v>43998</v>
      </c>
      <c r="C250" t="s">
        <v>92</v>
      </c>
      <c r="D250" t="s">
        <v>213</v>
      </c>
      <c r="E250">
        <v>2</v>
      </c>
      <c r="F250">
        <v>108</v>
      </c>
      <c r="G250">
        <v>10</v>
      </c>
      <c r="H250">
        <v>1080</v>
      </c>
      <c r="I250" t="s">
        <v>225</v>
      </c>
    </row>
    <row r="251" spans="1:9" x14ac:dyDescent="0.25">
      <c r="A251">
        <v>1982</v>
      </c>
      <c r="B251" s="81">
        <v>43998</v>
      </c>
      <c r="C251" t="s">
        <v>214</v>
      </c>
      <c r="D251" t="s">
        <v>167</v>
      </c>
      <c r="E251">
        <v>6</v>
      </c>
      <c r="F251">
        <v>343</v>
      </c>
      <c r="G251">
        <v>10</v>
      </c>
      <c r="H251">
        <v>3430</v>
      </c>
      <c r="I251" t="s">
        <v>225</v>
      </c>
    </row>
    <row r="252" spans="1:9" x14ac:dyDescent="0.25">
      <c r="A252">
        <v>1983</v>
      </c>
      <c r="B252" s="81">
        <v>43998</v>
      </c>
      <c r="C252" t="s">
        <v>67</v>
      </c>
      <c r="D252" t="s">
        <v>68</v>
      </c>
      <c r="E252">
        <v>3</v>
      </c>
      <c r="F252">
        <v>163</v>
      </c>
      <c r="G252">
        <v>10</v>
      </c>
      <c r="H252">
        <v>1630</v>
      </c>
      <c r="I252" t="s">
        <v>225</v>
      </c>
    </row>
    <row r="253" spans="1:9" x14ac:dyDescent="0.25">
      <c r="A253">
        <v>1984</v>
      </c>
      <c r="B253" s="81">
        <v>43998</v>
      </c>
      <c r="C253" t="s">
        <v>116</v>
      </c>
      <c r="D253" t="s">
        <v>66</v>
      </c>
      <c r="E253">
        <v>7</v>
      </c>
      <c r="F253">
        <v>342</v>
      </c>
      <c r="G253">
        <v>10</v>
      </c>
      <c r="H253">
        <v>3420</v>
      </c>
      <c r="I253" t="s">
        <v>225</v>
      </c>
    </row>
    <row r="254" spans="1:9" x14ac:dyDescent="0.25">
      <c r="A254">
        <v>1985</v>
      </c>
      <c r="B254" s="81">
        <v>43998</v>
      </c>
      <c r="C254" t="s">
        <v>116</v>
      </c>
      <c r="D254" t="s">
        <v>215</v>
      </c>
      <c r="E254">
        <v>2</v>
      </c>
      <c r="F254">
        <v>87</v>
      </c>
      <c r="G254">
        <v>10</v>
      </c>
      <c r="H254">
        <v>870</v>
      </c>
      <c r="I254" t="s">
        <v>225</v>
      </c>
    </row>
    <row r="255" spans="1:9" x14ac:dyDescent="0.25">
      <c r="A255">
        <v>1986</v>
      </c>
      <c r="B255" s="81">
        <v>43998</v>
      </c>
      <c r="C255" t="s">
        <v>65</v>
      </c>
      <c r="D255" t="s">
        <v>86</v>
      </c>
      <c r="E255">
        <v>1</v>
      </c>
      <c r="F255">
        <v>58</v>
      </c>
      <c r="G255">
        <v>10</v>
      </c>
      <c r="H255">
        <v>580</v>
      </c>
      <c r="I255" t="s">
        <v>225</v>
      </c>
    </row>
    <row r="256" spans="1:9" x14ac:dyDescent="0.25">
      <c r="A256">
        <v>1987</v>
      </c>
      <c r="B256" s="81">
        <v>43998</v>
      </c>
      <c r="C256" t="s">
        <v>104</v>
      </c>
      <c r="D256" t="s">
        <v>105</v>
      </c>
      <c r="E256">
        <v>1</v>
      </c>
      <c r="F256">
        <v>39</v>
      </c>
      <c r="G256">
        <v>10</v>
      </c>
      <c r="H256">
        <v>390</v>
      </c>
      <c r="I256" t="s">
        <v>225</v>
      </c>
    </row>
    <row r="257" spans="1:9" x14ac:dyDescent="0.25">
      <c r="A257">
        <v>1988</v>
      </c>
      <c r="B257" s="81">
        <v>43998</v>
      </c>
      <c r="C257" t="s">
        <v>216</v>
      </c>
      <c r="D257" t="s">
        <v>101</v>
      </c>
      <c r="E257">
        <v>2</v>
      </c>
      <c r="F257">
        <v>89</v>
      </c>
      <c r="G257">
        <v>10</v>
      </c>
      <c r="H257">
        <v>890</v>
      </c>
      <c r="I257" t="s">
        <v>225</v>
      </c>
    </row>
    <row r="258" spans="1:9" x14ac:dyDescent="0.25">
      <c r="A258">
        <v>1989</v>
      </c>
      <c r="B258" s="81">
        <v>43998</v>
      </c>
      <c r="C258" t="s">
        <v>65</v>
      </c>
      <c r="D258" t="s">
        <v>155</v>
      </c>
      <c r="E258">
        <v>2</v>
      </c>
      <c r="F258">
        <v>99</v>
      </c>
      <c r="G258">
        <v>10</v>
      </c>
      <c r="H258">
        <v>990</v>
      </c>
      <c r="I258" t="s">
        <v>225</v>
      </c>
    </row>
    <row r="259" spans="1:9" x14ac:dyDescent="0.25">
      <c r="A259">
        <v>1990</v>
      </c>
      <c r="B259" s="81">
        <v>43998</v>
      </c>
      <c r="C259" t="s">
        <v>182</v>
      </c>
      <c r="D259" t="s">
        <v>109</v>
      </c>
      <c r="E259">
        <v>1</v>
      </c>
      <c r="F259">
        <v>63</v>
      </c>
      <c r="G259">
        <v>9</v>
      </c>
      <c r="H259">
        <v>567</v>
      </c>
      <c r="I259" t="s">
        <v>239</v>
      </c>
    </row>
    <row r="260" spans="1:9" x14ac:dyDescent="0.25">
      <c r="A260">
        <v>1991</v>
      </c>
      <c r="B260" s="81">
        <v>43998</v>
      </c>
      <c r="C260" t="s">
        <v>65</v>
      </c>
      <c r="D260" t="s">
        <v>82</v>
      </c>
      <c r="E260">
        <v>2</v>
      </c>
      <c r="F260">
        <v>94</v>
      </c>
      <c r="G260">
        <v>10</v>
      </c>
      <c r="H260">
        <v>940</v>
      </c>
      <c r="I260" t="s">
        <v>239</v>
      </c>
    </row>
    <row r="261" spans="1:9" x14ac:dyDescent="0.25">
      <c r="A261">
        <v>1992</v>
      </c>
      <c r="B261" s="81">
        <v>43998</v>
      </c>
      <c r="C261" t="s">
        <v>138</v>
      </c>
      <c r="D261" t="s">
        <v>82</v>
      </c>
      <c r="E261">
        <v>4</v>
      </c>
      <c r="F261">
        <v>182</v>
      </c>
      <c r="G261">
        <v>10</v>
      </c>
      <c r="H261">
        <v>1820</v>
      </c>
      <c r="I261" t="s">
        <v>225</v>
      </c>
    </row>
    <row r="262" spans="1:9" x14ac:dyDescent="0.25">
      <c r="A262">
        <v>1993</v>
      </c>
      <c r="B262" s="81">
        <v>43998</v>
      </c>
      <c r="C262" t="s">
        <v>74</v>
      </c>
      <c r="D262" t="s">
        <v>78</v>
      </c>
      <c r="E262">
        <v>2</v>
      </c>
      <c r="F262">
        <v>105</v>
      </c>
      <c r="G262">
        <v>10</v>
      </c>
      <c r="H262">
        <v>1050</v>
      </c>
      <c r="I262" t="s">
        <v>225</v>
      </c>
    </row>
    <row r="263" spans="1:9" x14ac:dyDescent="0.25">
      <c r="A263">
        <v>1994</v>
      </c>
      <c r="B263" s="81">
        <v>43998</v>
      </c>
      <c r="C263" t="s">
        <v>74</v>
      </c>
      <c r="D263" t="s">
        <v>105</v>
      </c>
      <c r="E263">
        <v>1</v>
      </c>
      <c r="F263">
        <v>57</v>
      </c>
      <c r="G263">
        <v>10</v>
      </c>
      <c r="H263">
        <v>570</v>
      </c>
      <c r="I263" t="s">
        <v>225</v>
      </c>
    </row>
    <row r="264" spans="1:9" x14ac:dyDescent="0.25">
      <c r="A264">
        <v>1995</v>
      </c>
      <c r="B264" s="81">
        <v>43998</v>
      </c>
      <c r="C264" t="s">
        <v>79</v>
      </c>
      <c r="D264" t="s">
        <v>82</v>
      </c>
      <c r="E264">
        <v>1</v>
      </c>
      <c r="F264">
        <v>58</v>
      </c>
      <c r="G264">
        <v>10</v>
      </c>
      <c r="H264">
        <v>580</v>
      </c>
      <c r="I264" t="s">
        <v>225</v>
      </c>
    </row>
    <row r="265" spans="1:9" x14ac:dyDescent="0.25">
      <c r="A265">
        <v>1996</v>
      </c>
      <c r="B265" s="81">
        <v>43998</v>
      </c>
      <c r="C265" t="s">
        <v>79</v>
      </c>
      <c r="D265" t="s">
        <v>155</v>
      </c>
      <c r="E265">
        <v>1</v>
      </c>
      <c r="F265">
        <v>61</v>
      </c>
      <c r="G265">
        <v>10</v>
      </c>
      <c r="H265">
        <v>610</v>
      </c>
      <c r="I265" t="s">
        <v>225</v>
      </c>
    </row>
    <row r="266" spans="1:9" x14ac:dyDescent="0.25">
      <c r="A266">
        <v>1997</v>
      </c>
      <c r="B266" s="81">
        <v>43998</v>
      </c>
      <c r="C266" t="s">
        <v>217</v>
      </c>
      <c r="D266" t="s">
        <v>155</v>
      </c>
      <c r="E266">
        <v>1</v>
      </c>
      <c r="F266">
        <v>67</v>
      </c>
      <c r="G266">
        <v>10</v>
      </c>
      <c r="H266">
        <v>670</v>
      </c>
      <c r="I266" t="s">
        <v>225</v>
      </c>
    </row>
    <row r="267" spans="1:9" x14ac:dyDescent="0.25">
      <c r="A267">
        <v>1998</v>
      </c>
      <c r="B267" s="81">
        <v>43998</v>
      </c>
      <c r="C267" t="s">
        <v>175</v>
      </c>
      <c r="D267" t="s">
        <v>171</v>
      </c>
      <c r="E267">
        <v>1</v>
      </c>
      <c r="F267">
        <v>42</v>
      </c>
      <c r="G267">
        <v>10</v>
      </c>
      <c r="H267">
        <v>420</v>
      </c>
      <c r="I267" t="s">
        <v>225</v>
      </c>
    </row>
    <row r="268" spans="1:9" x14ac:dyDescent="0.25">
      <c r="A268">
        <v>1999</v>
      </c>
      <c r="B268" s="81">
        <v>43998</v>
      </c>
      <c r="C268" t="s">
        <v>65</v>
      </c>
      <c r="D268" t="s">
        <v>218</v>
      </c>
      <c r="E268">
        <v>1</v>
      </c>
      <c r="F268">
        <v>56</v>
      </c>
      <c r="G268">
        <v>10</v>
      </c>
      <c r="H268">
        <v>560</v>
      </c>
      <c r="I268" t="s">
        <v>225</v>
      </c>
    </row>
    <row r="269" spans="1:9" x14ac:dyDescent="0.25">
      <c r="A269">
        <v>2000</v>
      </c>
      <c r="B269" s="81">
        <v>43998</v>
      </c>
      <c r="C269" t="s">
        <v>103</v>
      </c>
      <c r="D269" t="s">
        <v>219</v>
      </c>
      <c r="E269">
        <v>2</v>
      </c>
      <c r="F269">
        <v>152</v>
      </c>
      <c r="G269">
        <v>10</v>
      </c>
      <c r="H269">
        <v>1520</v>
      </c>
      <c r="I269" t="s">
        <v>225</v>
      </c>
    </row>
    <row r="270" spans="1:9" x14ac:dyDescent="0.25">
      <c r="A270">
        <v>2001</v>
      </c>
      <c r="B270" s="81">
        <v>43998</v>
      </c>
      <c r="C270" t="s">
        <v>210</v>
      </c>
      <c r="D270" t="s">
        <v>200</v>
      </c>
      <c r="E270">
        <v>4</v>
      </c>
      <c r="F270">
        <v>247</v>
      </c>
      <c r="G270">
        <v>10</v>
      </c>
      <c r="H270">
        <v>2470</v>
      </c>
      <c r="I270" t="s">
        <v>225</v>
      </c>
    </row>
    <row r="271" spans="1:9" x14ac:dyDescent="0.25">
      <c r="A271">
        <v>2002</v>
      </c>
      <c r="B271" s="81">
        <v>43998</v>
      </c>
      <c r="C271" t="s">
        <v>206</v>
      </c>
      <c r="D271" t="s">
        <v>207</v>
      </c>
      <c r="E271">
        <v>4</v>
      </c>
      <c r="F271">
        <v>239</v>
      </c>
      <c r="G271">
        <v>10</v>
      </c>
      <c r="H271">
        <v>2390</v>
      </c>
      <c r="I271" t="s">
        <v>225</v>
      </c>
    </row>
    <row r="272" spans="1:9" x14ac:dyDescent="0.25">
      <c r="A272">
        <v>2003</v>
      </c>
      <c r="B272" s="81">
        <v>43998</v>
      </c>
      <c r="C272" t="s">
        <v>206</v>
      </c>
      <c r="D272" t="s">
        <v>218</v>
      </c>
      <c r="E272">
        <v>1</v>
      </c>
      <c r="F272">
        <v>58</v>
      </c>
      <c r="G272">
        <v>10</v>
      </c>
      <c r="H272">
        <v>580</v>
      </c>
      <c r="I272" t="s">
        <v>239</v>
      </c>
    </row>
    <row r="273" spans="1:9" x14ac:dyDescent="0.25">
      <c r="A273">
        <v>2004</v>
      </c>
      <c r="B273" s="81">
        <v>43998</v>
      </c>
      <c r="C273" t="s">
        <v>220</v>
      </c>
      <c r="D273" t="s">
        <v>221</v>
      </c>
      <c r="E273">
        <v>12</v>
      </c>
      <c r="F273">
        <v>788</v>
      </c>
      <c r="G273">
        <v>8</v>
      </c>
      <c r="H273">
        <v>6304</v>
      </c>
      <c r="I273" t="s">
        <v>239</v>
      </c>
    </row>
    <row r="274" spans="1:9" x14ac:dyDescent="0.25">
      <c r="A274">
        <v>2005</v>
      </c>
      <c r="B274" s="81">
        <v>43998</v>
      </c>
      <c r="C274" t="s">
        <v>71</v>
      </c>
      <c r="D274" t="s">
        <v>131</v>
      </c>
      <c r="E274">
        <v>1</v>
      </c>
      <c r="F274">
        <v>10</v>
      </c>
      <c r="G274">
        <v>10</v>
      </c>
      <c r="H274">
        <v>100</v>
      </c>
      <c r="I274" t="s">
        <v>225</v>
      </c>
    </row>
    <row r="275" spans="1:9" x14ac:dyDescent="0.25">
      <c r="A275">
        <v>2006</v>
      </c>
      <c r="B275" s="81">
        <v>43998</v>
      </c>
      <c r="C275" t="s">
        <v>71</v>
      </c>
      <c r="D275" t="s">
        <v>68</v>
      </c>
      <c r="E275">
        <v>1</v>
      </c>
      <c r="F275">
        <v>22</v>
      </c>
      <c r="G275">
        <v>10</v>
      </c>
      <c r="H275">
        <v>220</v>
      </c>
      <c r="I275" t="s">
        <v>225</v>
      </c>
    </row>
    <row r="276" spans="1:9" x14ac:dyDescent="0.25">
      <c r="A276">
        <v>2007</v>
      </c>
      <c r="B276" s="81">
        <v>43998</v>
      </c>
      <c r="C276" t="s">
        <v>139</v>
      </c>
      <c r="D276" t="s">
        <v>140</v>
      </c>
      <c r="E276">
        <v>1</v>
      </c>
      <c r="F276">
        <v>10</v>
      </c>
      <c r="G276">
        <v>10</v>
      </c>
      <c r="H276">
        <v>100</v>
      </c>
      <c r="I276" t="s">
        <v>225</v>
      </c>
    </row>
    <row r="277" spans="1:9" x14ac:dyDescent="0.25">
      <c r="A277">
        <v>2008</v>
      </c>
      <c r="B277" s="81">
        <v>43998</v>
      </c>
      <c r="C277" t="s">
        <v>71</v>
      </c>
      <c r="D277" t="s">
        <v>222</v>
      </c>
      <c r="E277">
        <v>1</v>
      </c>
      <c r="F277">
        <v>10</v>
      </c>
      <c r="G277">
        <v>10</v>
      </c>
      <c r="H277">
        <v>100</v>
      </c>
      <c r="I277" t="s">
        <v>225</v>
      </c>
    </row>
    <row r="278" spans="1:9" x14ac:dyDescent="0.25">
      <c r="A278">
        <v>2009</v>
      </c>
      <c r="B278" s="81">
        <v>43999</v>
      </c>
      <c r="C278" t="s">
        <v>223</v>
      </c>
      <c r="D278" t="s">
        <v>224</v>
      </c>
      <c r="E278">
        <v>6</v>
      </c>
      <c r="F278">
        <v>266</v>
      </c>
      <c r="G278">
        <v>8</v>
      </c>
      <c r="H278">
        <v>2128</v>
      </c>
      <c r="I278" t="s">
        <v>225</v>
      </c>
    </row>
    <row r="279" spans="1:9" x14ac:dyDescent="0.25">
      <c r="A279">
        <v>2010</v>
      </c>
      <c r="B279" s="81">
        <v>43999</v>
      </c>
      <c r="C279" t="s">
        <v>226</v>
      </c>
      <c r="D279" t="s">
        <v>224</v>
      </c>
      <c r="E279">
        <v>6</v>
      </c>
      <c r="F279">
        <v>277</v>
      </c>
      <c r="G279">
        <v>8</v>
      </c>
      <c r="H279">
        <v>2216</v>
      </c>
      <c r="I279" t="s">
        <v>225</v>
      </c>
    </row>
    <row r="280" spans="1:9" x14ac:dyDescent="0.25">
      <c r="A280">
        <v>2011</v>
      </c>
      <c r="B280" s="81">
        <v>43999</v>
      </c>
      <c r="C280" t="s">
        <v>227</v>
      </c>
      <c r="D280" t="s">
        <v>199</v>
      </c>
      <c r="E280">
        <v>1</v>
      </c>
      <c r="F280">
        <v>48</v>
      </c>
      <c r="G280">
        <v>10</v>
      </c>
      <c r="H280">
        <v>480</v>
      </c>
      <c r="I280" t="s">
        <v>225</v>
      </c>
    </row>
    <row r="281" spans="1:9" x14ac:dyDescent="0.25">
      <c r="A281">
        <v>2012</v>
      </c>
      <c r="B281" s="81">
        <v>43999</v>
      </c>
      <c r="C281" t="s">
        <v>182</v>
      </c>
      <c r="D281" t="s">
        <v>109</v>
      </c>
      <c r="E281">
        <v>3</v>
      </c>
      <c r="F281">
        <v>189</v>
      </c>
      <c r="G281">
        <v>9</v>
      </c>
      <c r="H281">
        <v>1701</v>
      </c>
      <c r="I281" t="s">
        <v>225</v>
      </c>
    </row>
    <row r="282" spans="1:9" x14ac:dyDescent="0.25">
      <c r="A282">
        <v>2013</v>
      </c>
      <c r="B282" s="81">
        <v>43999</v>
      </c>
      <c r="C282" t="s">
        <v>182</v>
      </c>
      <c r="D282" t="s">
        <v>109</v>
      </c>
      <c r="E282">
        <v>5</v>
      </c>
      <c r="F282">
        <v>304</v>
      </c>
      <c r="G282">
        <v>9</v>
      </c>
      <c r="H282">
        <v>2736</v>
      </c>
      <c r="I282" t="s">
        <v>225</v>
      </c>
    </row>
    <row r="283" spans="1:9" x14ac:dyDescent="0.25">
      <c r="A283">
        <v>2014</v>
      </c>
      <c r="B283" s="81">
        <v>43999</v>
      </c>
      <c r="C283" t="s">
        <v>228</v>
      </c>
      <c r="D283" t="s">
        <v>229</v>
      </c>
      <c r="E283">
        <v>1</v>
      </c>
      <c r="F283">
        <v>128</v>
      </c>
      <c r="G283">
        <v>8</v>
      </c>
      <c r="H283">
        <v>1024</v>
      </c>
      <c r="I283" t="s">
        <v>225</v>
      </c>
    </row>
    <row r="284" spans="1:9" x14ac:dyDescent="0.25">
      <c r="A284">
        <v>2015</v>
      </c>
      <c r="B284" s="81">
        <v>43999</v>
      </c>
      <c r="C284" t="s">
        <v>80</v>
      </c>
      <c r="D284" t="s">
        <v>230</v>
      </c>
      <c r="E284">
        <v>3</v>
      </c>
      <c r="F284">
        <v>135</v>
      </c>
      <c r="G284">
        <v>10</v>
      </c>
      <c r="H284">
        <v>1350</v>
      </c>
      <c r="I284" t="s">
        <v>225</v>
      </c>
    </row>
    <row r="285" spans="1:9" x14ac:dyDescent="0.25">
      <c r="A285">
        <v>2016</v>
      </c>
      <c r="B285" s="81">
        <v>43999</v>
      </c>
      <c r="C285" t="s">
        <v>69</v>
      </c>
      <c r="D285" t="s">
        <v>82</v>
      </c>
      <c r="E285">
        <v>1</v>
      </c>
      <c r="F285">
        <v>49</v>
      </c>
      <c r="G285">
        <v>10</v>
      </c>
      <c r="H285">
        <v>490</v>
      </c>
      <c r="I285" t="s">
        <v>225</v>
      </c>
    </row>
    <row r="286" spans="1:9" x14ac:dyDescent="0.25">
      <c r="A286">
        <v>2017</v>
      </c>
      <c r="B286" s="81">
        <v>43999</v>
      </c>
      <c r="C286" t="s">
        <v>231</v>
      </c>
      <c r="D286" t="s">
        <v>232</v>
      </c>
      <c r="E286">
        <v>5</v>
      </c>
      <c r="F286">
        <v>323</v>
      </c>
      <c r="G286">
        <v>10</v>
      </c>
      <c r="H286">
        <v>3230</v>
      </c>
      <c r="I286" t="s">
        <v>225</v>
      </c>
    </row>
    <row r="287" spans="1:9" x14ac:dyDescent="0.25">
      <c r="A287">
        <v>2018</v>
      </c>
      <c r="B287" s="81">
        <v>43999</v>
      </c>
      <c r="C287" t="s">
        <v>233</v>
      </c>
      <c r="D287" t="s">
        <v>101</v>
      </c>
      <c r="E287">
        <v>3</v>
      </c>
      <c r="F287">
        <v>169</v>
      </c>
      <c r="G287">
        <v>10</v>
      </c>
      <c r="H287">
        <v>1690</v>
      </c>
      <c r="I287" t="s">
        <v>225</v>
      </c>
    </row>
    <row r="288" spans="1:9" x14ac:dyDescent="0.25">
      <c r="A288">
        <v>2019</v>
      </c>
      <c r="B288" s="81">
        <v>43999</v>
      </c>
      <c r="C288" t="s">
        <v>165</v>
      </c>
      <c r="D288" t="s">
        <v>85</v>
      </c>
      <c r="E288">
        <v>2</v>
      </c>
      <c r="F288">
        <v>113</v>
      </c>
      <c r="G288">
        <v>9</v>
      </c>
      <c r="H288">
        <v>1130</v>
      </c>
      <c r="I288" t="s">
        <v>225</v>
      </c>
    </row>
    <row r="289" spans="1:9" x14ac:dyDescent="0.25">
      <c r="A289">
        <v>2020</v>
      </c>
      <c r="B289" s="81">
        <v>43999</v>
      </c>
      <c r="C289" t="s">
        <v>234</v>
      </c>
      <c r="D289" t="s">
        <v>235</v>
      </c>
      <c r="E289">
        <v>4</v>
      </c>
      <c r="F289">
        <v>167</v>
      </c>
      <c r="G289">
        <v>10</v>
      </c>
      <c r="H289">
        <v>1670</v>
      </c>
      <c r="I289" t="s">
        <v>225</v>
      </c>
    </row>
    <row r="290" spans="1:9" x14ac:dyDescent="0.25">
      <c r="A290">
        <v>2021</v>
      </c>
      <c r="B290" s="81">
        <v>43999</v>
      </c>
      <c r="C290" t="s">
        <v>236</v>
      </c>
      <c r="D290" t="s">
        <v>229</v>
      </c>
      <c r="E290">
        <v>4</v>
      </c>
      <c r="F290">
        <v>286</v>
      </c>
      <c r="G290">
        <v>8</v>
      </c>
      <c r="H290">
        <v>2288</v>
      </c>
      <c r="I290" t="s">
        <v>225</v>
      </c>
    </row>
    <row r="291" spans="1:9" x14ac:dyDescent="0.25">
      <c r="A291">
        <v>2022</v>
      </c>
      <c r="B291" s="81">
        <v>43999</v>
      </c>
      <c r="C291" t="s">
        <v>237</v>
      </c>
      <c r="D291" t="s">
        <v>229</v>
      </c>
      <c r="E291">
        <v>14</v>
      </c>
      <c r="F291">
        <v>778</v>
      </c>
      <c r="G291">
        <v>8</v>
      </c>
      <c r="H291">
        <v>6224</v>
      </c>
      <c r="I291" t="s">
        <v>225</v>
      </c>
    </row>
    <row r="292" spans="1:9" x14ac:dyDescent="0.25">
      <c r="A292">
        <v>2023</v>
      </c>
      <c r="B292" s="81">
        <v>43999</v>
      </c>
      <c r="C292" t="s">
        <v>156</v>
      </c>
      <c r="D292" t="s">
        <v>157</v>
      </c>
      <c r="E292">
        <v>4</v>
      </c>
      <c r="F292">
        <v>150</v>
      </c>
      <c r="G292">
        <v>15</v>
      </c>
      <c r="H292">
        <v>2250</v>
      </c>
      <c r="I292" t="s">
        <v>225</v>
      </c>
    </row>
    <row r="293" spans="1:9" x14ac:dyDescent="0.25">
      <c r="A293">
        <v>2024</v>
      </c>
      <c r="B293" s="81">
        <v>43999</v>
      </c>
      <c r="C293" t="s">
        <v>156</v>
      </c>
      <c r="D293" t="s">
        <v>238</v>
      </c>
      <c r="E293">
        <v>5</v>
      </c>
      <c r="F293">
        <v>75</v>
      </c>
      <c r="G293">
        <v>15</v>
      </c>
      <c r="H293">
        <v>1125</v>
      </c>
      <c r="I293" t="s">
        <v>225</v>
      </c>
    </row>
    <row r="294" spans="1:9" x14ac:dyDescent="0.25">
      <c r="A294">
        <v>2025</v>
      </c>
      <c r="B294" s="81">
        <v>43999</v>
      </c>
      <c r="C294" t="s">
        <v>147</v>
      </c>
      <c r="D294" t="s">
        <v>78</v>
      </c>
      <c r="E294">
        <v>2</v>
      </c>
      <c r="F294">
        <v>100</v>
      </c>
      <c r="G294">
        <v>10</v>
      </c>
      <c r="H294">
        <v>1000</v>
      </c>
      <c r="I294" t="s">
        <v>225</v>
      </c>
    </row>
    <row r="295" spans="1:9" x14ac:dyDescent="0.25">
      <c r="A295">
        <v>2026</v>
      </c>
      <c r="B295" s="81">
        <v>43999</v>
      </c>
      <c r="C295" t="s">
        <v>65</v>
      </c>
      <c r="D295" t="s">
        <v>66</v>
      </c>
      <c r="E295">
        <v>1</v>
      </c>
      <c r="F295">
        <v>44</v>
      </c>
      <c r="G295">
        <v>10</v>
      </c>
      <c r="H295">
        <v>440</v>
      </c>
      <c r="I295" t="s">
        <v>225</v>
      </c>
    </row>
    <row r="296" spans="1:9" x14ac:dyDescent="0.25">
      <c r="A296">
        <v>2027</v>
      </c>
      <c r="B296" s="81">
        <v>43999</v>
      </c>
      <c r="C296" t="s">
        <v>69</v>
      </c>
      <c r="D296" t="s">
        <v>155</v>
      </c>
      <c r="E296">
        <v>1</v>
      </c>
      <c r="F296">
        <v>57</v>
      </c>
      <c r="G296">
        <v>10</v>
      </c>
      <c r="H296">
        <v>570</v>
      </c>
      <c r="I296" t="s">
        <v>239</v>
      </c>
    </row>
    <row r="297" spans="1:9" x14ac:dyDescent="0.25">
      <c r="A297">
        <v>2028</v>
      </c>
      <c r="B297" s="81">
        <v>43999</v>
      </c>
      <c r="C297" t="s">
        <v>183</v>
      </c>
      <c r="D297" t="s">
        <v>82</v>
      </c>
      <c r="E297">
        <v>1</v>
      </c>
      <c r="F297">
        <v>46</v>
      </c>
      <c r="G297">
        <v>10</v>
      </c>
      <c r="H297">
        <v>460</v>
      </c>
      <c r="I297" t="s">
        <v>239</v>
      </c>
    </row>
    <row r="298" spans="1:9" x14ac:dyDescent="0.25">
      <c r="A298">
        <v>2029</v>
      </c>
      <c r="B298" s="81">
        <v>43999</v>
      </c>
      <c r="C298" t="s">
        <v>103</v>
      </c>
      <c r="D298" t="s">
        <v>230</v>
      </c>
      <c r="E298">
        <v>1</v>
      </c>
      <c r="F298">
        <v>67</v>
      </c>
      <c r="G298">
        <v>10</v>
      </c>
      <c r="H298">
        <v>670</v>
      </c>
      <c r="I298" t="s">
        <v>225</v>
      </c>
    </row>
    <row r="299" spans="1:9" x14ac:dyDescent="0.25">
      <c r="A299">
        <v>2030</v>
      </c>
      <c r="B299" s="81">
        <v>43999</v>
      </c>
      <c r="C299" t="s">
        <v>228</v>
      </c>
      <c r="D299" t="s">
        <v>229</v>
      </c>
      <c r="E299">
        <v>26</v>
      </c>
      <c r="F299">
        <v>1039</v>
      </c>
      <c r="G299">
        <v>8</v>
      </c>
      <c r="H299">
        <v>8312</v>
      </c>
      <c r="I299" t="s">
        <v>225</v>
      </c>
    </row>
    <row r="300" spans="1:9" x14ac:dyDescent="0.25">
      <c r="A300">
        <v>2031</v>
      </c>
      <c r="B300" s="81">
        <v>43999</v>
      </c>
      <c r="C300" t="s">
        <v>65</v>
      </c>
      <c r="D300" t="s">
        <v>86</v>
      </c>
      <c r="E300">
        <v>2</v>
      </c>
      <c r="F300">
        <v>106</v>
      </c>
      <c r="G300">
        <v>10</v>
      </c>
      <c r="H300">
        <v>1060</v>
      </c>
      <c r="I300" t="s">
        <v>225</v>
      </c>
    </row>
    <row r="301" spans="1:9" x14ac:dyDescent="0.25">
      <c r="A301">
        <v>2032</v>
      </c>
      <c r="B301" s="81">
        <v>43999</v>
      </c>
      <c r="C301" t="s">
        <v>125</v>
      </c>
      <c r="D301" t="s">
        <v>155</v>
      </c>
      <c r="E301">
        <v>1</v>
      </c>
      <c r="F301">
        <v>58</v>
      </c>
      <c r="G301">
        <v>10</v>
      </c>
      <c r="H301">
        <v>580</v>
      </c>
      <c r="I301" t="s">
        <v>225</v>
      </c>
    </row>
    <row r="302" spans="1:9" x14ac:dyDescent="0.25">
      <c r="A302">
        <v>2033</v>
      </c>
      <c r="B302" s="81">
        <v>43999</v>
      </c>
      <c r="C302" t="s">
        <v>74</v>
      </c>
      <c r="D302" t="s">
        <v>200</v>
      </c>
      <c r="E302">
        <v>1</v>
      </c>
      <c r="F302">
        <v>44</v>
      </c>
      <c r="G302">
        <v>10</v>
      </c>
      <c r="H302">
        <v>440</v>
      </c>
      <c r="I302" t="s">
        <v>225</v>
      </c>
    </row>
    <row r="303" spans="1:9" x14ac:dyDescent="0.25">
      <c r="A303">
        <v>2034</v>
      </c>
      <c r="B303" s="81">
        <v>43999</v>
      </c>
      <c r="C303" t="s">
        <v>240</v>
      </c>
      <c r="D303" t="s">
        <v>241</v>
      </c>
      <c r="E303">
        <v>2</v>
      </c>
      <c r="F303">
        <v>78</v>
      </c>
      <c r="G303">
        <v>10</v>
      </c>
      <c r="H303">
        <v>780</v>
      </c>
      <c r="I303" t="s">
        <v>225</v>
      </c>
    </row>
    <row r="304" spans="1:9" x14ac:dyDescent="0.25">
      <c r="A304">
        <v>2035</v>
      </c>
      <c r="B304" s="81">
        <v>43999</v>
      </c>
      <c r="C304" t="s">
        <v>242</v>
      </c>
      <c r="D304" t="s">
        <v>243</v>
      </c>
      <c r="E304">
        <v>1</v>
      </c>
      <c r="F304">
        <v>60</v>
      </c>
      <c r="G304">
        <v>10</v>
      </c>
      <c r="H304">
        <v>600</v>
      </c>
      <c r="I304" t="s">
        <v>225</v>
      </c>
    </row>
    <row r="305" spans="1:9" x14ac:dyDescent="0.25">
      <c r="A305">
        <v>2036</v>
      </c>
      <c r="B305" s="81">
        <v>43999</v>
      </c>
      <c r="C305" t="s">
        <v>210</v>
      </c>
      <c r="D305" t="s">
        <v>200</v>
      </c>
      <c r="E305">
        <v>1</v>
      </c>
      <c r="F305">
        <v>44</v>
      </c>
      <c r="G305">
        <v>10</v>
      </c>
      <c r="H305">
        <v>440</v>
      </c>
      <c r="I305" t="s">
        <v>225</v>
      </c>
    </row>
    <row r="306" spans="1:9" x14ac:dyDescent="0.25">
      <c r="A306">
        <v>2037</v>
      </c>
      <c r="B306" s="81">
        <v>43999</v>
      </c>
      <c r="C306" t="s">
        <v>80</v>
      </c>
      <c r="D306" t="s">
        <v>120</v>
      </c>
      <c r="E306">
        <v>1</v>
      </c>
      <c r="F306">
        <v>71</v>
      </c>
      <c r="G306">
        <v>10</v>
      </c>
      <c r="H306">
        <v>710</v>
      </c>
      <c r="I306" t="s">
        <v>225</v>
      </c>
    </row>
    <row r="307" spans="1:9" x14ac:dyDescent="0.25">
      <c r="A307">
        <v>2038</v>
      </c>
      <c r="B307" s="81">
        <v>43999</v>
      </c>
      <c r="C307" t="s">
        <v>134</v>
      </c>
      <c r="D307" t="s">
        <v>218</v>
      </c>
      <c r="E307">
        <v>1</v>
      </c>
      <c r="F307">
        <v>26</v>
      </c>
      <c r="G307">
        <v>10</v>
      </c>
      <c r="H307">
        <v>260</v>
      </c>
      <c r="I307" t="s">
        <v>225</v>
      </c>
    </row>
    <row r="308" spans="1:9" x14ac:dyDescent="0.25">
      <c r="A308">
        <v>2039</v>
      </c>
      <c r="B308" s="81">
        <v>43999</v>
      </c>
      <c r="C308" t="s">
        <v>71</v>
      </c>
      <c r="D308" t="s">
        <v>68</v>
      </c>
      <c r="E308">
        <v>1</v>
      </c>
      <c r="F308">
        <v>11</v>
      </c>
      <c r="G308">
        <v>10</v>
      </c>
      <c r="H308">
        <v>110</v>
      </c>
      <c r="I308" t="s">
        <v>225</v>
      </c>
    </row>
    <row r="309" spans="1:9" x14ac:dyDescent="0.25">
      <c r="A309">
        <v>2040</v>
      </c>
      <c r="B309" s="81">
        <v>43999</v>
      </c>
      <c r="C309" t="s">
        <v>139</v>
      </c>
      <c r="D309" t="s">
        <v>140</v>
      </c>
      <c r="E309">
        <v>1</v>
      </c>
      <c r="F309">
        <v>10</v>
      </c>
      <c r="G309">
        <v>10</v>
      </c>
      <c r="H309">
        <v>100</v>
      </c>
      <c r="I309" t="s">
        <v>225</v>
      </c>
    </row>
    <row r="310" spans="1:9" x14ac:dyDescent="0.25">
      <c r="A310">
        <v>2041</v>
      </c>
      <c r="B310" s="81">
        <v>43999</v>
      </c>
      <c r="C310" t="s">
        <v>116</v>
      </c>
      <c r="D310" t="s">
        <v>66</v>
      </c>
      <c r="E310">
        <v>1</v>
      </c>
      <c r="F310">
        <v>52</v>
      </c>
      <c r="G310">
        <v>10</v>
      </c>
      <c r="H310">
        <v>520</v>
      </c>
      <c r="I310" t="s">
        <v>225</v>
      </c>
    </row>
    <row r="311" spans="1:9" x14ac:dyDescent="0.25">
      <c r="A311">
        <v>2042</v>
      </c>
      <c r="B311" s="81">
        <v>43999</v>
      </c>
      <c r="C311" t="s">
        <v>116</v>
      </c>
      <c r="D311" t="s">
        <v>200</v>
      </c>
      <c r="E311">
        <v>1</v>
      </c>
      <c r="F311">
        <v>57</v>
      </c>
      <c r="G311">
        <v>10</v>
      </c>
      <c r="H311">
        <v>570</v>
      </c>
      <c r="I311" t="s">
        <v>225</v>
      </c>
    </row>
    <row r="312" spans="1:9" x14ac:dyDescent="0.25">
      <c r="A312">
        <v>2043</v>
      </c>
      <c r="B312" s="81">
        <v>43999</v>
      </c>
      <c r="C312" t="s">
        <v>116</v>
      </c>
      <c r="D312" t="s">
        <v>85</v>
      </c>
      <c r="E312">
        <v>2</v>
      </c>
      <c r="F312">
        <v>107</v>
      </c>
      <c r="G312">
        <v>9</v>
      </c>
      <c r="H312">
        <v>1070</v>
      </c>
      <c r="I312" t="s">
        <v>225</v>
      </c>
    </row>
    <row r="313" spans="1:9" x14ac:dyDescent="0.25">
      <c r="A313">
        <v>2044</v>
      </c>
      <c r="B313" s="81">
        <v>43999</v>
      </c>
      <c r="C313" t="s">
        <v>116</v>
      </c>
      <c r="D313" t="s">
        <v>244</v>
      </c>
      <c r="E313">
        <v>2</v>
      </c>
      <c r="F313">
        <v>111</v>
      </c>
      <c r="G313">
        <v>10</v>
      </c>
      <c r="H313">
        <v>1110</v>
      </c>
      <c r="I313" t="s">
        <v>225</v>
      </c>
    </row>
    <row r="314" spans="1:9" x14ac:dyDescent="0.25">
      <c r="A314">
        <v>2045</v>
      </c>
      <c r="B314" s="81">
        <v>43999</v>
      </c>
      <c r="C314" t="s">
        <v>116</v>
      </c>
      <c r="D314" t="s">
        <v>142</v>
      </c>
      <c r="E314">
        <v>2</v>
      </c>
      <c r="F314">
        <v>91</v>
      </c>
      <c r="G314">
        <v>10</v>
      </c>
      <c r="H314">
        <v>910</v>
      </c>
      <c r="I314" t="s">
        <v>225</v>
      </c>
    </row>
    <row r="315" spans="1:9" x14ac:dyDescent="0.25">
      <c r="A315">
        <v>2046</v>
      </c>
      <c r="B315" s="81">
        <v>43999</v>
      </c>
      <c r="C315" t="s">
        <v>245</v>
      </c>
      <c r="D315" t="s">
        <v>101</v>
      </c>
      <c r="E315">
        <v>2</v>
      </c>
      <c r="F315">
        <v>93</v>
      </c>
      <c r="G315">
        <v>10</v>
      </c>
      <c r="H315">
        <v>930</v>
      </c>
      <c r="I315" t="s">
        <v>225</v>
      </c>
    </row>
    <row r="316" spans="1:9" x14ac:dyDescent="0.25">
      <c r="A316">
        <v>2047</v>
      </c>
      <c r="B316" s="81">
        <v>43999</v>
      </c>
      <c r="C316" t="s">
        <v>69</v>
      </c>
      <c r="D316" t="s">
        <v>200</v>
      </c>
      <c r="E316">
        <v>1</v>
      </c>
      <c r="F316">
        <v>54</v>
      </c>
      <c r="G316">
        <v>10</v>
      </c>
      <c r="H316">
        <v>540</v>
      </c>
      <c r="I316" t="s">
        <v>225</v>
      </c>
    </row>
    <row r="317" spans="1:9" x14ac:dyDescent="0.25">
      <c r="A317">
        <v>2048</v>
      </c>
      <c r="B317" s="81">
        <v>43999</v>
      </c>
      <c r="C317" t="s">
        <v>246</v>
      </c>
      <c r="D317" t="s">
        <v>101</v>
      </c>
      <c r="E317">
        <v>5</v>
      </c>
      <c r="F317">
        <v>272</v>
      </c>
      <c r="G317">
        <v>10</v>
      </c>
      <c r="H317">
        <v>2720</v>
      </c>
      <c r="I317" t="s">
        <v>225</v>
      </c>
    </row>
    <row r="318" spans="1:9" x14ac:dyDescent="0.25">
      <c r="A318">
        <v>2049</v>
      </c>
      <c r="B318" s="81">
        <v>43999</v>
      </c>
      <c r="C318" t="s">
        <v>246</v>
      </c>
      <c r="D318" t="s">
        <v>243</v>
      </c>
      <c r="E318">
        <v>1</v>
      </c>
      <c r="F318">
        <v>62</v>
      </c>
      <c r="G318">
        <v>10</v>
      </c>
      <c r="H318">
        <v>620</v>
      </c>
      <c r="I318" t="s">
        <v>225</v>
      </c>
    </row>
    <row r="319" spans="1:9" x14ac:dyDescent="0.25">
      <c r="A319">
        <v>2050</v>
      </c>
      <c r="B319" s="81">
        <v>43999</v>
      </c>
      <c r="C319" t="s">
        <v>134</v>
      </c>
      <c r="D319" t="s">
        <v>109</v>
      </c>
      <c r="E319">
        <v>1</v>
      </c>
      <c r="F319">
        <v>49</v>
      </c>
      <c r="G319">
        <v>9</v>
      </c>
      <c r="H319">
        <v>441</v>
      </c>
      <c r="I319" t="s">
        <v>225</v>
      </c>
    </row>
    <row r="320" spans="1:9" x14ac:dyDescent="0.25">
      <c r="A320">
        <v>2051</v>
      </c>
      <c r="B320" s="81">
        <v>44000</v>
      </c>
      <c r="C320" t="s">
        <v>247</v>
      </c>
      <c r="D320" t="s">
        <v>229</v>
      </c>
      <c r="E320">
        <v>10</v>
      </c>
      <c r="F320">
        <v>509</v>
      </c>
      <c r="G320">
        <v>8</v>
      </c>
      <c r="H320">
        <v>4072</v>
      </c>
      <c r="I320" t="s">
        <v>225</v>
      </c>
    </row>
    <row r="321" spans="1:9" x14ac:dyDescent="0.25">
      <c r="A321">
        <v>2052</v>
      </c>
      <c r="B321" s="81">
        <v>44000</v>
      </c>
      <c r="C321" t="s">
        <v>248</v>
      </c>
      <c r="D321" t="s">
        <v>229</v>
      </c>
      <c r="E321">
        <v>2</v>
      </c>
      <c r="F321">
        <v>67</v>
      </c>
      <c r="G321">
        <v>8</v>
      </c>
      <c r="H321">
        <v>536</v>
      </c>
      <c r="I321" t="s">
        <v>225</v>
      </c>
    </row>
    <row r="322" spans="1:9" x14ac:dyDescent="0.25">
      <c r="A322">
        <v>2053</v>
      </c>
      <c r="B322" s="81">
        <v>44000</v>
      </c>
      <c r="C322" t="s">
        <v>249</v>
      </c>
      <c r="D322" t="s">
        <v>85</v>
      </c>
      <c r="E322">
        <v>2</v>
      </c>
      <c r="F322">
        <v>74</v>
      </c>
      <c r="G322">
        <v>9</v>
      </c>
      <c r="H322">
        <v>666</v>
      </c>
      <c r="I322" t="s">
        <v>225</v>
      </c>
    </row>
    <row r="323" spans="1:9" x14ac:dyDescent="0.25">
      <c r="A323">
        <v>2054</v>
      </c>
      <c r="B323" s="81">
        <v>44000</v>
      </c>
      <c r="C323" t="s">
        <v>65</v>
      </c>
      <c r="D323" t="s">
        <v>85</v>
      </c>
      <c r="E323">
        <v>1</v>
      </c>
      <c r="F323">
        <v>56</v>
      </c>
      <c r="G323">
        <v>9</v>
      </c>
      <c r="H323">
        <v>504</v>
      </c>
      <c r="I323" t="s">
        <v>239</v>
      </c>
    </row>
    <row r="324" spans="1:9" x14ac:dyDescent="0.25">
      <c r="A324">
        <v>2055</v>
      </c>
      <c r="B324" s="81">
        <v>44000</v>
      </c>
      <c r="C324" t="s">
        <v>250</v>
      </c>
      <c r="D324" t="s">
        <v>101</v>
      </c>
      <c r="E324">
        <v>2</v>
      </c>
      <c r="F324">
        <v>113</v>
      </c>
      <c r="G324">
        <v>10</v>
      </c>
      <c r="H324">
        <v>1130</v>
      </c>
      <c r="I324" t="s">
        <v>239</v>
      </c>
    </row>
    <row r="325" spans="1:9" x14ac:dyDescent="0.25">
      <c r="A325">
        <v>2056</v>
      </c>
      <c r="B325" s="81">
        <v>44000</v>
      </c>
      <c r="C325" t="s">
        <v>249</v>
      </c>
      <c r="D325" t="s">
        <v>85</v>
      </c>
      <c r="E325">
        <v>2</v>
      </c>
      <c r="F325">
        <v>100</v>
      </c>
      <c r="G325">
        <v>9</v>
      </c>
      <c r="H325">
        <v>900</v>
      </c>
      <c r="I325" t="s">
        <v>225</v>
      </c>
    </row>
    <row r="326" spans="1:9" x14ac:dyDescent="0.25">
      <c r="A326">
        <v>2057</v>
      </c>
      <c r="B326" s="81">
        <v>44000</v>
      </c>
      <c r="C326" t="s">
        <v>211</v>
      </c>
      <c r="D326" t="s">
        <v>251</v>
      </c>
      <c r="E326">
        <v>1</v>
      </c>
      <c r="F326">
        <v>61</v>
      </c>
      <c r="G326">
        <v>8</v>
      </c>
      <c r="H326">
        <v>488</v>
      </c>
      <c r="I326" t="s">
        <v>225</v>
      </c>
    </row>
    <row r="327" spans="1:9" x14ac:dyDescent="0.25">
      <c r="A327">
        <v>2058</v>
      </c>
      <c r="B327" s="81">
        <v>44000</v>
      </c>
      <c r="C327" t="s">
        <v>252</v>
      </c>
      <c r="D327" t="s">
        <v>253</v>
      </c>
      <c r="E327">
        <v>1</v>
      </c>
      <c r="F327">
        <v>50</v>
      </c>
      <c r="G327">
        <v>10</v>
      </c>
      <c r="H327">
        <v>500</v>
      </c>
      <c r="I327" t="s">
        <v>225</v>
      </c>
    </row>
    <row r="328" spans="1:9" x14ac:dyDescent="0.25">
      <c r="A328">
        <v>2059</v>
      </c>
      <c r="B328" s="81">
        <v>44000</v>
      </c>
      <c r="C328" t="s">
        <v>254</v>
      </c>
      <c r="D328" t="s">
        <v>85</v>
      </c>
      <c r="E328">
        <v>2</v>
      </c>
      <c r="F328">
        <v>110</v>
      </c>
      <c r="G328">
        <v>9</v>
      </c>
      <c r="H328">
        <v>990</v>
      </c>
      <c r="I328" t="s">
        <v>225</v>
      </c>
    </row>
    <row r="329" spans="1:9" x14ac:dyDescent="0.25">
      <c r="A329">
        <v>2060</v>
      </c>
      <c r="B329" s="81">
        <v>44000</v>
      </c>
      <c r="C329" t="s">
        <v>255</v>
      </c>
      <c r="D329" t="s">
        <v>85</v>
      </c>
      <c r="E329">
        <v>2</v>
      </c>
      <c r="F329">
        <v>96</v>
      </c>
      <c r="G329">
        <v>9</v>
      </c>
      <c r="H329">
        <v>864</v>
      </c>
      <c r="I329" t="s">
        <v>225</v>
      </c>
    </row>
    <row r="330" spans="1:9" x14ac:dyDescent="0.25">
      <c r="A330">
        <v>2061</v>
      </c>
      <c r="B330" s="81">
        <v>44000</v>
      </c>
      <c r="C330" t="s">
        <v>249</v>
      </c>
      <c r="D330" t="s">
        <v>85</v>
      </c>
      <c r="E330">
        <v>1</v>
      </c>
      <c r="F330">
        <v>61</v>
      </c>
      <c r="G330">
        <v>9</v>
      </c>
      <c r="H330">
        <v>549</v>
      </c>
      <c r="I330" t="s">
        <v>225</v>
      </c>
    </row>
    <row r="331" spans="1:9" x14ac:dyDescent="0.25">
      <c r="A331">
        <v>2062</v>
      </c>
      <c r="B331" s="81">
        <v>44000</v>
      </c>
      <c r="C331" t="s">
        <v>256</v>
      </c>
      <c r="D331" t="s">
        <v>120</v>
      </c>
      <c r="E331">
        <v>1</v>
      </c>
      <c r="F331">
        <v>54</v>
      </c>
      <c r="G331">
        <v>10</v>
      </c>
      <c r="H331">
        <v>540</v>
      </c>
      <c r="I331" t="s">
        <v>225</v>
      </c>
    </row>
    <row r="332" spans="1:9" x14ac:dyDescent="0.25">
      <c r="A332">
        <v>2063</v>
      </c>
      <c r="B332" s="81">
        <v>44000</v>
      </c>
      <c r="C332" t="s">
        <v>67</v>
      </c>
      <c r="D332" t="s">
        <v>68</v>
      </c>
      <c r="E332">
        <v>2</v>
      </c>
      <c r="F332">
        <v>119</v>
      </c>
      <c r="G332">
        <v>10</v>
      </c>
      <c r="H332">
        <v>1190</v>
      </c>
      <c r="I332" t="s">
        <v>225</v>
      </c>
    </row>
    <row r="333" spans="1:9" x14ac:dyDescent="0.25">
      <c r="A333">
        <v>2064</v>
      </c>
      <c r="B333" s="81">
        <v>44000</v>
      </c>
      <c r="C333" t="s">
        <v>257</v>
      </c>
      <c r="D333" t="s">
        <v>140</v>
      </c>
      <c r="E333">
        <v>1</v>
      </c>
      <c r="F333">
        <v>10</v>
      </c>
      <c r="G333">
        <v>10</v>
      </c>
      <c r="H333">
        <v>100</v>
      </c>
      <c r="I333" t="s">
        <v>225</v>
      </c>
    </row>
    <row r="334" spans="1:9" x14ac:dyDescent="0.25">
      <c r="A334">
        <v>2065</v>
      </c>
      <c r="B334" s="81">
        <v>44000</v>
      </c>
      <c r="C334" t="s">
        <v>249</v>
      </c>
      <c r="D334" t="s">
        <v>86</v>
      </c>
      <c r="E334">
        <v>2</v>
      </c>
      <c r="F334">
        <v>62</v>
      </c>
      <c r="G334">
        <v>10</v>
      </c>
      <c r="H334">
        <v>620</v>
      </c>
      <c r="I334" t="s">
        <v>225</v>
      </c>
    </row>
    <row r="335" spans="1:9" x14ac:dyDescent="0.25">
      <c r="A335">
        <v>2066</v>
      </c>
      <c r="B335" s="81">
        <v>44000</v>
      </c>
      <c r="C335" t="s">
        <v>249</v>
      </c>
      <c r="D335" t="s">
        <v>85</v>
      </c>
      <c r="E335">
        <v>1</v>
      </c>
      <c r="F335">
        <v>44</v>
      </c>
      <c r="G335">
        <v>9</v>
      </c>
      <c r="H335">
        <v>396</v>
      </c>
      <c r="I335" t="s">
        <v>225</v>
      </c>
    </row>
    <row r="336" spans="1:9" x14ac:dyDescent="0.25">
      <c r="A336">
        <v>2067</v>
      </c>
      <c r="B336" s="81">
        <v>44000</v>
      </c>
      <c r="C336" t="s">
        <v>236</v>
      </c>
      <c r="D336" t="s">
        <v>229</v>
      </c>
      <c r="E336">
        <v>1</v>
      </c>
      <c r="F336">
        <v>59</v>
      </c>
      <c r="G336">
        <v>8</v>
      </c>
      <c r="H336">
        <v>472</v>
      </c>
      <c r="I336" t="s">
        <v>225</v>
      </c>
    </row>
    <row r="337" spans="1:9" x14ac:dyDescent="0.25">
      <c r="A337">
        <v>2068</v>
      </c>
      <c r="B337" s="81">
        <v>44000</v>
      </c>
      <c r="C337" t="s">
        <v>201</v>
      </c>
      <c r="D337" t="s">
        <v>167</v>
      </c>
      <c r="E337">
        <v>2</v>
      </c>
      <c r="F337">
        <v>109</v>
      </c>
      <c r="G337">
        <v>10</v>
      </c>
      <c r="H337">
        <v>1090</v>
      </c>
      <c r="I337" t="s">
        <v>225</v>
      </c>
    </row>
    <row r="338" spans="1:9" x14ac:dyDescent="0.25">
      <c r="A338">
        <v>2069</v>
      </c>
      <c r="B338" s="81">
        <v>44000</v>
      </c>
      <c r="C338" t="s">
        <v>258</v>
      </c>
      <c r="D338" t="s">
        <v>259</v>
      </c>
      <c r="E338">
        <v>3</v>
      </c>
      <c r="F338">
        <v>166</v>
      </c>
      <c r="G338">
        <v>15</v>
      </c>
      <c r="H338">
        <v>2490</v>
      </c>
      <c r="I338" t="s">
        <v>225</v>
      </c>
    </row>
    <row r="339" spans="1:9" x14ac:dyDescent="0.25">
      <c r="A339">
        <v>2070</v>
      </c>
      <c r="B339" s="81">
        <v>44000</v>
      </c>
      <c r="C339" t="s">
        <v>260</v>
      </c>
      <c r="D339" t="s">
        <v>261</v>
      </c>
      <c r="E339">
        <v>2</v>
      </c>
      <c r="F339">
        <v>80</v>
      </c>
      <c r="G339">
        <v>10</v>
      </c>
      <c r="H339">
        <v>800</v>
      </c>
      <c r="I339" t="s">
        <v>225</v>
      </c>
    </row>
    <row r="340" spans="1:9" x14ac:dyDescent="0.25">
      <c r="A340">
        <v>2071</v>
      </c>
      <c r="B340" s="81">
        <v>44000</v>
      </c>
      <c r="C340" t="s">
        <v>69</v>
      </c>
      <c r="D340" t="s">
        <v>171</v>
      </c>
      <c r="E340">
        <v>2</v>
      </c>
      <c r="F340">
        <v>97</v>
      </c>
      <c r="G340">
        <v>10</v>
      </c>
      <c r="H340">
        <v>970</v>
      </c>
      <c r="I340" t="s">
        <v>225</v>
      </c>
    </row>
    <row r="341" spans="1:9" x14ac:dyDescent="0.25">
      <c r="A341">
        <v>2072</v>
      </c>
      <c r="B341" s="81">
        <v>44000</v>
      </c>
      <c r="C341" t="s">
        <v>69</v>
      </c>
      <c r="D341" t="s">
        <v>155</v>
      </c>
      <c r="E341">
        <v>1</v>
      </c>
      <c r="F341">
        <v>63</v>
      </c>
      <c r="G341">
        <v>10</v>
      </c>
      <c r="H341">
        <v>630</v>
      </c>
      <c r="I341" t="s">
        <v>225</v>
      </c>
    </row>
    <row r="342" spans="1:9" x14ac:dyDescent="0.25">
      <c r="A342">
        <v>2073</v>
      </c>
      <c r="B342" s="81">
        <v>44000</v>
      </c>
      <c r="C342" t="s">
        <v>262</v>
      </c>
      <c r="D342" t="s">
        <v>155</v>
      </c>
      <c r="E342">
        <v>2</v>
      </c>
      <c r="F342">
        <v>89</v>
      </c>
      <c r="G342">
        <v>10</v>
      </c>
      <c r="H342">
        <v>890</v>
      </c>
      <c r="I342" t="s">
        <v>225</v>
      </c>
    </row>
    <row r="343" spans="1:9" x14ac:dyDescent="0.25">
      <c r="A343">
        <v>2074</v>
      </c>
      <c r="B343" s="81">
        <v>44000</v>
      </c>
      <c r="C343" t="s">
        <v>255</v>
      </c>
      <c r="D343" t="s">
        <v>109</v>
      </c>
      <c r="E343">
        <v>1</v>
      </c>
      <c r="F343">
        <v>58</v>
      </c>
      <c r="G343">
        <v>9</v>
      </c>
      <c r="H343">
        <v>522</v>
      </c>
      <c r="I343" t="s">
        <v>225</v>
      </c>
    </row>
    <row r="344" spans="1:9" x14ac:dyDescent="0.25">
      <c r="A344">
        <v>2075</v>
      </c>
      <c r="B344" s="81">
        <v>44000</v>
      </c>
      <c r="C344" t="s">
        <v>263</v>
      </c>
      <c r="D344" t="s">
        <v>229</v>
      </c>
      <c r="E344">
        <v>6</v>
      </c>
      <c r="F344">
        <v>402</v>
      </c>
      <c r="G344">
        <v>8</v>
      </c>
      <c r="H344">
        <v>3216</v>
      </c>
      <c r="I344" t="s">
        <v>225</v>
      </c>
    </row>
    <row r="345" spans="1:9" x14ac:dyDescent="0.25">
      <c r="A345">
        <v>2076</v>
      </c>
      <c r="B345" s="81">
        <v>44000</v>
      </c>
      <c r="C345" t="s">
        <v>79</v>
      </c>
      <c r="D345" t="s">
        <v>264</v>
      </c>
      <c r="E345">
        <v>2</v>
      </c>
      <c r="F345">
        <v>89</v>
      </c>
      <c r="G345">
        <v>10</v>
      </c>
      <c r="H345">
        <v>890</v>
      </c>
      <c r="I345" t="s">
        <v>225</v>
      </c>
    </row>
    <row r="346" spans="1:9" x14ac:dyDescent="0.25">
      <c r="A346">
        <v>2077</v>
      </c>
      <c r="B346" s="81">
        <v>44000</v>
      </c>
      <c r="C346" t="s">
        <v>79</v>
      </c>
      <c r="D346" t="s">
        <v>85</v>
      </c>
      <c r="E346">
        <v>1</v>
      </c>
      <c r="F346">
        <v>57</v>
      </c>
      <c r="G346">
        <v>9</v>
      </c>
      <c r="H346">
        <v>513</v>
      </c>
      <c r="I346" t="s">
        <v>225</v>
      </c>
    </row>
    <row r="347" spans="1:9" x14ac:dyDescent="0.25">
      <c r="A347">
        <v>2078</v>
      </c>
      <c r="B347" s="81">
        <v>44000</v>
      </c>
      <c r="C347" t="s">
        <v>79</v>
      </c>
      <c r="D347" t="s">
        <v>155</v>
      </c>
      <c r="E347">
        <v>1</v>
      </c>
      <c r="F347">
        <v>58</v>
      </c>
      <c r="G347">
        <v>10</v>
      </c>
      <c r="H347">
        <v>580</v>
      </c>
      <c r="I347" t="s">
        <v>239</v>
      </c>
    </row>
    <row r="348" spans="1:9" x14ac:dyDescent="0.25">
      <c r="A348">
        <v>2079</v>
      </c>
      <c r="B348" s="81">
        <v>44000</v>
      </c>
      <c r="C348" t="s">
        <v>79</v>
      </c>
      <c r="D348" t="s">
        <v>66</v>
      </c>
      <c r="E348">
        <v>1</v>
      </c>
      <c r="F348">
        <v>59</v>
      </c>
      <c r="G348">
        <v>10</v>
      </c>
      <c r="H348">
        <v>590</v>
      </c>
      <c r="I348" t="s">
        <v>239</v>
      </c>
    </row>
    <row r="349" spans="1:9" x14ac:dyDescent="0.25">
      <c r="A349">
        <v>2080</v>
      </c>
      <c r="B349" s="81">
        <v>44000</v>
      </c>
      <c r="C349" t="s">
        <v>74</v>
      </c>
      <c r="D349" t="s">
        <v>78</v>
      </c>
      <c r="E349">
        <v>2</v>
      </c>
      <c r="F349">
        <v>116</v>
      </c>
      <c r="G349">
        <v>10</v>
      </c>
      <c r="H349">
        <v>1160</v>
      </c>
      <c r="I349" t="s">
        <v>225</v>
      </c>
    </row>
    <row r="350" spans="1:9" x14ac:dyDescent="0.25">
      <c r="A350">
        <v>2081</v>
      </c>
      <c r="B350" s="81">
        <v>44000</v>
      </c>
      <c r="C350" t="s">
        <v>249</v>
      </c>
      <c r="D350" t="s">
        <v>261</v>
      </c>
      <c r="E350">
        <v>3</v>
      </c>
      <c r="F350">
        <v>151</v>
      </c>
      <c r="G350">
        <v>10</v>
      </c>
      <c r="H350">
        <v>1510</v>
      </c>
      <c r="I350" t="s">
        <v>225</v>
      </c>
    </row>
    <row r="351" spans="1:9" x14ac:dyDescent="0.25">
      <c r="A351">
        <v>2082</v>
      </c>
      <c r="B351" s="81">
        <v>44000</v>
      </c>
      <c r="C351" t="s">
        <v>265</v>
      </c>
      <c r="D351" t="s">
        <v>146</v>
      </c>
      <c r="E351">
        <v>1</v>
      </c>
      <c r="F351">
        <v>21</v>
      </c>
      <c r="G351">
        <v>10</v>
      </c>
      <c r="H351">
        <v>210</v>
      </c>
      <c r="I351" t="s">
        <v>225</v>
      </c>
    </row>
    <row r="352" spans="1:9" x14ac:dyDescent="0.25">
      <c r="A352">
        <v>2083</v>
      </c>
      <c r="B352" s="81">
        <v>44000</v>
      </c>
      <c r="C352" t="s">
        <v>139</v>
      </c>
      <c r="D352" t="s">
        <v>266</v>
      </c>
      <c r="E352">
        <v>2</v>
      </c>
      <c r="F352">
        <v>62</v>
      </c>
      <c r="G352">
        <v>13</v>
      </c>
      <c r="H352">
        <v>806</v>
      </c>
      <c r="I352" t="s">
        <v>225</v>
      </c>
    </row>
    <row r="353" spans="1:9" x14ac:dyDescent="0.25">
      <c r="A353">
        <v>2084</v>
      </c>
      <c r="B353" s="81">
        <v>44000</v>
      </c>
      <c r="C353" t="s">
        <v>65</v>
      </c>
      <c r="D353" t="s">
        <v>140</v>
      </c>
      <c r="E353">
        <v>1</v>
      </c>
      <c r="F353">
        <v>10</v>
      </c>
      <c r="G353">
        <v>10</v>
      </c>
      <c r="H353">
        <v>100</v>
      </c>
      <c r="I353" t="s">
        <v>225</v>
      </c>
    </row>
    <row r="354" spans="1:9" x14ac:dyDescent="0.25">
      <c r="A354">
        <v>2085</v>
      </c>
      <c r="B354" s="81">
        <v>44000</v>
      </c>
      <c r="C354" t="s">
        <v>65</v>
      </c>
      <c r="D354" t="s">
        <v>167</v>
      </c>
      <c r="E354">
        <v>1</v>
      </c>
      <c r="F354">
        <v>23</v>
      </c>
      <c r="G354">
        <v>10</v>
      </c>
      <c r="H354">
        <v>230</v>
      </c>
      <c r="I354" t="s">
        <v>225</v>
      </c>
    </row>
    <row r="355" spans="1:9" x14ac:dyDescent="0.25">
      <c r="A355">
        <v>2086</v>
      </c>
      <c r="B355" s="81">
        <v>44000</v>
      </c>
      <c r="C355" t="s">
        <v>74</v>
      </c>
      <c r="D355" t="s">
        <v>219</v>
      </c>
      <c r="E355">
        <v>1</v>
      </c>
      <c r="F355">
        <v>40</v>
      </c>
      <c r="G355">
        <v>10</v>
      </c>
      <c r="H355">
        <v>400</v>
      </c>
      <c r="I355" t="s">
        <v>225</v>
      </c>
    </row>
    <row r="356" spans="1:9" x14ac:dyDescent="0.25">
      <c r="A356">
        <v>2087</v>
      </c>
      <c r="B356" s="81">
        <v>44000</v>
      </c>
      <c r="C356" t="s">
        <v>74</v>
      </c>
      <c r="D356" t="s">
        <v>200</v>
      </c>
      <c r="E356">
        <v>1</v>
      </c>
      <c r="F356">
        <v>46</v>
      </c>
      <c r="G356">
        <v>10</v>
      </c>
      <c r="H356">
        <v>460</v>
      </c>
      <c r="I356" t="s">
        <v>225</v>
      </c>
    </row>
    <row r="357" spans="1:9" x14ac:dyDescent="0.25">
      <c r="A357">
        <v>2088</v>
      </c>
      <c r="B357" s="81">
        <v>44000</v>
      </c>
      <c r="C357" t="s">
        <v>267</v>
      </c>
      <c r="D357" t="s">
        <v>244</v>
      </c>
      <c r="E357">
        <v>1</v>
      </c>
      <c r="F357">
        <v>40</v>
      </c>
      <c r="G357">
        <v>10</v>
      </c>
      <c r="H357">
        <v>400</v>
      </c>
      <c r="I357" t="s">
        <v>225</v>
      </c>
    </row>
    <row r="358" spans="1:9" x14ac:dyDescent="0.25">
      <c r="A358">
        <v>2089</v>
      </c>
      <c r="B358" s="81">
        <v>44000</v>
      </c>
      <c r="C358" t="s">
        <v>268</v>
      </c>
      <c r="D358" t="s">
        <v>269</v>
      </c>
      <c r="E358">
        <v>2</v>
      </c>
      <c r="F358">
        <v>108</v>
      </c>
      <c r="G358">
        <v>10</v>
      </c>
      <c r="H358">
        <v>1080</v>
      </c>
      <c r="I358" t="s">
        <v>225</v>
      </c>
    </row>
    <row r="359" spans="1:9" x14ac:dyDescent="0.25">
      <c r="A359">
        <v>2090</v>
      </c>
      <c r="B359" s="81">
        <v>44000</v>
      </c>
      <c r="C359" t="s">
        <v>270</v>
      </c>
      <c r="D359" t="s">
        <v>115</v>
      </c>
      <c r="E359">
        <v>2</v>
      </c>
      <c r="F359">
        <v>114</v>
      </c>
      <c r="G359">
        <v>10</v>
      </c>
      <c r="H359">
        <v>1140</v>
      </c>
      <c r="I359" t="s">
        <v>225</v>
      </c>
    </row>
    <row r="360" spans="1:9" x14ac:dyDescent="0.25">
      <c r="A360">
        <v>2091</v>
      </c>
      <c r="B360" s="81">
        <v>44000</v>
      </c>
      <c r="C360" t="s">
        <v>80</v>
      </c>
      <c r="D360" t="s">
        <v>101</v>
      </c>
      <c r="E360">
        <v>1</v>
      </c>
      <c r="F360">
        <v>56</v>
      </c>
      <c r="G360">
        <v>10</v>
      </c>
      <c r="H360">
        <v>560</v>
      </c>
      <c r="I360" t="s">
        <v>225</v>
      </c>
    </row>
    <row r="361" spans="1:9" x14ac:dyDescent="0.25">
      <c r="A361">
        <v>2092</v>
      </c>
      <c r="B361" s="81">
        <v>44000</v>
      </c>
      <c r="C361" t="s">
        <v>116</v>
      </c>
      <c r="D361" t="s">
        <v>261</v>
      </c>
      <c r="E361">
        <v>1</v>
      </c>
      <c r="F361">
        <v>61</v>
      </c>
      <c r="G361">
        <v>10</v>
      </c>
      <c r="H361">
        <v>610</v>
      </c>
      <c r="I361" t="s">
        <v>225</v>
      </c>
    </row>
    <row r="362" spans="1:9" x14ac:dyDescent="0.25">
      <c r="A362">
        <v>2093</v>
      </c>
      <c r="B362" s="81">
        <v>44000</v>
      </c>
      <c r="C362" t="s">
        <v>116</v>
      </c>
      <c r="D362" t="s">
        <v>85</v>
      </c>
      <c r="E362">
        <v>2</v>
      </c>
      <c r="F362">
        <v>80</v>
      </c>
      <c r="G362">
        <v>9</v>
      </c>
      <c r="H362">
        <v>720</v>
      </c>
      <c r="I362" t="s">
        <v>225</v>
      </c>
    </row>
    <row r="363" spans="1:9" x14ac:dyDescent="0.25">
      <c r="A363">
        <v>2094</v>
      </c>
      <c r="B363" s="81">
        <v>44000</v>
      </c>
      <c r="C363" t="s">
        <v>116</v>
      </c>
      <c r="D363" t="s">
        <v>261</v>
      </c>
      <c r="E363">
        <v>1</v>
      </c>
      <c r="F363">
        <v>52</v>
      </c>
      <c r="G363">
        <v>10</v>
      </c>
      <c r="H363">
        <v>520</v>
      </c>
      <c r="I363" t="s">
        <v>225</v>
      </c>
    </row>
    <row r="364" spans="1:9" x14ac:dyDescent="0.25">
      <c r="A364">
        <v>2095</v>
      </c>
      <c r="B364" s="81">
        <v>44000</v>
      </c>
      <c r="C364" t="s">
        <v>116</v>
      </c>
      <c r="D364" t="s">
        <v>244</v>
      </c>
      <c r="E364">
        <v>2</v>
      </c>
      <c r="F364">
        <v>80</v>
      </c>
      <c r="G364">
        <v>10</v>
      </c>
      <c r="H364">
        <v>800</v>
      </c>
      <c r="I364" t="s">
        <v>225</v>
      </c>
    </row>
    <row r="365" spans="1:9" x14ac:dyDescent="0.25">
      <c r="A365">
        <v>2096</v>
      </c>
      <c r="B365" s="81">
        <v>44000</v>
      </c>
      <c r="C365" t="s">
        <v>116</v>
      </c>
      <c r="D365" t="s">
        <v>66</v>
      </c>
      <c r="E365">
        <v>3</v>
      </c>
      <c r="F365">
        <v>133</v>
      </c>
      <c r="G365">
        <v>10</v>
      </c>
      <c r="H365">
        <v>1330</v>
      </c>
      <c r="I365" t="s">
        <v>225</v>
      </c>
    </row>
    <row r="366" spans="1:9" x14ac:dyDescent="0.25">
      <c r="A366">
        <v>2097</v>
      </c>
      <c r="B366" s="81">
        <v>44000</v>
      </c>
      <c r="C366" t="s">
        <v>268</v>
      </c>
      <c r="D366" t="s">
        <v>271</v>
      </c>
      <c r="E366">
        <v>2</v>
      </c>
      <c r="F366">
        <v>112</v>
      </c>
      <c r="G366">
        <v>10</v>
      </c>
      <c r="H366">
        <v>1120</v>
      </c>
      <c r="I366" t="s">
        <v>225</v>
      </c>
    </row>
    <row r="367" spans="1:9" x14ac:dyDescent="0.25">
      <c r="A367">
        <v>2098</v>
      </c>
      <c r="B367" s="81">
        <v>44001</v>
      </c>
      <c r="C367" t="s">
        <v>108</v>
      </c>
      <c r="D367" t="s">
        <v>109</v>
      </c>
      <c r="E367">
        <v>5</v>
      </c>
      <c r="F367">
        <v>274</v>
      </c>
      <c r="G367">
        <v>9</v>
      </c>
      <c r="H367">
        <v>2466</v>
      </c>
      <c r="I367" t="s">
        <v>225</v>
      </c>
    </row>
    <row r="368" spans="1:9" x14ac:dyDescent="0.25">
      <c r="A368">
        <v>2099</v>
      </c>
      <c r="B368" s="81">
        <v>44001</v>
      </c>
      <c r="C368" t="s">
        <v>108</v>
      </c>
      <c r="D368" t="s">
        <v>109</v>
      </c>
      <c r="E368">
        <v>4</v>
      </c>
      <c r="F368">
        <v>194</v>
      </c>
      <c r="G368">
        <v>9</v>
      </c>
      <c r="H368">
        <v>1746</v>
      </c>
      <c r="I368" t="s">
        <v>225</v>
      </c>
    </row>
    <row r="369" spans="1:9" x14ac:dyDescent="0.25">
      <c r="A369">
        <v>2100</v>
      </c>
      <c r="B369" s="81">
        <v>44001</v>
      </c>
      <c r="C369" t="s">
        <v>108</v>
      </c>
      <c r="D369" t="s">
        <v>272</v>
      </c>
      <c r="E369">
        <v>1</v>
      </c>
      <c r="F369">
        <v>31</v>
      </c>
      <c r="G369">
        <v>10</v>
      </c>
      <c r="H369">
        <v>310</v>
      </c>
      <c r="I369" t="s">
        <v>225</v>
      </c>
    </row>
    <row r="370" spans="1:9" x14ac:dyDescent="0.25">
      <c r="A370">
        <v>2101</v>
      </c>
      <c r="B370" s="81">
        <v>44001</v>
      </c>
      <c r="C370" t="s">
        <v>108</v>
      </c>
      <c r="D370" t="s">
        <v>272</v>
      </c>
      <c r="E370">
        <v>4</v>
      </c>
      <c r="F370">
        <v>230</v>
      </c>
      <c r="G370">
        <v>10</v>
      </c>
      <c r="H370">
        <v>2300</v>
      </c>
      <c r="I370" t="s">
        <v>225</v>
      </c>
    </row>
    <row r="371" spans="1:9" x14ac:dyDescent="0.25">
      <c r="A371">
        <v>2102</v>
      </c>
      <c r="B371" s="81">
        <v>44001</v>
      </c>
      <c r="C371" t="s">
        <v>166</v>
      </c>
      <c r="D371" t="s">
        <v>259</v>
      </c>
      <c r="E371">
        <v>1</v>
      </c>
      <c r="F371">
        <v>53</v>
      </c>
      <c r="G371">
        <v>15</v>
      </c>
      <c r="H371">
        <v>795</v>
      </c>
      <c r="I371" t="s">
        <v>225</v>
      </c>
    </row>
    <row r="372" spans="1:9" x14ac:dyDescent="0.25">
      <c r="A372">
        <v>2103</v>
      </c>
      <c r="B372" s="81">
        <v>44001</v>
      </c>
      <c r="C372" t="s">
        <v>80</v>
      </c>
      <c r="D372" t="s">
        <v>259</v>
      </c>
      <c r="E372">
        <v>2</v>
      </c>
      <c r="F372">
        <v>89</v>
      </c>
      <c r="G372">
        <v>15</v>
      </c>
      <c r="H372">
        <v>1335</v>
      </c>
      <c r="I372" t="s">
        <v>225</v>
      </c>
    </row>
    <row r="373" spans="1:9" x14ac:dyDescent="0.25">
      <c r="A373">
        <v>2104</v>
      </c>
      <c r="B373" s="81">
        <v>44001</v>
      </c>
      <c r="C373" t="s">
        <v>249</v>
      </c>
      <c r="D373" t="s">
        <v>140</v>
      </c>
      <c r="E373">
        <v>9</v>
      </c>
      <c r="F373">
        <v>310</v>
      </c>
      <c r="G373">
        <v>10</v>
      </c>
      <c r="H373">
        <v>3100</v>
      </c>
      <c r="I373" t="s">
        <v>225</v>
      </c>
    </row>
    <row r="374" spans="1:9" x14ac:dyDescent="0.25">
      <c r="A374">
        <v>2105</v>
      </c>
      <c r="B374" s="81">
        <v>44001</v>
      </c>
      <c r="C374" t="s">
        <v>273</v>
      </c>
      <c r="D374" t="s">
        <v>274</v>
      </c>
      <c r="E374">
        <v>1</v>
      </c>
      <c r="F374">
        <v>46</v>
      </c>
      <c r="G374">
        <v>10</v>
      </c>
      <c r="H374">
        <v>460</v>
      </c>
      <c r="I374" t="s">
        <v>225</v>
      </c>
    </row>
    <row r="375" spans="1:9" x14ac:dyDescent="0.25">
      <c r="A375">
        <v>2106</v>
      </c>
      <c r="B375" s="81">
        <v>44001</v>
      </c>
      <c r="C375" t="s">
        <v>275</v>
      </c>
      <c r="D375" t="s">
        <v>85</v>
      </c>
      <c r="E375">
        <v>1</v>
      </c>
      <c r="F375">
        <v>52</v>
      </c>
      <c r="G375">
        <v>9</v>
      </c>
      <c r="H375">
        <v>468</v>
      </c>
      <c r="I375" t="s">
        <v>225</v>
      </c>
    </row>
    <row r="376" spans="1:9" x14ac:dyDescent="0.25">
      <c r="A376">
        <v>2107</v>
      </c>
      <c r="B376" s="81">
        <v>44001</v>
      </c>
      <c r="C376" t="s">
        <v>89</v>
      </c>
      <c r="D376" t="s">
        <v>207</v>
      </c>
      <c r="E376">
        <v>5</v>
      </c>
      <c r="F376">
        <v>308</v>
      </c>
      <c r="G376">
        <v>10</v>
      </c>
      <c r="H376">
        <v>3080</v>
      </c>
      <c r="I376" t="s">
        <v>225</v>
      </c>
    </row>
    <row r="377" spans="1:9" x14ac:dyDescent="0.25">
      <c r="A377">
        <v>2108</v>
      </c>
      <c r="B377" s="81">
        <v>44001</v>
      </c>
      <c r="C377" t="s">
        <v>116</v>
      </c>
      <c r="D377" t="s">
        <v>155</v>
      </c>
      <c r="E377">
        <v>2</v>
      </c>
      <c r="F377">
        <v>86</v>
      </c>
      <c r="G377">
        <v>10</v>
      </c>
      <c r="H377">
        <v>860</v>
      </c>
      <c r="I377" t="s">
        <v>225</v>
      </c>
    </row>
    <row r="378" spans="1:9" x14ac:dyDescent="0.25">
      <c r="A378">
        <v>2109</v>
      </c>
      <c r="B378" s="81">
        <v>44001</v>
      </c>
      <c r="C378" t="s">
        <v>116</v>
      </c>
      <c r="D378" t="s">
        <v>78</v>
      </c>
      <c r="E378">
        <v>2</v>
      </c>
      <c r="F378">
        <v>93</v>
      </c>
      <c r="G378">
        <v>10</v>
      </c>
      <c r="H378">
        <v>930</v>
      </c>
      <c r="I378" t="s">
        <v>225</v>
      </c>
    </row>
    <row r="379" spans="1:9" x14ac:dyDescent="0.25">
      <c r="A379">
        <v>2110</v>
      </c>
      <c r="B379" s="81">
        <v>44001</v>
      </c>
      <c r="C379" t="s">
        <v>116</v>
      </c>
      <c r="D379" t="s">
        <v>66</v>
      </c>
      <c r="E379">
        <v>4</v>
      </c>
      <c r="F379">
        <v>258</v>
      </c>
      <c r="G379">
        <v>10</v>
      </c>
      <c r="H379">
        <v>2580</v>
      </c>
      <c r="I379" t="s">
        <v>225</v>
      </c>
    </row>
    <row r="380" spans="1:9" x14ac:dyDescent="0.25">
      <c r="A380">
        <v>2111</v>
      </c>
      <c r="B380" s="81">
        <v>44001</v>
      </c>
      <c r="C380" t="s">
        <v>139</v>
      </c>
      <c r="D380" t="s">
        <v>140</v>
      </c>
      <c r="E380">
        <v>1</v>
      </c>
      <c r="F380">
        <v>10</v>
      </c>
      <c r="G380">
        <v>10</v>
      </c>
      <c r="H380">
        <v>100</v>
      </c>
      <c r="I380" t="s">
        <v>225</v>
      </c>
    </row>
    <row r="381" spans="1:9" x14ac:dyDescent="0.25">
      <c r="A381">
        <v>2112</v>
      </c>
      <c r="B381" s="81">
        <v>44001</v>
      </c>
      <c r="C381" t="s">
        <v>108</v>
      </c>
      <c r="D381" t="s">
        <v>272</v>
      </c>
      <c r="E381">
        <v>2</v>
      </c>
      <c r="F381">
        <v>120</v>
      </c>
      <c r="G381">
        <v>10</v>
      </c>
      <c r="H381">
        <v>1200</v>
      </c>
      <c r="I381" t="s">
        <v>225</v>
      </c>
    </row>
    <row r="382" spans="1:9" x14ac:dyDescent="0.25">
      <c r="A382">
        <v>2113</v>
      </c>
      <c r="B382" s="81">
        <v>44001</v>
      </c>
      <c r="C382" t="s">
        <v>276</v>
      </c>
      <c r="D382" t="s">
        <v>224</v>
      </c>
      <c r="E382">
        <v>3</v>
      </c>
      <c r="F382">
        <v>174</v>
      </c>
      <c r="G382">
        <v>8</v>
      </c>
      <c r="H382">
        <v>1392</v>
      </c>
      <c r="I382" t="s">
        <v>225</v>
      </c>
    </row>
    <row r="383" spans="1:9" x14ac:dyDescent="0.25">
      <c r="A383">
        <v>2114</v>
      </c>
      <c r="B383" s="81">
        <v>44001</v>
      </c>
      <c r="C383" t="s">
        <v>276</v>
      </c>
      <c r="D383" t="s">
        <v>251</v>
      </c>
      <c r="E383">
        <v>2</v>
      </c>
      <c r="F383">
        <v>121</v>
      </c>
      <c r="G383">
        <v>8</v>
      </c>
      <c r="H383">
        <v>968</v>
      </c>
      <c r="I383" t="s">
        <v>239</v>
      </c>
    </row>
    <row r="384" spans="1:9" x14ac:dyDescent="0.25">
      <c r="A384">
        <v>2115</v>
      </c>
      <c r="B384" s="81">
        <v>44001</v>
      </c>
      <c r="C384" t="s">
        <v>108</v>
      </c>
      <c r="D384" t="s">
        <v>277</v>
      </c>
      <c r="E384">
        <v>3</v>
      </c>
      <c r="F384">
        <v>165</v>
      </c>
      <c r="G384">
        <v>10</v>
      </c>
      <c r="H384">
        <v>1650</v>
      </c>
      <c r="I384" t="s">
        <v>239</v>
      </c>
    </row>
    <row r="385" spans="1:9" x14ac:dyDescent="0.25">
      <c r="A385">
        <v>2116</v>
      </c>
      <c r="B385" s="81">
        <v>44001</v>
      </c>
      <c r="C385" t="s">
        <v>270</v>
      </c>
      <c r="D385" t="s">
        <v>109</v>
      </c>
      <c r="E385">
        <v>1</v>
      </c>
      <c r="F385">
        <v>45</v>
      </c>
      <c r="G385">
        <v>9</v>
      </c>
      <c r="H385">
        <v>405</v>
      </c>
      <c r="I385" t="s">
        <v>225</v>
      </c>
    </row>
    <row r="386" spans="1:9" x14ac:dyDescent="0.25">
      <c r="A386">
        <v>2117</v>
      </c>
      <c r="B386" s="81">
        <v>44001</v>
      </c>
      <c r="C386" t="s">
        <v>249</v>
      </c>
      <c r="D386" t="s">
        <v>78</v>
      </c>
      <c r="E386">
        <v>1</v>
      </c>
      <c r="F386">
        <v>53</v>
      </c>
      <c r="G386">
        <v>10</v>
      </c>
      <c r="H386">
        <v>530</v>
      </c>
      <c r="I386" t="s">
        <v>225</v>
      </c>
    </row>
    <row r="387" spans="1:9" x14ac:dyDescent="0.25">
      <c r="A387">
        <v>2118</v>
      </c>
      <c r="B387" s="81">
        <v>44001</v>
      </c>
      <c r="C387" t="s">
        <v>278</v>
      </c>
      <c r="D387" t="s">
        <v>224</v>
      </c>
      <c r="E387">
        <v>6</v>
      </c>
      <c r="F387">
        <v>236</v>
      </c>
      <c r="G387">
        <v>8</v>
      </c>
      <c r="H387">
        <v>1888</v>
      </c>
      <c r="I387" t="s">
        <v>225</v>
      </c>
    </row>
    <row r="388" spans="1:9" x14ac:dyDescent="0.25">
      <c r="A388">
        <v>2119</v>
      </c>
      <c r="B388" s="81">
        <v>44001</v>
      </c>
      <c r="C388" t="s">
        <v>278</v>
      </c>
      <c r="D388" t="s">
        <v>224</v>
      </c>
      <c r="E388">
        <v>3</v>
      </c>
      <c r="F388">
        <v>185</v>
      </c>
      <c r="G388">
        <v>8</v>
      </c>
      <c r="H388">
        <v>1480</v>
      </c>
      <c r="I388" t="s">
        <v>225</v>
      </c>
    </row>
    <row r="389" spans="1:9" x14ac:dyDescent="0.25">
      <c r="A389">
        <v>2120</v>
      </c>
      <c r="B389" s="81">
        <v>44001</v>
      </c>
      <c r="C389" t="s">
        <v>279</v>
      </c>
      <c r="D389" t="s">
        <v>235</v>
      </c>
      <c r="E389">
        <v>3</v>
      </c>
      <c r="F389">
        <v>141</v>
      </c>
      <c r="G389">
        <v>10</v>
      </c>
      <c r="H389">
        <v>1410</v>
      </c>
      <c r="I389" t="s">
        <v>225</v>
      </c>
    </row>
    <row r="390" spans="1:9" x14ac:dyDescent="0.25">
      <c r="A390">
        <v>2121</v>
      </c>
      <c r="B390" s="81">
        <v>44001</v>
      </c>
      <c r="C390" t="s">
        <v>74</v>
      </c>
      <c r="D390" t="s">
        <v>78</v>
      </c>
      <c r="E390">
        <v>2</v>
      </c>
      <c r="F390">
        <v>112</v>
      </c>
      <c r="G390">
        <v>10</v>
      </c>
      <c r="H390">
        <v>1120</v>
      </c>
      <c r="I390" t="s">
        <v>225</v>
      </c>
    </row>
    <row r="391" spans="1:9" x14ac:dyDescent="0.25">
      <c r="A391">
        <v>2122</v>
      </c>
      <c r="B391" s="81">
        <v>44001</v>
      </c>
      <c r="C391" t="s">
        <v>74</v>
      </c>
      <c r="D391" t="s">
        <v>154</v>
      </c>
      <c r="E391">
        <v>1</v>
      </c>
      <c r="F391">
        <v>61</v>
      </c>
      <c r="G391">
        <v>10</v>
      </c>
      <c r="H391">
        <v>610</v>
      </c>
      <c r="I391" t="s">
        <v>225</v>
      </c>
    </row>
    <row r="392" spans="1:9" x14ac:dyDescent="0.25">
      <c r="A392">
        <v>2123</v>
      </c>
      <c r="B392" s="81">
        <v>44001</v>
      </c>
      <c r="C392" t="s">
        <v>122</v>
      </c>
      <c r="D392" t="s">
        <v>123</v>
      </c>
      <c r="E392">
        <v>1</v>
      </c>
      <c r="F392">
        <v>30</v>
      </c>
      <c r="G392">
        <v>10</v>
      </c>
      <c r="H392">
        <v>300</v>
      </c>
      <c r="I392" t="s">
        <v>225</v>
      </c>
    </row>
    <row r="393" spans="1:9" x14ac:dyDescent="0.25">
      <c r="A393">
        <v>2124</v>
      </c>
      <c r="B393" s="81">
        <v>44001</v>
      </c>
      <c r="C393" t="s">
        <v>92</v>
      </c>
      <c r="D393" t="s">
        <v>266</v>
      </c>
      <c r="E393">
        <v>3</v>
      </c>
      <c r="F393">
        <v>145</v>
      </c>
      <c r="G393">
        <v>13</v>
      </c>
      <c r="H393">
        <v>1885</v>
      </c>
      <c r="I393" t="s">
        <v>225</v>
      </c>
    </row>
    <row r="394" spans="1:9" x14ac:dyDescent="0.25">
      <c r="A394">
        <v>2125</v>
      </c>
      <c r="B394" s="81">
        <v>44001</v>
      </c>
      <c r="C394" t="s">
        <v>92</v>
      </c>
      <c r="D394" t="s">
        <v>123</v>
      </c>
      <c r="E394">
        <v>1</v>
      </c>
      <c r="F394">
        <v>62</v>
      </c>
      <c r="G394">
        <v>10</v>
      </c>
      <c r="H394">
        <v>620</v>
      </c>
      <c r="I394" t="s">
        <v>225</v>
      </c>
    </row>
    <row r="395" spans="1:9" x14ac:dyDescent="0.25">
      <c r="A395">
        <v>2126</v>
      </c>
      <c r="B395" s="81">
        <v>44001</v>
      </c>
      <c r="C395" t="s">
        <v>280</v>
      </c>
      <c r="D395" t="s">
        <v>281</v>
      </c>
      <c r="E395">
        <v>5</v>
      </c>
      <c r="F395">
        <v>265</v>
      </c>
      <c r="G395">
        <v>10</v>
      </c>
      <c r="H395">
        <v>2650</v>
      </c>
      <c r="I395" t="s">
        <v>225</v>
      </c>
    </row>
    <row r="396" spans="1:9" x14ac:dyDescent="0.25">
      <c r="A396">
        <v>2127</v>
      </c>
      <c r="B396" s="81">
        <v>44001</v>
      </c>
      <c r="C396" t="s">
        <v>249</v>
      </c>
      <c r="D396" t="s">
        <v>282</v>
      </c>
      <c r="E396">
        <v>1</v>
      </c>
      <c r="F396">
        <v>53</v>
      </c>
      <c r="G396">
        <v>10</v>
      </c>
      <c r="H396">
        <v>530</v>
      </c>
      <c r="I396" t="s">
        <v>225</v>
      </c>
    </row>
    <row r="397" spans="1:9" x14ac:dyDescent="0.25">
      <c r="A397">
        <v>2128</v>
      </c>
      <c r="B397" s="81">
        <v>44001</v>
      </c>
      <c r="C397" t="s">
        <v>283</v>
      </c>
      <c r="D397" t="s">
        <v>284</v>
      </c>
      <c r="E397">
        <v>2</v>
      </c>
      <c r="F397">
        <v>114</v>
      </c>
      <c r="G397">
        <v>10</v>
      </c>
      <c r="H397">
        <v>1140</v>
      </c>
      <c r="I397" t="s">
        <v>225</v>
      </c>
    </row>
    <row r="398" spans="1:9" x14ac:dyDescent="0.25">
      <c r="A398">
        <v>2129</v>
      </c>
      <c r="B398" s="81">
        <v>44001</v>
      </c>
      <c r="C398" t="s">
        <v>249</v>
      </c>
      <c r="D398" t="s">
        <v>274</v>
      </c>
      <c r="E398">
        <v>1</v>
      </c>
      <c r="F398">
        <v>46</v>
      </c>
      <c r="G398">
        <v>10</v>
      </c>
      <c r="H398">
        <v>460</v>
      </c>
      <c r="I398" t="s">
        <v>225</v>
      </c>
    </row>
    <row r="399" spans="1:9" x14ac:dyDescent="0.25">
      <c r="A399">
        <v>2130</v>
      </c>
      <c r="B399" s="81">
        <v>44001</v>
      </c>
      <c r="C399" t="s">
        <v>100</v>
      </c>
      <c r="D399" t="s">
        <v>101</v>
      </c>
      <c r="E399">
        <v>1</v>
      </c>
      <c r="F399">
        <v>62</v>
      </c>
      <c r="G399">
        <v>10</v>
      </c>
      <c r="H399">
        <v>620</v>
      </c>
      <c r="I399" t="s">
        <v>225</v>
      </c>
    </row>
    <row r="400" spans="1:9" x14ac:dyDescent="0.25">
      <c r="A400">
        <v>2131</v>
      </c>
      <c r="B400" s="81">
        <v>44001</v>
      </c>
      <c r="C400" t="s">
        <v>134</v>
      </c>
      <c r="D400" t="s">
        <v>85</v>
      </c>
      <c r="E400">
        <v>1</v>
      </c>
      <c r="F400">
        <v>52</v>
      </c>
      <c r="G400">
        <v>9</v>
      </c>
      <c r="H400">
        <v>468</v>
      </c>
      <c r="I400" t="s">
        <v>225</v>
      </c>
    </row>
    <row r="401" spans="1:9" x14ac:dyDescent="0.25">
      <c r="A401">
        <v>2132</v>
      </c>
      <c r="B401" s="81">
        <v>44001</v>
      </c>
      <c r="C401" t="s">
        <v>134</v>
      </c>
      <c r="D401" t="s">
        <v>282</v>
      </c>
      <c r="E401">
        <v>1</v>
      </c>
      <c r="F401">
        <v>46</v>
      </c>
      <c r="G401">
        <v>10</v>
      </c>
      <c r="H401">
        <v>460</v>
      </c>
      <c r="I401" t="s">
        <v>225</v>
      </c>
    </row>
    <row r="402" spans="1:9" x14ac:dyDescent="0.25">
      <c r="A402">
        <v>2133</v>
      </c>
      <c r="B402" s="81">
        <v>44001</v>
      </c>
      <c r="C402" t="s">
        <v>106</v>
      </c>
      <c r="D402" t="s">
        <v>274</v>
      </c>
      <c r="E402">
        <v>2</v>
      </c>
      <c r="F402">
        <v>46</v>
      </c>
      <c r="G402">
        <v>10</v>
      </c>
      <c r="H402">
        <v>460</v>
      </c>
      <c r="I402" t="s">
        <v>225</v>
      </c>
    </row>
    <row r="403" spans="1:9" x14ac:dyDescent="0.25">
      <c r="A403">
        <v>2134</v>
      </c>
      <c r="B403" s="81">
        <v>44001</v>
      </c>
      <c r="C403" t="s">
        <v>71</v>
      </c>
      <c r="D403" t="s">
        <v>285</v>
      </c>
      <c r="E403">
        <v>1</v>
      </c>
      <c r="F403">
        <v>10</v>
      </c>
      <c r="G403">
        <v>10</v>
      </c>
      <c r="H403">
        <v>100</v>
      </c>
      <c r="I403" t="s">
        <v>225</v>
      </c>
    </row>
    <row r="404" spans="1:9" x14ac:dyDescent="0.25">
      <c r="A404">
        <v>2135</v>
      </c>
      <c r="B404" s="81">
        <v>44001</v>
      </c>
      <c r="C404" t="s">
        <v>71</v>
      </c>
      <c r="D404" t="s">
        <v>68</v>
      </c>
      <c r="E404">
        <v>1</v>
      </c>
      <c r="F404">
        <v>21</v>
      </c>
      <c r="G404">
        <v>10</v>
      </c>
      <c r="H404">
        <v>210</v>
      </c>
      <c r="I404" t="s">
        <v>225</v>
      </c>
    </row>
    <row r="405" spans="1:9" x14ac:dyDescent="0.25">
      <c r="A405">
        <v>2136</v>
      </c>
      <c r="B405" s="81">
        <v>44001</v>
      </c>
      <c r="C405" t="s">
        <v>80</v>
      </c>
      <c r="D405" t="s">
        <v>261</v>
      </c>
      <c r="E405">
        <v>2</v>
      </c>
      <c r="F405">
        <v>91</v>
      </c>
      <c r="G405">
        <v>10</v>
      </c>
      <c r="H405">
        <v>910</v>
      </c>
      <c r="I405" t="s">
        <v>225</v>
      </c>
    </row>
    <row r="406" spans="1:9" x14ac:dyDescent="0.25">
      <c r="A406">
        <v>2137</v>
      </c>
      <c r="B406" s="81">
        <v>44001</v>
      </c>
      <c r="C406" t="s">
        <v>89</v>
      </c>
      <c r="D406" t="s">
        <v>218</v>
      </c>
      <c r="E406">
        <v>1</v>
      </c>
      <c r="F406">
        <v>68</v>
      </c>
      <c r="G406">
        <v>10</v>
      </c>
      <c r="H406">
        <v>680</v>
      </c>
      <c r="I406" t="s">
        <v>225</v>
      </c>
    </row>
    <row r="407" spans="1:9" x14ac:dyDescent="0.25">
      <c r="A407">
        <v>2138</v>
      </c>
      <c r="B407" s="81">
        <v>44002</v>
      </c>
      <c r="C407" t="s">
        <v>103</v>
      </c>
      <c r="D407" t="s">
        <v>123</v>
      </c>
      <c r="E407">
        <v>1</v>
      </c>
      <c r="F407">
        <v>29</v>
      </c>
      <c r="G407">
        <v>10</v>
      </c>
      <c r="H407">
        <v>290</v>
      </c>
      <c r="I407" t="s">
        <v>239</v>
      </c>
    </row>
    <row r="408" spans="1:9" x14ac:dyDescent="0.25">
      <c r="A408">
        <v>2139</v>
      </c>
      <c r="B408" s="81">
        <v>44002</v>
      </c>
      <c r="C408" t="s">
        <v>286</v>
      </c>
      <c r="D408" t="s">
        <v>229</v>
      </c>
      <c r="E408">
        <v>2</v>
      </c>
      <c r="F408">
        <v>135</v>
      </c>
      <c r="G408">
        <v>8</v>
      </c>
      <c r="H408">
        <v>1080</v>
      </c>
      <c r="I408" t="s">
        <v>225</v>
      </c>
    </row>
    <row r="409" spans="1:9" x14ac:dyDescent="0.25">
      <c r="A409">
        <v>2140</v>
      </c>
      <c r="B409" s="81">
        <v>44002</v>
      </c>
      <c r="C409" t="s">
        <v>276</v>
      </c>
      <c r="D409" t="s">
        <v>109</v>
      </c>
      <c r="E409">
        <v>2</v>
      </c>
      <c r="F409">
        <v>104</v>
      </c>
      <c r="G409">
        <v>9</v>
      </c>
      <c r="H409">
        <v>936</v>
      </c>
      <c r="I409" t="s">
        <v>225</v>
      </c>
    </row>
    <row r="410" spans="1:9" x14ac:dyDescent="0.25">
      <c r="A410">
        <v>2141</v>
      </c>
      <c r="B410" s="81">
        <v>44002</v>
      </c>
      <c r="C410" t="s">
        <v>175</v>
      </c>
      <c r="D410" t="s">
        <v>171</v>
      </c>
      <c r="E410">
        <v>1</v>
      </c>
      <c r="F410">
        <v>37</v>
      </c>
      <c r="G410">
        <v>10</v>
      </c>
      <c r="H410">
        <v>370</v>
      </c>
      <c r="I410" t="s">
        <v>225</v>
      </c>
    </row>
    <row r="411" spans="1:9" x14ac:dyDescent="0.25">
      <c r="A411">
        <v>2142</v>
      </c>
      <c r="B411" s="81">
        <v>44002</v>
      </c>
      <c r="C411" t="s">
        <v>287</v>
      </c>
      <c r="D411" t="s">
        <v>170</v>
      </c>
      <c r="E411">
        <v>1</v>
      </c>
      <c r="F411">
        <v>42</v>
      </c>
      <c r="G411">
        <v>10</v>
      </c>
      <c r="H411">
        <v>420</v>
      </c>
      <c r="I411" t="s">
        <v>225</v>
      </c>
    </row>
    <row r="412" spans="1:9" x14ac:dyDescent="0.25">
      <c r="A412">
        <v>2143</v>
      </c>
      <c r="B412" s="81">
        <v>44002</v>
      </c>
      <c r="C412" t="s">
        <v>177</v>
      </c>
      <c r="D412" t="s">
        <v>109</v>
      </c>
      <c r="E412">
        <v>2</v>
      </c>
      <c r="F412">
        <v>99</v>
      </c>
      <c r="G412">
        <v>9</v>
      </c>
      <c r="H412">
        <v>891</v>
      </c>
      <c r="I412" t="s">
        <v>225</v>
      </c>
    </row>
    <row r="413" spans="1:9" x14ac:dyDescent="0.25">
      <c r="A413">
        <v>2144</v>
      </c>
      <c r="B413" s="81">
        <v>44002</v>
      </c>
      <c r="C413" t="s">
        <v>250</v>
      </c>
      <c r="D413" t="s">
        <v>101</v>
      </c>
      <c r="E413">
        <v>3</v>
      </c>
      <c r="F413">
        <v>150</v>
      </c>
      <c r="G413">
        <v>10</v>
      </c>
      <c r="H413">
        <v>1500</v>
      </c>
      <c r="I413" t="s">
        <v>225</v>
      </c>
    </row>
    <row r="414" spans="1:9" x14ac:dyDescent="0.25">
      <c r="A414">
        <v>2145</v>
      </c>
      <c r="B414" s="81">
        <v>44002</v>
      </c>
      <c r="C414" t="s">
        <v>288</v>
      </c>
      <c r="D414" t="s">
        <v>105</v>
      </c>
      <c r="E414">
        <v>1</v>
      </c>
      <c r="F414">
        <v>39</v>
      </c>
      <c r="G414">
        <v>10</v>
      </c>
      <c r="H414">
        <v>390</v>
      </c>
      <c r="I414" t="s">
        <v>225</v>
      </c>
    </row>
    <row r="415" spans="1:9" x14ac:dyDescent="0.25">
      <c r="A415">
        <v>2146</v>
      </c>
      <c r="B415" s="81">
        <v>44002</v>
      </c>
      <c r="C415" t="s">
        <v>289</v>
      </c>
      <c r="D415" t="s">
        <v>123</v>
      </c>
      <c r="E415">
        <v>1</v>
      </c>
      <c r="F415">
        <v>17</v>
      </c>
      <c r="G415">
        <v>10</v>
      </c>
      <c r="H415">
        <v>170</v>
      </c>
      <c r="I415" t="s">
        <v>225</v>
      </c>
    </row>
    <row r="416" spans="1:9" x14ac:dyDescent="0.25">
      <c r="A416">
        <v>2147</v>
      </c>
      <c r="B416" s="81">
        <v>44002</v>
      </c>
      <c r="C416" t="s">
        <v>290</v>
      </c>
      <c r="D416" t="s">
        <v>109</v>
      </c>
      <c r="E416">
        <v>3</v>
      </c>
      <c r="F416">
        <v>188</v>
      </c>
      <c r="G416">
        <v>9</v>
      </c>
      <c r="H416">
        <v>1692</v>
      </c>
      <c r="I416" t="s">
        <v>225</v>
      </c>
    </row>
    <row r="417" spans="1:9" x14ac:dyDescent="0.25">
      <c r="A417">
        <v>2148</v>
      </c>
      <c r="B417" s="81">
        <v>44002</v>
      </c>
      <c r="C417" t="s">
        <v>291</v>
      </c>
      <c r="D417" t="s">
        <v>85</v>
      </c>
      <c r="E417">
        <v>2</v>
      </c>
      <c r="F417">
        <v>102</v>
      </c>
      <c r="G417">
        <v>9</v>
      </c>
      <c r="H417">
        <v>918</v>
      </c>
      <c r="I417" t="s">
        <v>225</v>
      </c>
    </row>
    <row r="418" spans="1:9" x14ac:dyDescent="0.25">
      <c r="A418">
        <v>2149</v>
      </c>
      <c r="B418" s="81">
        <v>44002</v>
      </c>
      <c r="C418" t="s">
        <v>80</v>
      </c>
      <c r="D418" t="s">
        <v>292</v>
      </c>
      <c r="E418">
        <v>3</v>
      </c>
      <c r="F418">
        <v>140</v>
      </c>
      <c r="G418">
        <v>10</v>
      </c>
      <c r="H418">
        <v>1400</v>
      </c>
      <c r="I418" t="s">
        <v>225</v>
      </c>
    </row>
    <row r="419" spans="1:9" x14ac:dyDescent="0.25">
      <c r="A419">
        <v>2150</v>
      </c>
      <c r="B419" s="81">
        <v>44002</v>
      </c>
      <c r="C419" t="s">
        <v>249</v>
      </c>
      <c r="D419" t="s">
        <v>66</v>
      </c>
      <c r="E419">
        <v>1</v>
      </c>
      <c r="F419">
        <v>46</v>
      </c>
      <c r="G419">
        <v>9</v>
      </c>
      <c r="H419">
        <v>414</v>
      </c>
      <c r="I419" t="s">
        <v>225</v>
      </c>
    </row>
    <row r="420" spans="1:9" x14ac:dyDescent="0.25">
      <c r="A420">
        <v>2151</v>
      </c>
      <c r="B420" s="81">
        <v>44002</v>
      </c>
      <c r="C420" t="s">
        <v>249</v>
      </c>
      <c r="D420" t="s">
        <v>274</v>
      </c>
      <c r="E420">
        <v>1</v>
      </c>
      <c r="F420">
        <v>59</v>
      </c>
      <c r="G420">
        <v>10</v>
      </c>
      <c r="H420">
        <v>590</v>
      </c>
      <c r="I420" t="s">
        <v>225</v>
      </c>
    </row>
    <row r="421" spans="1:9" x14ac:dyDescent="0.25">
      <c r="A421">
        <v>2152</v>
      </c>
      <c r="B421" s="81">
        <v>44002</v>
      </c>
      <c r="C421" t="s">
        <v>69</v>
      </c>
      <c r="D421" t="s">
        <v>171</v>
      </c>
      <c r="E421">
        <v>1</v>
      </c>
      <c r="F421">
        <v>47</v>
      </c>
      <c r="G421">
        <v>10</v>
      </c>
      <c r="H421">
        <v>470</v>
      </c>
      <c r="I421" t="s">
        <v>225</v>
      </c>
    </row>
    <row r="422" spans="1:9" x14ac:dyDescent="0.25">
      <c r="A422">
        <v>2153</v>
      </c>
      <c r="B422" s="81">
        <v>44002</v>
      </c>
      <c r="C422" t="s">
        <v>293</v>
      </c>
      <c r="D422" t="s">
        <v>167</v>
      </c>
      <c r="E422">
        <v>3</v>
      </c>
      <c r="F422">
        <v>162</v>
      </c>
      <c r="G422">
        <v>10</v>
      </c>
      <c r="H422">
        <v>1620</v>
      </c>
      <c r="I422" t="s">
        <v>225</v>
      </c>
    </row>
    <row r="423" spans="1:9" x14ac:dyDescent="0.25">
      <c r="A423">
        <v>2154</v>
      </c>
      <c r="B423" s="81">
        <v>44002</v>
      </c>
      <c r="C423" t="s">
        <v>276</v>
      </c>
      <c r="D423" t="s">
        <v>109</v>
      </c>
      <c r="E423">
        <v>5</v>
      </c>
      <c r="F423">
        <v>232</v>
      </c>
      <c r="G423">
        <v>9</v>
      </c>
      <c r="H423">
        <v>2088</v>
      </c>
      <c r="I423" t="s">
        <v>225</v>
      </c>
    </row>
    <row r="424" spans="1:9" x14ac:dyDescent="0.25">
      <c r="A424">
        <v>2155</v>
      </c>
      <c r="B424" s="81">
        <v>44002</v>
      </c>
      <c r="C424" t="s">
        <v>195</v>
      </c>
      <c r="D424" t="s">
        <v>78</v>
      </c>
      <c r="E424">
        <v>3</v>
      </c>
      <c r="F424">
        <v>181</v>
      </c>
      <c r="G424">
        <v>10</v>
      </c>
      <c r="H424">
        <v>1810</v>
      </c>
      <c r="I424" t="s">
        <v>225</v>
      </c>
    </row>
    <row r="425" spans="1:9" x14ac:dyDescent="0.25">
      <c r="A425">
        <v>2156</v>
      </c>
      <c r="B425" s="81">
        <v>44002</v>
      </c>
      <c r="C425" t="s">
        <v>258</v>
      </c>
      <c r="D425" t="s">
        <v>78</v>
      </c>
      <c r="E425">
        <v>1</v>
      </c>
      <c r="F425">
        <v>49</v>
      </c>
      <c r="G425">
        <v>10</v>
      </c>
      <c r="H425">
        <v>490</v>
      </c>
      <c r="I425" t="s">
        <v>225</v>
      </c>
    </row>
    <row r="426" spans="1:9" x14ac:dyDescent="0.25">
      <c r="A426">
        <v>2157</v>
      </c>
      <c r="B426" s="81">
        <v>44002</v>
      </c>
      <c r="C426" t="s">
        <v>74</v>
      </c>
      <c r="D426" t="s">
        <v>78</v>
      </c>
      <c r="E426">
        <v>3</v>
      </c>
      <c r="F426">
        <v>144</v>
      </c>
      <c r="G426">
        <v>10</v>
      </c>
      <c r="H426">
        <v>1440</v>
      </c>
      <c r="I426" t="s">
        <v>225</v>
      </c>
    </row>
    <row r="427" spans="1:9" x14ac:dyDescent="0.25">
      <c r="A427">
        <v>2158</v>
      </c>
      <c r="B427" s="81">
        <v>44002</v>
      </c>
      <c r="C427" t="s">
        <v>74</v>
      </c>
      <c r="D427" t="s">
        <v>154</v>
      </c>
      <c r="E427">
        <v>1</v>
      </c>
      <c r="F427">
        <v>20</v>
      </c>
      <c r="G427">
        <v>10</v>
      </c>
      <c r="H427">
        <v>200</v>
      </c>
      <c r="I427" t="s">
        <v>225</v>
      </c>
    </row>
    <row r="428" spans="1:9" x14ac:dyDescent="0.25">
      <c r="A428">
        <v>2159</v>
      </c>
      <c r="B428" s="81">
        <v>44002</v>
      </c>
      <c r="C428" t="s">
        <v>74</v>
      </c>
      <c r="D428" t="s">
        <v>155</v>
      </c>
      <c r="E428">
        <v>1</v>
      </c>
      <c r="F428">
        <v>26</v>
      </c>
      <c r="G428">
        <v>10</v>
      </c>
      <c r="H428">
        <v>260</v>
      </c>
      <c r="I428" t="s">
        <v>225</v>
      </c>
    </row>
    <row r="429" spans="1:9" x14ac:dyDescent="0.25">
      <c r="A429">
        <v>2160</v>
      </c>
      <c r="B429" s="81">
        <v>44002</v>
      </c>
      <c r="C429" t="s">
        <v>74</v>
      </c>
      <c r="D429" t="s">
        <v>244</v>
      </c>
      <c r="E429">
        <v>2</v>
      </c>
      <c r="F429">
        <v>85</v>
      </c>
      <c r="G429">
        <v>10</v>
      </c>
      <c r="H429">
        <v>850</v>
      </c>
      <c r="I429" t="s">
        <v>225</v>
      </c>
    </row>
    <row r="430" spans="1:9" x14ac:dyDescent="0.25">
      <c r="A430">
        <v>2161</v>
      </c>
      <c r="B430" s="81">
        <v>44002</v>
      </c>
      <c r="C430" t="s">
        <v>249</v>
      </c>
      <c r="D430" t="s">
        <v>282</v>
      </c>
      <c r="E430">
        <v>4</v>
      </c>
      <c r="F430">
        <v>161</v>
      </c>
      <c r="G430">
        <v>10</v>
      </c>
      <c r="H430">
        <v>1610</v>
      </c>
      <c r="I430" t="s">
        <v>225</v>
      </c>
    </row>
    <row r="431" spans="1:9" x14ac:dyDescent="0.25">
      <c r="A431">
        <v>2162</v>
      </c>
      <c r="B431" s="81">
        <v>44002</v>
      </c>
      <c r="C431" t="s">
        <v>164</v>
      </c>
      <c r="D431" t="s">
        <v>66</v>
      </c>
      <c r="E431">
        <v>1</v>
      </c>
      <c r="F431">
        <v>56</v>
      </c>
      <c r="G431">
        <v>9</v>
      </c>
      <c r="H431">
        <v>504</v>
      </c>
      <c r="I431" t="s">
        <v>225</v>
      </c>
    </row>
    <row r="432" spans="1:9" x14ac:dyDescent="0.25">
      <c r="A432">
        <v>2163</v>
      </c>
      <c r="B432" s="81">
        <v>44002</v>
      </c>
      <c r="C432" t="s">
        <v>122</v>
      </c>
      <c r="D432" t="s">
        <v>123</v>
      </c>
      <c r="E432">
        <v>1</v>
      </c>
      <c r="F432">
        <v>53</v>
      </c>
      <c r="G432">
        <v>10</v>
      </c>
      <c r="H432">
        <v>530</v>
      </c>
      <c r="I432" t="s">
        <v>225</v>
      </c>
    </row>
    <row r="433" spans="1:9" x14ac:dyDescent="0.25">
      <c r="A433">
        <v>2164</v>
      </c>
      <c r="B433" s="81">
        <v>44002</v>
      </c>
      <c r="C433" t="s">
        <v>116</v>
      </c>
      <c r="D433" t="s">
        <v>105</v>
      </c>
      <c r="E433">
        <v>1</v>
      </c>
      <c r="F433">
        <v>60</v>
      </c>
      <c r="G433">
        <v>10</v>
      </c>
      <c r="H433">
        <v>600</v>
      </c>
      <c r="I433" t="s">
        <v>225</v>
      </c>
    </row>
    <row r="434" spans="1:9" x14ac:dyDescent="0.25">
      <c r="A434">
        <v>2165</v>
      </c>
      <c r="B434" s="81">
        <v>44002</v>
      </c>
      <c r="C434" t="s">
        <v>116</v>
      </c>
      <c r="D434" t="s">
        <v>261</v>
      </c>
      <c r="E434">
        <v>1</v>
      </c>
      <c r="F434">
        <v>60</v>
      </c>
      <c r="G434">
        <v>10</v>
      </c>
      <c r="H434">
        <v>600</v>
      </c>
      <c r="I434" t="s">
        <v>225</v>
      </c>
    </row>
    <row r="435" spans="1:9" x14ac:dyDescent="0.25">
      <c r="A435">
        <v>2166</v>
      </c>
      <c r="B435" s="81">
        <v>44002</v>
      </c>
      <c r="C435" t="s">
        <v>116</v>
      </c>
      <c r="D435" t="s">
        <v>200</v>
      </c>
      <c r="E435">
        <v>1</v>
      </c>
      <c r="F435">
        <v>38</v>
      </c>
      <c r="G435">
        <v>10</v>
      </c>
      <c r="H435">
        <v>380</v>
      </c>
      <c r="I435" t="s">
        <v>225</v>
      </c>
    </row>
    <row r="436" spans="1:9" x14ac:dyDescent="0.25">
      <c r="A436">
        <v>2167</v>
      </c>
      <c r="B436" s="81">
        <v>44002</v>
      </c>
      <c r="C436" t="s">
        <v>283</v>
      </c>
      <c r="D436" t="s">
        <v>123</v>
      </c>
      <c r="E436">
        <v>1</v>
      </c>
      <c r="F436">
        <v>28</v>
      </c>
      <c r="G436">
        <v>10</v>
      </c>
      <c r="H436">
        <v>280</v>
      </c>
      <c r="I436" t="s">
        <v>225</v>
      </c>
    </row>
    <row r="437" spans="1:9" x14ac:dyDescent="0.25">
      <c r="A437">
        <v>2168</v>
      </c>
      <c r="B437" s="81">
        <v>44002</v>
      </c>
      <c r="C437" t="s">
        <v>249</v>
      </c>
      <c r="D437" t="s">
        <v>68</v>
      </c>
      <c r="E437">
        <v>2</v>
      </c>
      <c r="F437">
        <v>114</v>
      </c>
      <c r="G437">
        <v>10</v>
      </c>
      <c r="H437">
        <v>1140</v>
      </c>
      <c r="I437" t="s">
        <v>225</v>
      </c>
    </row>
    <row r="438" spans="1:9" x14ac:dyDescent="0.25">
      <c r="A438">
        <v>2169</v>
      </c>
      <c r="B438" s="81">
        <v>44002</v>
      </c>
      <c r="C438" t="s">
        <v>71</v>
      </c>
      <c r="D438" t="s">
        <v>68</v>
      </c>
      <c r="E438">
        <v>1</v>
      </c>
      <c r="F438">
        <v>15</v>
      </c>
      <c r="G438">
        <v>10</v>
      </c>
      <c r="H438">
        <v>150</v>
      </c>
      <c r="I438" t="s">
        <v>225</v>
      </c>
    </row>
    <row r="439" spans="1:9" x14ac:dyDescent="0.25">
      <c r="A439">
        <v>2170</v>
      </c>
      <c r="B439" s="81">
        <v>44002</v>
      </c>
      <c r="C439" t="s">
        <v>71</v>
      </c>
      <c r="D439" t="s">
        <v>294</v>
      </c>
      <c r="E439">
        <v>1</v>
      </c>
      <c r="F439">
        <v>12</v>
      </c>
      <c r="G439">
        <v>0</v>
      </c>
      <c r="H439">
        <v>0</v>
      </c>
      <c r="I439" t="s">
        <v>225</v>
      </c>
    </row>
    <row r="440" spans="1:9" x14ac:dyDescent="0.25">
      <c r="A440">
        <v>2171</v>
      </c>
      <c r="B440" s="81">
        <v>44002</v>
      </c>
      <c r="C440" t="s">
        <v>92</v>
      </c>
      <c r="D440" t="s">
        <v>171</v>
      </c>
      <c r="E440">
        <v>1</v>
      </c>
      <c r="F440">
        <v>51</v>
      </c>
      <c r="G440">
        <v>10</v>
      </c>
      <c r="H440">
        <v>510</v>
      </c>
      <c r="I440" t="s">
        <v>225</v>
      </c>
    </row>
    <row r="441" spans="1:9" x14ac:dyDescent="0.25">
      <c r="A441">
        <v>2172</v>
      </c>
      <c r="B441" s="81">
        <v>44002</v>
      </c>
      <c r="C441" t="s">
        <v>134</v>
      </c>
      <c r="D441" t="s">
        <v>218</v>
      </c>
      <c r="E441">
        <v>1</v>
      </c>
      <c r="F441">
        <v>22</v>
      </c>
      <c r="G441">
        <v>10</v>
      </c>
      <c r="H441">
        <v>220</v>
      </c>
      <c r="I441" t="s">
        <v>225</v>
      </c>
    </row>
    <row r="442" spans="1:9" x14ac:dyDescent="0.25">
      <c r="A442">
        <v>2173</v>
      </c>
      <c r="B442" s="81">
        <v>44002</v>
      </c>
      <c r="C442" t="s">
        <v>134</v>
      </c>
      <c r="D442" t="s">
        <v>85</v>
      </c>
      <c r="E442">
        <v>1</v>
      </c>
      <c r="F442">
        <v>41</v>
      </c>
      <c r="G442">
        <v>9</v>
      </c>
      <c r="H442">
        <v>369</v>
      </c>
      <c r="I442" t="s">
        <v>225</v>
      </c>
    </row>
    <row r="443" spans="1:9" x14ac:dyDescent="0.25">
      <c r="A443">
        <v>2174</v>
      </c>
      <c r="B443" s="81">
        <v>44002</v>
      </c>
      <c r="C443" t="s">
        <v>80</v>
      </c>
      <c r="D443" t="s">
        <v>244</v>
      </c>
      <c r="E443">
        <v>1</v>
      </c>
      <c r="F443">
        <v>50</v>
      </c>
      <c r="G443">
        <v>10</v>
      </c>
      <c r="H443">
        <v>500</v>
      </c>
      <c r="I443" t="s">
        <v>225</v>
      </c>
    </row>
    <row r="444" spans="1:9" x14ac:dyDescent="0.25">
      <c r="A444">
        <v>2175</v>
      </c>
      <c r="B444" s="81">
        <v>44002</v>
      </c>
      <c r="C444" t="s">
        <v>295</v>
      </c>
      <c r="D444" t="s">
        <v>296</v>
      </c>
      <c r="E444">
        <v>1</v>
      </c>
      <c r="H444">
        <v>0</v>
      </c>
      <c r="I444" t="s">
        <v>239</v>
      </c>
    </row>
    <row r="445" spans="1:9" x14ac:dyDescent="0.25">
      <c r="A445">
        <v>2176</v>
      </c>
      <c r="B445" s="81">
        <v>44003</v>
      </c>
      <c r="C445" t="s">
        <v>297</v>
      </c>
      <c r="D445" t="s">
        <v>212</v>
      </c>
      <c r="E445">
        <v>1</v>
      </c>
      <c r="F445">
        <v>27</v>
      </c>
      <c r="G445">
        <v>9</v>
      </c>
      <c r="H445">
        <v>243</v>
      </c>
      <c r="I445" t="s">
        <v>239</v>
      </c>
    </row>
    <row r="446" spans="1:9" x14ac:dyDescent="0.25">
      <c r="A446">
        <v>2177</v>
      </c>
      <c r="B446" s="81">
        <v>44003</v>
      </c>
      <c r="C446" t="s">
        <v>106</v>
      </c>
      <c r="D446" t="s">
        <v>274</v>
      </c>
      <c r="E446">
        <v>2</v>
      </c>
      <c r="F446">
        <v>63</v>
      </c>
      <c r="G446">
        <v>10</v>
      </c>
      <c r="H446">
        <v>630</v>
      </c>
      <c r="I446" t="s">
        <v>225</v>
      </c>
    </row>
    <row r="447" spans="1:9" x14ac:dyDescent="0.25">
      <c r="A447">
        <v>2178</v>
      </c>
      <c r="B447" s="81">
        <v>44003</v>
      </c>
      <c r="C447" t="s">
        <v>233</v>
      </c>
      <c r="D447" t="s">
        <v>101</v>
      </c>
      <c r="E447">
        <v>2</v>
      </c>
      <c r="F447">
        <v>84</v>
      </c>
      <c r="G447">
        <v>10</v>
      </c>
      <c r="H447">
        <v>840</v>
      </c>
      <c r="I447" t="s">
        <v>225</v>
      </c>
    </row>
    <row r="448" spans="1:9" x14ac:dyDescent="0.25">
      <c r="A448">
        <v>2179</v>
      </c>
      <c r="B448" s="81">
        <v>44003</v>
      </c>
      <c r="C448" t="s">
        <v>249</v>
      </c>
      <c r="D448" t="s">
        <v>274</v>
      </c>
      <c r="E448">
        <v>2</v>
      </c>
      <c r="F448">
        <v>77</v>
      </c>
      <c r="G448">
        <v>10</v>
      </c>
      <c r="H448">
        <v>770</v>
      </c>
      <c r="I448" t="s">
        <v>225</v>
      </c>
    </row>
    <row r="449" spans="1:9" x14ac:dyDescent="0.25">
      <c r="A449">
        <v>2180</v>
      </c>
      <c r="B449" s="81">
        <v>44003</v>
      </c>
      <c r="C449" t="s">
        <v>249</v>
      </c>
      <c r="D449" t="s">
        <v>66</v>
      </c>
      <c r="E449">
        <v>1</v>
      </c>
      <c r="F449">
        <v>47</v>
      </c>
      <c r="G449">
        <v>9</v>
      </c>
      <c r="H449">
        <v>423</v>
      </c>
      <c r="I449" t="s">
        <v>225</v>
      </c>
    </row>
    <row r="450" spans="1:9" x14ac:dyDescent="0.25">
      <c r="A450">
        <v>2181</v>
      </c>
      <c r="B450" s="81">
        <v>44003</v>
      </c>
      <c r="C450" t="s">
        <v>298</v>
      </c>
      <c r="D450" t="s">
        <v>224</v>
      </c>
      <c r="E450">
        <v>2</v>
      </c>
      <c r="F450">
        <v>84</v>
      </c>
      <c r="G450">
        <v>8</v>
      </c>
      <c r="H450">
        <v>672</v>
      </c>
      <c r="I450" t="s">
        <v>225</v>
      </c>
    </row>
    <row r="451" spans="1:9" x14ac:dyDescent="0.25">
      <c r="A451">
        <v>2182</v>
      </c>
      <c r="B451" s="81">
        <v>44003</v>
      </c>
      <c r="C451" t="s">
        <v>299</v>
      </c>
      <c r="D451" t="s">
        <v>261</v>
      </c>
      <c r="E451">
        <v>1</v>
      </c>
      <c r="F451">
        <v>52</v>
      </c>
      <c r="G451">
        <v>10</v>
      </c>
      <c r="H451">
        <v>520</v>
      </c>
      <c r="I451" t="s">
        <v>225</v>
      </c>
    </row>
    <row r="452" spans="1:9" x14ac:dyDescent="0.25">
      <c r="A452">
        <v>2183</v>
      </c>
      <c r="B452" s="81">
        <v>44003</v>
      </c>
      <c r="C452" t="s">
        <v>300</v>
      </c>
      <c r="D452" t="s">
        <v>68</v>
      </c>
      <c r="E452">
        <v>4</v>
      </c>
      <c r="F452">
        <v>199</v>
      </c>
      <c r="G452">
        <v>10</v>
      </c>
      <c r="H452">
        <v>1990</v>
      </c>
      <c r="I452" t="s">
        <v>225</v>
      </c>
    </row>
    <row r="453" spans="1:9" x14ac:dyDescent="0.25">
      <c r="A453">
        <v>2184</v>
      </c>
      <c r="B453" s="81">
        <v>44003</v>
      </c>
      <c r="C453" t="s">
        <v>249</v>
      </c>
      <c r="D453" t="s">
        <v>282</v>
      </c>
      <c r="E453">
        <v>1</v>
      </c>
      <c r="F453">
        <v>50</v>
      </c>
      <c r="G453">
        <v>10</v>
      </c>
      <c r="H453">
        <v>500</v>
      </c>
      <c r="I453" t="s">
        <v>225</v>
      </c>
    </row>
    <row r="454" spans="1:9" x14ac:dyDescent="0.25">
      <c r="A454">
        <v>2185</v>
      </c>
      <c r="B454" s="81">
        <v>44003</v>
      </c>
      <c r="C454" t="s">
        <v>249</v>
      </c>
      <c r="D454" t="s">
        <v>301</v>
      </c>
      <c r="E454">
        <v>45</v>
      </c>
      <c r="F454">
        <v>1822</v>
      </c>
      <c r="G454">
        <v>8</v>
      </c>
      <c r="H454">
        <v>14576</v>
      </c>
      <c r="I454" t="s">
        <v>225</v>
      </c>
    </row>
    <row r="455" spans="1:9" x14ac:dyDescent="0.25">
      <c r="A455">
        <v>2186</v>
      </c>
      <c r="B455" s="81">
        <v>44003</v>
      </c>
      <c r="C455" t="s">
        <v>80</v>
      </c>
      <c r="D455" t="s">
        <v>302</v>
      </c>
      <c r="E455">
        <v>2</v>
      </c>
      <c r="F455">
        <v>73</v>
      </c>
      <c r="G455">
        <v>10</v>
      </c>
      <c r="H455">
        <v>730</v>
      </c>
      <c r="I455" t="s">
        <v>225</v>
      </c>
    </row>
    <row r="456" spans="1:9" x14ac:dyDescent="0.25">
      <c r="A456">
        <v>2187</v>
      </c>
      <c r="B456" s="81">
        <v>44003</v>
      </c>
      <c r="C456" t="s">
        <v>303</v>
      </c>
      <c r="D456" t="s">
        <v>304</v>
      </c>
      <c r="E456">
        <v>1</v>
      </c>
      <c r="F456">
        <v>50</v>
      </c>
      <c r="G456">
        <v>10</v>
      </c>
      <c r="H456">
        <v>500</v>
      </c>
      <c r="I456" t="s">
        <v>225</v>
      </c>
    </row>
    <row r="457" spans="1:9" x14ac:dyDescent="0.25">
      <c r="A457">
        <v>2188</v>
      </c>
      <c r="B457" s="81">
        <v>44003</v>
      </c>
      <c r="C457" t="s">
        <v>303</v>
      </c>
      <c r="D457" t="s">
        <v>115</v>
      </c>
      <c r="E457">
        <v>1</v>
      </c>
      <c r="F457">
        <v>52</v>
      </c>
      <c r="G457">
        <v>10</v>
      </c>
      <c r="H457">
        <v>520</v>
      </c>
      <c r="I457" t="s">
        <v>225</v>
      </c>
    </row>
    <row r="458" spans="1:9" x14ac:dyDescent="0.25">
      <c r="A458">
        <v>2189</v>
      </c>
      <c r="B458" s="81">
        <v>44003</v>
      </c>
      <c r="C458" t="s">
        <v>303</v>
      </c>
      <c r="D458" t="s">
        <v>305</v>
      </c>
      <c r="E458">
        <v>1</v>
      </c>
      <c r="F458">
        <v>39</v>
      </c>
      <c r="G458">
        <v>10</v>
      </c>
      <c r="H458">
        <v>390</v>
      </c>
      <c r="I458" t="s">
        <v>225</v>
      </c>
    </row>
    <row r="459" spans="1:9" x14ac:dyDescent="0.25">
      <c r="A459">
        <v>2190</v>
      </c>
      <c r="B459" s="81">
        <v>44003</v>
      </c>
      <c r="C459" t="s">
        <v>306</v>
      </c>
      <c r="D459" t="s">
        <v>155</v>
      </c>
      <c r="E459">
        <v>1</v>
      </c>
      <c r="F459">
        <v>51</v>
      </c>
      <c r="G459">
        <v>10</v>
      </c>
      <c r="H459">
        <v>510</v>
      </c>
      <c r="I459" t="s">
        <v>225</v>
      </c>
    </row>
    <row r="460" spans="1:9" x14ac:dyDescent="0.25">
      <c r="A460">
        <v>2191</v>
      </c>
      <c r="B460" s="81">
        <v>44003</v>
      </c>
      <c r="C460" t="s">
        <v>307</v>
      </c>
      <c r="D460" t="s">
        <v>115</v>
      </c>
      <c r="E460">
        <v>1</v>
      </c>
      <c r="F460">
        <v>33</v>
      </c>
      <c r="G460">
        <v>10</v>
      </c>
      <c r="H460">
        <v>330</v>
      </c>
      <c r="I460" t="s">
        <v>225</v>
      </c>
    </row>
    <row r="461" spans="1:9" x14ac:dyDescent="0.25">
      <c r="A461">
        <v>2192</v>
      </c>
      <c r="B461" s="81">
        <v>44003</v>
      </c>
      <c r="C461" t="s">
        <v>308</v>
      </c>
      <c r="D461" t="s">
        <v>212</v>
      </c>
      <c r="E461">
        <v>2</v>
      </c>
      <c r="F461">
        <v>61</v>
      </c>
      <c r="G461">
        <v>8</v>
      </c>
      <c r="H461">
        <v>488</v>
      </c>
      <c r="I461" t="s">
        <v>225</v>
      </c>
    </row>
    <row r="462" spans="1:9" x14ac:dyDescent="0.25">
      <c r="A462">
        <v>2193</v>
      </c>
      <c r="B462" s="81">
        <v>44003</v>
      </c>
      <c r="C462" t="s">
        <v>195</v>
      </c>
      <c r="D462" t="s">
        <v>85</v>
      </c>
      <c r="E462">
        <v>1</v>
      </c>
      <c r="F462">
        <v>45</v>
      </c>
      <c r="G462">
        <v>9</v>
      </c>
      <c r="H462">
        <v>405</v>
      </c>
      <c r="I462" t="s">
        <v>225</v>
      </c>
    </row>
    <row r="463" spans="1:9" x14ac:dyDescent="0.25">
      <c r="A463">
        <v>2194</v>
      </c>
      <c r="B463" s="81">
        <v>44003</v>
      </c>
      <c r="C463" t="s">
        <v>195</v>
      </c>
      <c r="D463" t="s">
        <v>178</v>
      </c>
      <c r="E463">
        <v>1</v>
      </c>
      <c r="F463">
        <v>40</v>
      </c>
      <c r="G463">
        <v>10</v>
      </c>
      <c r="H463">
        <v>400</v>
      </c>
      <c r="I463" t="s">
        <v>225</v>
      </c>
    </row>
    <row r="464" spans="1:9" x14ac:dyDescent="0.25">
      <c r="A464">
        <v>2195</v>
      </c>
      <c r="B464" s="81">
        <v>44003</v>
      </c>
      <c r="C464" t="s">
        <v>195</v>
      </c>
      <c r="D464" t="s">
        <v>274</v>
      </c>
      <c r="E464">
        <v>1</v>
      </c>
      <c r="F464">
        <v>57</v>
      </c>
      <c r="G464">
        <v>10</v>
      </c>
      <c r="H464">
        <v>570</v>
      </c>
      <c r="I464" t="s">
        <v>225</v>
      </c>
    </row>
    <row r="465" spans="1:9" x14ac:dyDescent="0.25">
      <c r="A465">
        <v>2196</v>
      </c>
      <c r="B465" s="81">
        <v>44003</v>
      </c>
      <c r="C465" t="s">
        <v>309</v>
      </c>
      <c r="D465" t="s">
        <v>78</v>
      </c>
      <c r="E465">
        <v>2</v>
      </c>
      <c r="F465">
        <v>79</v>
      </c>
      <c r="G465">
        <v>10</v>
      </c>
      <c r="H465">
        <v>790</v>
      </c>
      <c r="I465" t="s">
        <v>225</v>
      </c>
    </row>
    <row r="466" spans="1:9" x14ac:dyDescent="0.25">
      <c r="A466">
        <v>2197</v>
      </c>
      <c r="B466" s="81">
        <v>44003</v>
      </c>
      <c r="C466" t="s">
        <v>240</v>
      </c>
      <c r="D466" t="s">
        <v>310</v>
      </c>
      <c r="E466">
        <v>1</v>
      </c>
      <c r="F466">
        <v>36</v>
      </c>
      <c r="G466">
        <v>10</v>
      </c>
      <c r="H466">
        <v>360</v>
      </c>
      <c r="I466" t="s">
        <v>225</v>
      </c>
    </row>
    <row r="467" spans="1:9" x14ac:dyDescent="0.25">
      <c r="A467">
        <v>2198</v>
      </c>
      <c r="B467" s="81">
        <v>44003</v>
      </c>
      <c r="C467" t="s">
        <v>69</v>
      </c>
      <c r="D467" t="s">
        <v>170</v>
      </c>
      <c r="E467">
        <v>1</v>
      </c>
      <c r="F467">
        <v>50</v>
      </c>
      <c r="G467">
        <v>10</v>
      </c>
      <c r="H467">
        <v>500</v>
      </c>
      <c r="I467" t="s">
        <v>225</v>
      </c>
    </row>
    <row r="468" spans="1:9" x14ac:dyDescent="0.25">
      <c r="A468">
        <v>2199</v>
      </c>
      <c r="B468" s="81">
        <v>44003</v>
      </c>
      <c r="C468" t="s">
        <v>69</v>
      </c>
      <c r="D468" t="s">
        <v>155</v>
      </c>
      <c r="E468">
        <v>1</v>
      </c>
      <c r="F468">
        <v>33</v>
      </c>
      <c r="G468">
        <v>10</v>
      </c>
      <c r="H468">
        <v>330</v>
      </c>
      <c r="I468" t="s">
        <v>225</v>
      </c>
    </row>
    <row r="469" spans="1:9" x14ac:dyDescent="0.25">
      <c r="A469">
        <v>2200</v>
      </c>
      <c r="B469" s="81">
        <v>44003</v>
      </c>
      <c r="C469" t="s">
        <v>69</v>
      </c>
      <c r="D469" t="s">
        <v>261</v>
      </c>
      <c r="E469">
        <v>3</v>
      </c>
      <c r="F469">
        <v>50</v>
      </c>
      <c r="G469">
        <v>10</v>
      </c>
      <c r="H469">
        <v>500</v>
      </c>
      <c r="I469" t="s">
        <v>225</v>
      </c>
    </row>
    <row r="470" spans="1:9" x14ac:dyDescent="0.25">
      <c r="A470">
        <v>2201</v>
      </c>
      <c r="B470" s="81">
        <v>44003</v>
      </c>
      <c r="C470" t="s">
        <v>69</v>
      </c>
      <c r="D470" t="s">
        <v>66</v>
      </c>
      <c r="E470">
        <v>1</v>
      </c>
      <c r="F470">
        <v>159</v>
      </c>
      <c r="G470">
        <v>10</v>
      </c>
      <c r="H470">
        <v>1590</v>
      </c>
      <c r="I470" t="s">
        <v>225</v>
      </c>
    </row>
    <row r="471" spans="1:9" x14ac:dyDescent="0.25">
      <c r="A471">
        <v>2202</v>
      </c>
      <c r="B471" s="81">
        <v>44003</v>
      </c>
      <c r="C471" t="s">
        <v>249</v>
      </c>
      <c r="D471" t="s">
        <v>146</v>
      </c>
      <c r="E471">
        <v>1</v>
      </c>
      <c r="F471">
        <v>51</v>
      </c>
      <c r="G471">
        <v>10</v>
      </c>
      <c r="H471">
        <v>510</v>
      </c>
      <c r="I471" t="s">
        <v>225</v>
      </c>
    </row>
    <row r="472" spans="1:9" x14ac:dyDescent="0.25">
      <c r="A472">
        <v>2203</v>
      </c>
      <c r="B472" s="81">
        <v>44003</v>
      </c>
      <c r="C472" t="s">
        <v>289</v>
      </c>
      <c r="D472" t="s">
        <v>78</v>
      </c>
      <c r="E472">
        <v>1</v>
      </c>
      <c r="F472">
        <v>51</v>
      </c>
      <c r="G472">
        <v>10</v>
      </c>
      <c r="H472">
        <v>510</v>
      </c>
      <c r="I472" t="s">
        <v>225</v>
      </c>
    </row>
    <row r="473" spans="1:9" x14ac:dyDescent="0.25">
      <c r="A473">
        <v>2204</v>
      </c>
      <c r="B473" s="81">
        <v>44003</v>
      </c>
      <c r="C473" t="s">
        <v>289</v>
      </c>
      <c r="D473" t="s">
        <v>311</v>
      </c>
      <c r="E473">
        <v>1</v>
      </c>
      <c r="F473">
        <v>36</v>
      </c>
      <c r="G473">
        <v>10</v>
      </c>
      <c r="H473">
        <v>360</v>
      </c>
      <c r="I473" t="s">
        <v>225</v>
      </c>
    </row>
    <row r="474" spans="1:9" x14ac:dyDescent="0.25">
      <c r="A474">
        <v>2205</v>
      </c>
      <c r="B474" s="81">
        <v>44003</v>
      </c>
      <c r="C474" t="s">
        <v>289</v>
      </c>
      <c r="D474" t="s">
        <v>170</v>
      </c>
      <c r="E474">
        <v>1</v>
      </c>
      <c r="F474">
        <v>41</v>
      </c>
      <c r="G474">
        <v>10</v>
      </c>
      <c r="H474">
        <v>410</v>
      </c>
      <c r="I474" t="s">
        <v>225</v>
      </c>
    </row>
    <row r="475" spans="1:9" x14ac:dyDescent="0.25">
      <c r="A475">
        <v>2206</v>
      </c>
      <c r="B475" s="81">
        <v>44003</v>
      </c>
      <c r="C475" t="s">
        <v>312</v>
      </c>
      <c r="D475" t="s">
        <v>66</v>
      </c>
      <c r="E475">
        <v>2</v>
      </c>
      <c r="F475">
        <v>94</v>
      </c>
      <c r="G475">
        <v>10</v>
      </c>
      <c r="H475">
        <v>940</v>
      </c>
      <c r="I475" t="s">
        <v>225</v>
      </c>
    </row>
    <row r="476" spans="1:9" x14ac:dyDescent="0.25">
      <c r="A476">
        <v>2207</v>
      </c>
      <c r="B476" s="81">
        <v>44003</v>
      </c>
      <c r="C476" t="s">
        <v>313</v>
      </c>
      <c r="D476" t="s">
        <v>190</v>
      </c>
      <c r="E476">
        <v>1</v>
      </c>
      <c r="F476">
        <v>49</v>
      </c>
      <c r="G476">
        <v>10</v>
      </c>
      <c r="H476">
        <v>490</v>
      </c>
      <c r="I476" t="s">
        <v>225</v>
      </c>
    </row>
    <row r="477" spans="1:9" x14ac:dyDescent="0.25">
      <c r="A477">
        <v>2208</v>
      </c>
      <c r="B477" s="81">
        <v>44003</v>
      </c>
      <c r="C477" t="s">
        <v>312</v>
      </c>
      <c r="D477" t="s">
        <v>66</v>
      </c>
      <c r="E477">
        <v>1</v>
      </c>
      <c r="F477">
        <v>41</v>
      </c>
      <c r="G477">
        <v>10</v>
      </c>
      <c r="H477">
        <v>410</v>
      </c>
      <c r="I477" t="s">
        <v>225</v>
      </c>
    </row>
    <row r="478" spans="1:9" x14ac:dyDescent="0.25">
      <c r="A478">
        <v>2209</v>
      </c>
      <c r="B478" s="81">
        <v>44003</v>
      </c>
      <c r="C478" t="s">
        <v>71</v>
      </c>
      <c r="D478" t="s">
        <v>68</v>
      </c>
      <c r="E478">
        <v>2</v>
      </c>
      <c r="F478">
        <v>67</v>
      </c>
      <c r="G478">
        <v>10</v>
      </c>
      <c r="H478">
        <v>670</v>
      </c>
      <c r="I478" t="s">
        <v>225</v>
      </c>
    </row>
    <row r="479" spans="1:9" x14ac:dyDescent="0.25">
      <c r="A479">
        <v>2210</v>
      </c>
      <c r="B479" s="81">
        <v>44003</v>
      </c>
      <c r="C479" t="s">
        <v>116</v>
      </c>
      <c r="D479" t="s">
        <v>261</v>
      </c>
      <c r="E479">
        <v>1</v>
      </c>
      <c r="F479">
        <v>50</v>
      </c>
      <c r="G479">
        <v>10</v>
      </c>
      <c r="H479">
        <v>500</v>
      </c>
      <c r="I479" t="s">
        <v>225</v>
      </c>
    </row>
    <row r="480" spans="1:9" x14ac:dyDescent="0.25">
      <c r="A480">
        <v>2211</v>
      </c>
      <c r="B480" s="81">
        <v>44003</v>
      </c>
      <c r="C480" t="s">
        <v>116</v>
      </c>
      <c r="D480" t="s">
        <v>244</v>
      </c>
      <c r="E480">
        <v>1</v>
      </c>
      <c r="F480">
        <v>42</v>
      </c>
      <c r="G480">
        <v>10</v>
      </c>
      <c r="H480">
        <v>420</v>
      </c>
      <c r="I480" t="s">
        <v>225</v>
      </c>
    </row>
    <row r="481" spans="1:9" x14ac:dyDescent="0.25">
      <c r="A481">
        <v>2212</v>
      </c>
      <c r="B481" s="81">
        <v>44003</v>
      </c>
      <c r="C481" t="s">
        <v>116</v>
      </c>
      <c r="D481" t="s">
        <v>78</v>
      </c>
      <c r="E481">
        <v>1</v>
      </c>
      <c r="F481">
        <v>50</v>
      </c>
      <c r="G481">
        <v>10</v>
      </c>
      <c r="H481">
        <v>500</v>
      </c>
      <c r="I481" t="s">
        <v>225</v>
      </c>
    </row>
    <row r="482" spans="1:9" x14ac:dyDescent="0.25">
      <c r="A482">
        <v>2213</v>
      </c>
      <c r="B482" s="81">
        <v>44003</v>
      </c>
      <c r="C482" t="s">
        <v>116</v>
      </c>
      <c r="D482" t="s">
        <v>200</v>
      </c>
      <c r="E482">
        <v>2</v>
      </c>
      <c r="F482">
        <v>82</v>
      </c>
      <c r="G482">
        <v>10</v>
      </c>
      <c r="H482">
        <v>820</v>
      </c>
      <c r="I482" t="s">
        <v>225</v>
      </c>
    </row>
    <row r="483" spans="1:9" x14ac:dyDescent="0.25">
      <c r="A483">
        <v>2214</v>
      </c>
      <c r="B483" s="81">
        <v>44003</v>
      </c>
      <c r="C483" t="s">
        <v>210</v>
      </c>
      <c r="D483" t="s">
        <v>200</v>
      </c>
      <c r="E483">
        <v>1</v>
      </c>
      <c r="F483">
        <v>55</v>
      </c>
      <c r="G483">
        <v>10</v>
      </c>
      <c r="H483">
        <v>550</v>
      </c>
      <c r="I483" t="s">
        <v>225</v>
      </c>
    </row>
    <row r="484" spans="1:9" x14ac:dyDescent="0.25">
      <c r="A484">
        <v>2215</v>
      </c>
      <c r="B484" s="81">
        <v>44003</v>
      </c>
      <c r="C484" t="s">
        <v>314</v>
      </c>
      <c r="D484" t="s">
        <v>170</v>
      </c>
      <c r="E484">
        <v>1</v>
      </c>
      <c r="F484">
        <v>38</v>
      </c>
      <c r="G484">
        <v>10</v>
      </c>
      <c r="H484">
        <v>380</v>
      </c>
      <c r="I484" t="s">
        <v>239</v>
      </c>
    </row>
    <row r="485" spans="1:9" x14ac:dyDescent="0.25">
      <c r="A485">
        <v>2216</v>
      </c>
      <c r="B485" s="81">
        <v>44004</v>
      </c>
      <c r="C485" t="s">
        <v>315</v>
      </c>
      <c r="D485" t="s">
        <v>316</v>
      </c>
      <c r="E485">
        <v>1</v>
      </c>
      <c r="F485">
        <v>57</v>
      </c>
      <c r="G485">
        <v>10</v>
      </c>
      <c r="H485">
        <v>570</v>
      </c>
      <c r="I485" t="s">
        <v>239</v>
      </c>
    </row>
    <row r="486" spans="1:9" x14ac:dyDescent="0.25">
      <c r="A486">
        <v>2217</v>
      </c>
      <c r="B486" s="81">
        <v>44004</v>
      </c>
      <c r="C486" t="s">
        <v>69</v>
      </c>
      <c r="D486" t="s">
        <v>200</v>
      </c>
      <c r="E486">
        <v>2</v>
      </c>
      <c r="F486">
        <v>117</v>
      </c>
      <c r="G486">
        <v>10</v>
      </c>
      <c r="H486">
        <v>1170</v>
      </c>
      <c r="I486" t="s">
        <v>225</v>
      </c>
    </row>
    <row r="487" spans="1:9" x14ac:dyDescent="0.25">
      <c r="A487">
        <v>2218</v>
      </c>
      <c r="B487" s="81">
        <v>44004</v>
      </c>
      <c r="C487" t="s">
        <v>249</v>
      </c>
      <c r="D487" t="s">
        <v>282</v>
      </c>
      <c r="E487">
        <v>2</v>
      </c>
      <c r="F487">
        <v>90</v>
      </c>
      <c r="G487">
        <v>10</v>
      </c>
      <c r="H487">
        <v>900</v>
      </c>
      <c r="I487" t="s">
        <v>225</v>
      </c>
    </row>
    <row r="488" spans="1:9" x14ac:dyDescent="0.25">
      <c r="A488">
        <v>2219</v>
      </c>
      <c r="B488" s="81">
        <v>44004</v>
      </c>
      <c r="C488" t="s">
        <v>317</v>
      </c>
      <c r="D488" t="s">
        <v>318</v>
      </c>
      <c r="E488">
        <v>1</v>
      </c>
      <c r="F488">
        <v>70</v>
      </c>
      <c r="G488">
        <v>10</v>
      </c>
      <c r="H488">
        <v>700</v>
      </c>
      <c r="I488" t="s">
        <v>239</v>
      </c>
    </row>
    <row r="489" spans="1:9" x14ac:dyDescent="0.25">
      <c r="A489">
        <v>2220</v>
      </c>
      <c r="B489" s="81">
        <v>44005</v>
      </c>
      <c r="C489" t="s">
        <v>249</v>
      </c>
      <c r="D489" t="s">
        <v>319</v>
      </c>
      <c r="E489">
        <v>1</v>
      </c>
      <c r="F489">
        <v>56</v>
      </c>
      <c r="G489">
        <v>10</v>
      </c>
      <c r="H489">
        <v>560</v>
      </c>
      <c r="I489" t="s">
        <v>239</v>
      </c>
    </row>
    <row r="490" spans="1:9" x14ac:dyDescent="0.25">
      <c r="A490">
        <v>2221</v>
      </c>
      <c r="B490" s="81">
        <v>44005</v>
      </c>
      <c r="C490" t="s">
        <v>320</v>
      </c>
      <c r="D490" t="s">
        <v>321</v>
      </c>
      <c r="E490">
        <v>1</v>
      </c>
      <c r="F490">
        <v>50</v>
      </c>
      <c r="G490">
        <v>10</v>
      </c>
      <c r="H490">
        <v>500</v>
      </c>
      <c r="I490" t="s">
        <v>225</v>
      </c>
    </row>
    <row r="491" spans="1:9" x14ac:dyDescent="0.25">
      <c r="A491">
        <v>2222</v>
      </c>
      <c r="B491" s="81">
        <v>44005</v>
      </c>
      <c r="C491" t="s">
        <v>232</v>
      </c>
      <c r="D491" t="s">
        <v>78</v>
      </c>
      <c r="E491">
        <v>4</v>
      </c>
      <c r="F491">
        <v>274</v>
      </c>
      <c r="G491">
        <v>10</v>
      </c>
      <c r="H491">
        <v>2740</v>
      </c>
      <c r="I491" t="s">
        <v>225</v>
      </c>
    </row>
    <row r="492" spans="1:9" x14ac:dyDescent="0.25">
      <c r="A492">
        <v>2223</v>
      </c>
      <c r="B492" s="81">
        <v>44005</v>
      </c>
      <c r="C492" t="s">
        <v>89</v>
      </c>
      <c r="D492" t="s">
        <v>322</v>
      </c>
      <c r="E492">
        <v>4</v>
      </c>
      <c r="G492">
        <v>10</v>
      </c>
      <c r="H492">
        <v>0</v>
      </c>
      <c r="I492" t="s">
        <v>225</v>
      </c>
    </row>
    <row r="493" spans="1:9" x14ac:dyDescent="0.25">
      <c r="A493">
        <v>2224</v>
      </c>
      <c r="B493" s="81">
        <v>44005</v>
      </c>
      <c r="C493" t="s">
        <v>250</v>
      </c>
      <c r="D493" t="s">
        <v>274</v>
      </c>
      <c r="E493">
        <v>1</v>
      </c>
      <c r="F493">
        <v>44</v>
      </c>
      <c r="G493">
        <v>10</v>
      </c>
      <c r="H493">
        <v>440</v>
      </c>
      <c r="I493" t="s">
        <v>225</v>
      </c>
    </row>
    <row r="494" spans="1:9" x14ac:dyDescent="0.25">
      <c r="A494">
        <v>2225</v>
      </c>
      <c r="B494" s="81">
        <v>44005</v>
      </c>
      <c r="C494" t="s">
        <v>250</v>
      </c>
      <c r="D494" t="s">
        <v>101</v>
      </c>
      <c r="E494">
        <v>3</v>
      </c>
      <c r="F494">
        <v>154</v>
      </c>
      <c r="G494">
        <v>10</v>
      </c>
      <c r="H494">
        <v>1540</v>
      </c>
      <c r="I494" t="s">
        <v>225</v>
      </c>
    </row>
    <row r="495" spans="1:9" x14ac:dyDescent="0.25">
      <c r="A495">
        <v>2226</v>
      </c>
      <c r="B495" s="81">
        <v>44005</v>
      </c>
      <c r="C495" t="s">
        <v>300</v>
      </c>
      <c r="D495" t="s">
        <v>68</v>
      </c>
      <c r="E495">
        <v>4</v>
      </c>
      <c r="F495">
        <v>239</v>
      </c>
      <c r="G495">
        <v>10</v>
      </c>
      <c r="H495">
        <v>2390</v>
      </c>
      <c r="I495" t="s">
        <v>225</v>
      </c>
    </row>
    <row r="496" spans="1:9" x14ac:dyDescent="0.25">
      <c r="A496">
        <v>2227</v>
      </c>
      <c r="B496" s="81">
        <v>44005</v>
      </c>
      <c r="C496" t="s">
        <v>106</v>
      </c>
      <c r="D496" t="s">
        <v>311</v>
      </c>
      <c r="E496">
        <v>1</v>
      </c>
      <c r="F496">
        <v>31</v>
      </c>
      <c r="G496">
        <v>10</v>
      </c>
      <c r="H496">
        <v>310</v>
      </c>
      <c r="I496" t="s">
        <v>225</v>
      </c>
    </row>
    <row r="497" spans="1:9" x14ac:dyDescent="0.25">
      <c r="A497">
        <v>2228</v>
      </c>
      <c r="B497" s="81">
        <v>44005</v>
      </c>
      <c r="C497" t="s">
        <v>106</v>
      </c>
      <c r="D497" t="s">
        <v>78</v>
      </c>
      <c r="E497">
        <v>1</v>
      </c>
      <c r="F497">
        <v>40</v>
      </c>
      <c r="G497">
        <v>10</v>
      </c>
      <c r="H497">
        <v>400</v>
      </c>
      <c r="I497" t="s">
        <v>225</v>
      </c>
    </row>
    <row r="498" spans="1:9" x14ac:dyDescent="0.25">
      <c r="A498">
        <v>2229</v>
      </c>
      <c r="B498" s="81">
        <v>44005</v>
      </c>
      <c r="C498" t="s">
        <v>323</v>
      </c>
      <c r="D498" t="s">
        <v>115</v>
      </c>
      <c r="E498">
        <v>3</v>
      </c>
      <c r="F498">
        <v>169</v>
      </c>
      <c r="G498">
        <v>10</v>
      </c>
      <c r="H498">
        <v>1690</v>
      </c>
      <c r="I498" t="s">
        <v>225</v>
      </c>
    </row>
    <row r="499" spans="1:9" x14ac:dyDescent="0.25">
      <c r="A499">
        <v>2230</v>
      </c>
      <c r="B499" s="81">
        <v>44005</v>
      </c>
      <c r="C499" t="s">
        <v>80</v>
      </c>
      <c r="D499" t="s">
        <v>324</v>
      </c>
      <c r="E499">
        <v>2</v>
      </c>
      <c r="F499">
        <v>98</v>
      </c>
      <c r="G499">
        <v>15</v>
      </c>
      <c r="H499">
        <v>1470</v>
      </c>
      <c r="I499" t="s">
        <v>225</v>
      </c>
    </row>
    <row r="500" spans="1:9" x14ac:dyDescent="0.25">
      <c r="A500">
        <v>2231</v>
      </c>
      <c r="B500" s="81">
        <v>44005</v>
      </c>
      <c r="C500" t="s">
        <v>80</v>
      </c>
      <c r="D500" t="s">
        <v>302</v>
      </c>
      <c r="E500">
        <v>1</v>
      </c>
      <c r="F500">
        <v>59</v>
      </c>
      <c r="G500">
        <v>10</v>
      </c>
      <c r="H500">
        <v>590</v>
      </c>
      <c r="I500" t="s">
        <v>225</v>
      </c>
    </row>
    <row r="501" spans="1:9" x14ac:dyDescent="0.25">
      <c r="A501">
        <v>2232</v>
      </c>
      <c r="B501" s="81">
        <v>44005</v>
      </c>
      <c r="C501" t="s">
        <v>80</v>
      </c>
      <c r="D501" t="s">
        <v>120</v>
      </c>
      <c r="E501">
        <v>2</v>
      </c>
      <c r="F501">
        <v>106</v>
      </c>
      <c r="G501">
        <v>10</v>
      </c>
      <c r="H501">
        <v>1060</v>
      </c>
      <c r="I501" t="s">
        <v>225</v>
      </c>
    </row>
    <row r="502" spans="1:9" x14ac:dyDescent="0.25">
      <c r="A502">
        <v>2233</v>
      </c>
      <c r="B502" s="81">
        <v>44005</v>
      </c>
      <c r="C502" t="s">
        <v>80</v>
      </c>
      <c r="D502" t="s">
        <v>325</v>
      </c>
      <c r="E502">
        <v>1</v>
      </c>
      <c r="F502">
        <v>62</v>
      </c>
      <c r="G502">
        <v>10</v>
      </c>
      <c r="H502">
        <v>620</v>
      </c>
      <c r="I502" t="s">
        <v>225</v>
      </c>
    </row>
    <row r="503" spans="1:9" x14ac:dyDescent="0.25">
      <c r="A503">
        <v>2234</v>
      </c>
      <c r="B503" s="81">
        <v>44005</v>
      </c>
      <c r="C503" t="s">
        <v>80</v>
      </c>
      <c r="D503" t="s">
        <v>261</v>
      </c>
      <c r="E503">
        <v>1</v>
      </c>
      <c r="F503">
        <v>55</v>
      </c>
      <c r="G503">
        <v>10</v>
      </c>
      <c r="H503">
        <v>550</v>
      </c>
      <c r="I503" t="s">
        <v>225</v>
      </c>
    </row>
    <row r="504" spans="1:9" x14ac:dyDescent="0.25">
      <c r="A504">
        <v>2235</v>
      </c>
      <c r="B504" s="81">
        <v>44005</v>
      </c>
      <c r="C504" t="s">
        <v>80</v>
      </c>
      <c r="D504" t="s">
        <v>198</v>
      </c>
      <c r="E504">
        <v>1</v>
      </c>
      <c r="F504">
        <v>55</v>
      </c>
      <c r="G504">
        <v>15</v>
      </c>
      <c r="H504">
        <v>825</v>
      </c>
      <c r="I504" t="s">
        <v>225</v>
      </c>
    </row>
    <row r="505" spans="1:9" x14ac:dyDescent="0.25">
      <c r="A505">
        <v>2236</v>
      </c>
      <c r="B505" s="81">
        <v>44005</v>
      </c>
      <c r="C505" t="s">
        <v>166</v>
      </c>
      <c r="D505" t="s">
        <v>324</v>
      </c>
      <c r="E505">
        <v>1</v>
      </c>
      <c r="F505">
        <v>22</v>
      </c>
      <c r="G505">
        <v>15</v>
      </c>
      <c r="H505">
        <v>330</v>
      </c>
      <c r="I505" t="s">
        <v>225</v>
      </c>
    </row>
    <row r="506" spans="1:9" x14ac:dyDescent="0.25">
      <c r="A506">
        <v>2237</v>
      </c>
      <c r="B506" s="81">
        <v>44005</v>
      </c>
      <c r="C506" t="s">
        <v>182</v>
      </c>
      <c r="D506" t="s">
        <v>109</v>
      </c>
      <c r="E506">
        <v>7</v>
      </c>
      <c r="F506">
        <v>423</v>
      </c>
      <c r="G506">
        <v>9</v>
      </c>
      <c r="H506">
        <v>3807</v>
      </c>
      <c r="I506" t="s">
        <v>225</v>
      </c>
    </row>
    <row r="507" spans="1:9" x14ac:dyDescent="0.25">
      <c r="A507">
        <v>2238</v>
      </c>
      <c r="B507" s="81">
        <v>44005</v>
      </c>
      <c r="C507" t="s">
        <v>182</v>
      </c>
      <c r="D507" t="s">
        <v>109</v>
      </c>
      <c r="E507">
        <v>5</v>
      </c>
      <c r="F507">
        <v>266</v>
      </c>
      <c r="G507">
        <v>9</v>
      </c>
      <c r="H507">
        <v>2394</v>
      </c>
      <c r="I507" t="s">
        <v>225</v>
      </c>
    </row>
    <row r="508" spans="1:9" x14ac:dyDescent="0.25">
      <c r="A508">
        <v>2239</v>
      </c>
      <c r="B508" s="81">
        <v>44005</v>
      </c>
      <c r="C508" t="s">
        <v>182</v>
      </c>
      <c r="D508" t="s">
        <v>109</v>
      </c>
      <c r="E508">
        <v>1</v>
      </c>
      <c r="F508">
        <v>52</v>
      </c>
      <c r="G508">
        <v>9</v>
      </c>
      <c r="H508">
        <v>468</v>
      </c>
      <c r="I508" t="s">
        <v>225</v>
      </c>
    </row>
    <row r="509" spans="1:9" x14ac:dyDescent="0.25">
      <c r="A509">
        <v>2240</v>
      </c>
      <c r="B509" s="81">
        <v>44005</v>
      </c>
      <c r="C509" t="s">
        <v>182</v>
      </c>
      <c r="D509" t="s">
        <v>109</v>
      </c>
      <c r="E509">
        <v>3</v>
      </c>
      <c r="F509">
        <v>179</v>
      </c>
      <c r="G509">
        <v>9</v>
      </c>
      <c r="H509">
        <v>1611</v>
      </c>
      <c r="I509" t="s">
        <v>225</v>
      </c>
    </row>
    <row r="510" spans="1:9" x14ac:dyDescent="0.25">
      <c r="A510">
        <v>2241</v>
      </c>
      <c r="B510" s="81">
        <v>44005</v>
      </c>
      <c r="C510" t="s">
        <v>182</v>
      </c>
      <c r="D510" t="s">
        <v>131</v>
      </c>
      <c r="E510">
        <v>3</v>
      </c>
      <c r="F510">
        <v>129</v>
      </c>
      <c r="G510">
        <v>8</v>
      </c>
      <c r="H510">
        <v>1032</v>
      </c>
      <c r="I510" t="s">
        <v>225</v>
      </c>
    </row>
    <row r="511" spans="1:9" x14ac:dyDescent="0.25">
      <c r="A511">
        <v>2242</v>
      </c>
      <c r="B511" s="81">
        <v>44005</v>
      </c>
      <c r="C511" t="s">
        <v>249</v>
      </c>
      <c r="D511" t="s">
        <v>274</v>
      </c>
      <c r="E511">
        <v>1</v>
      </c>
      <c r="F511">
        <v>35</v>
      </c>
      <c r="G511">
        <v>10</v>
      </c>
      <c r="H511">
        <v>350</v>
      </c>
      <c r="I511" t="s">
        <v>225</v>
      </c>
    </row>
    <row r="512" spans="1:9" x14ac:dyDescent="0.25">
      <c r="A512">
        <v>2243</v>
      </c>
      <c r="B512" s="81">
        <v>44005</v>
      </c>
      <c r="C512" t="s">
        <v>309</v>
      </c>
      <c r="D512" t="s">
        <v>78</v>
      </c>
      <c r="E512">
        <v>1</v>
      </c>
      <c r="H512">
        <v>0</v>
      </c>
      <c r="I512" t="s">
        <v>225</v>
      </c>
    </row>
    <row r="513" spans="1:9" x14ac:dyDescent="0.25">
      <c r="A513">
        <v>2244</v>
      </c>
      <c r="B513" s="81">
        <v>44005</v>
      </c>
      <c r="C513" t="s">
        <v>326</v>
      </c>
      <c r="D513" t="s">
        <v>68</v>
      </c>
      <c r="E513">
        <v>5</v>
      </c>
      <c r="H513">
        <v>0</v>
      </c>
      <c r="I513" t="s">
        <v>225</v>
      </c>
    </row>
    <row r="514" spans="1:9" x14ac:dyDescent="0.25">
      <c r="A514">
        <v>2245</v>
      </c>
      <c r="B514" s="81">
        <v>44005</v>
      </c>
      <c r="C514" t="s">
        <v>327</v>
      </c>
      <c r="D514" t="s">
        <v>224</v>
      </c>
      <c r="E514">
        <v>1</v>
      </c>
      <c r="F514">
        <v>65</v>
      </c>
      <c r="G514">
        <v>8</v>
      </c>
      <c r="H514">
        <v>520</v>
      </c>
      <c r="I514" t="s">
        <v>225</v>
      </c>
    </row>
    <row r="515" spans="1:9" x14ac:dyDescent="0.25">
      <c r="A515">
        <v>2246</v>
      </c>
      <c r="B515" s="81">
        <v>44005</v>
      </c>
      <c r="C515" t="s">
        <v>327</v>
      </c>
      <c r="D515" t="s">
        <v>328</v>
      </c>
      <c r="E515">
        <v>1</v>
      </c>
      <c r="F515">
        <v>54</v>
      </c>
      <c r="G515">
        <v>8</v>
      </c>
      <c r="H515">
        <v>432</v>
      </c>
      <c r="I515" t="s">
        <v>225</v>
      </c>
    </row>
    <row r="516" spans="1:9" x14ac:dyDescent="0.25">
      <c r="A516">
        <v>2247</v>
      </c>
      <c r="B516" s="81">
        <v>44005</v>
      </c>
      <c r="C516" t="s">
        <v>327</v>
      </c>
      <c r="D516" t="s">
        <v>224</v>
      </c>
      <c r="E516">
        <v>2</v>
      </c>
      <c r="F516">
        <v>99</v>
      </c>
      <c r="G516">
        <v>8</v>
      </c>
      <c r="H516">
        <v>792</v>
      </c>
      <c r="I516" t="s">
        <v>225</v>
      </c>
    </row>
    <row r="517" spans="1:9" x14ac:dyDescent="0.25">
      <c r="A517">
        <v>2248</v>
      </c>
      <c r="B517" s="81">
        <v>44005</v>
      </c>
      <c r="C517" t="s">
        <v>130</v>
      </c>
      <c r="D517" t="s">
        <v>66</v>
      </c>
      <c r="E517">
        <v>2</v>
      </c>
      <c r="F517">
        <v>108</v>
      </c>
      <c r="G517">
        <v>9</v>
      </c>
      <c r="H517">
        <v>972</v>
      </c>
      <c r="I517" t="s">
        <v>225</v>
      </c>
    </row>
    <row r="518" spans="1:9" x14ac:dyDescent="0.25">
      <c r="A518">
        <v>2249</v>
      </c>
      <c r="B518" s="81">
        <v>44005</v>
      </c>
      <c r="C518" t="s">
        <v>106</v>
      </c>
      <c r="D518" t="s">
        <v>274</v>
      </c>
      <c r="E518">
        <v>1</v>
      </c>
      <c r="F518">
        <v>46</v>
      </c>
      <c r="G518">
        <v>10</v>
      </c>
      <c r="H518">
        <v>460</v>
      </c>
      <c r="I518" t="s">
        <v>225</v>
      </c>
    </row>
    <row r="519" spans="1:9" x14ac:dyDescent="0.25">
      <c r="A519">
        <v>2250</v>
      </c>
      <c r="B519" s="81">
        <v>44005</v>
      </c>
      <c r="C519" t="s">
        <v>195</v>
      </c>
      <c r="D519" t="s">
        <v>78</v>
      </c>
      <c r="E519">
        <v>1</v>
      </c>
      <c r="F519">
        <v>54</v>
      </c>
      <c r="G519">
        <v>10</v>
      </c>
      <c r="H519">
        <v>540</v>
      </c>
      <c r="I519" t="s">
        <v>225</v>
      </c>
    </row>
    <row r="520" spans="1:9" x14ac:dyDescent="0.25">
      <c r="A520">
        <v>2251</v>
      </c>
      <c r="B520" s="81">
        <v>44005</v>
      </c>
      <c r="C520" t="s">
        <v>195</v>
      </c>
      <c r="D520" t="s">
        <v>261</v>
      </c>
      <c r="E520">
        <v>1</v>
      </c>
      <c r="F520">
        <v>44</v>
      </c>
      <c r="G520">
        <v>10</v>
      </c>
      <c r="H520">
        <v>440</v>
      </c>
      <c r="I520" t="s">
        <v>225</v>
      </c>
    </row>
    <row r="521" spans="1:9" x14ac:dyDescent="0.25">
      <c r="A521">
        <v>2252</v>
      </c>
      <c r="B521" s="81">
        <v>44005</v>
      </c>
      <c r="C521" t="s">
        <v>195</v>
      </c>
      <c r="D521" t="s">
        <v>329</v>
      </c>
      <c r="E521">
        <v>2</v>
      </c>
      <c r="F521">
        <v>117</v>
      </c>
      <c r="G521">
        <v>10</v>
      </c>
      <c r="H521">
        <v>1170</v>
      </c>
      <c r="I521" t="s">
        <v>225</v>
      </c>
    </row>
    <row r="522" spans="1:9" x14ac:dyDescent="0.25">
      <c r="A522">
        <v>2253</v>
      </c>
      <c r="B522" s="81">
        <v>44005</v>
      </c>
      <c r="C522" t="s">
        <v>177</v>
      </c>
      <c r="D522" t="s">
        <v>109</v>
      </c>
      <c r="E522">
        <v>1</v>
      </c>
      <c r="F522">
        <v>50</v>
      </c>
      <c r="G522">
        <v>9</v>
      </c>
      <c r="H522">
        <v>450</v>
      </c>
      <c r="I522" t="s">
        <v>225</v>
      </c>
    </row>
    <row r="523" spans="1:9" x14ac:dyDescent="0.25">
      <c r="A523">
        <v>2254</v>
      </c>
      <c r="B523" s="81">
        <v>44005</v>
      </c>
      <c r="C523" t="s">
        <v>249</v>
      </c>
      <c r="D523" t="s">
        <v>146</v>
      </c>
      <c r="E523">
        <v>1</v>
      </c>
      <c r="F523">
        <v>38</v>
      </c>
      <c r="G523">
        <v>10</v>
      </c>
      <c r="H523">
        <v>380</v>
      </c>
      <c r="I523" t="s">
        <v>225</v>
      </c>
    </row>
    <row r="524" spans="1:9" x14ac:dyDescent="0.25">
      <c r="A524">
        <v>2255</v>
      </c>
      <c r="B524" s="81">
        <v>44005</v>
      </c>
      <c r="C524" t="s">
        <v>74</v>
      </c>
      <c r="D524" t="s">
        <v>78</v>
      </c>
      <c r="E524">
        <v>4</v>
      </c>
      <c r="F524">
        <v>227</v>
      </c>
      <c r="G524">
        <v>10</v>
      </c>
      <c r="H524">
        <v>2270</v>
      </c>
      <c r="I524" t="s">
        <v>225</v>
      </c>
    </row>
    <row r="525" spans="1:9" x14ac:dyDescent="0.25">
      <c r="A525">
        <v>2256</v>
      </c>
      <c r="B525" s="81">
        <v>44005</v>
      </c>
      <c r="C525" t="s">
        <v>74</v>
      </c>
      <c r="D525" t="s">
        <v>261</v>
      </c>
      <c r="E525">
        <v>2</v>
      </c>
      <c r="F525">
        <v>94</v>
      </c>
      <c r="G525">
        <v>10</v>
      </c>
      <c r="H525">
        <v>940</v>
      </c>
      <c r="I525" t="s">
        <v>225</v>
      </c>
    </row>
    <row r="526" spans="1:9" x14ac:dyDescent="0.25">
      <c r="A526">
        <v>2257</v>
      </c>
      <c r="B526" s="81">
        <v>44005</v>
      </c>
      <c r="C526" t="s">
        <v>74</v>
      </c>
      <c r="D526" t="s">
        <v>105</v>
      </c>
      <c r="E526">
        <v>1</v>
      </c>
      <c r="F526">
        <v>65</v>
      </c>
      <c r="G526">
        <v>10</v>
      </c>
      <c r="H526">
        <v>650</v>
      </c>
      <c r="I526" t="s">
        <v>225</v>
      </c>
    </row>
    <row r="527" spans="1:9" x14ac:dyDescent="0.25">
      <c r="A527">
        <v>2258</v>
      </c>
      <c r="B527" s="81">
        <v>44005</v>
      </c>
      <c r="C527" t="s">
        <v>74</v>
      </c>
      <c r="D527" t="s">
        <v>302</v>
      </c>
      <c r="E527">
        <v>1</v>
      </c>
      <c r="F527">
        <v>34</v>
      </c>
      <c r="G527">
        <v>10</v>
      </c>
      <c r="H527">
        <v>340</v>
      </c>
      <c r="I527" t="s">
        <v>225</v>
      </c>
    </row>
    <row r="528" spans="1:9" x14ac:dyDescent="0.25">
      <c r="A528">
        <v>2259</v>
      </c>
      <c r="B528" s="81">
        <v>44005</v>
      </c>
      <c r="C528" t="s">
        <v>74</v>
      </c>
      <c r="D528" t="s">
        <v>200</v>
      </c>
      <c r="E528">
        <v>1</v>
      </c>
      <c r="F528">
        <v>63</v>
      </c>
      <c r="G528">
        <v>10</v>
      </c>
      <c r="H528">
        <v>630</v>
      </c>
      <c r="I528" t="s">
        <v>225</v>
      </c>
    </row>
    <row r="529" spans="1:9" x14ac:dyDescent="0.25">
      <c r="A529">
        <v>2260</v>
      </c>
      <c r="B529" s="81">
        <v>44005</v>
      </c>
      <c r="C529" t="s">
        <v>74</v>
      </c>
      <c r="D529" t="s">
        <v>155</v>
      </c>
      <c r="E529">
        <v>1</v>
      </c>
      <c r="H529">
        <v>0</v>
      </c>
      <c r="I529" t="s">
        <v>225</v>
      </c>
    </row>
    <row r="530" spans="1:9" x14ac:dyDescent="0.25">
      <c r="A530">
        <v>2261</v>
      </c>
      <c r="B530" s="81">
        <v>44005</v>
      </c>
      <c r="C530" t="s">
        <v>249</v>
      </c>
      <c r="D530" t="s">
        <v>282</v>
      </c>
      <c r="E530">
        <v>1</v>
      </c>
      <c r="H530">
        <v>0</v>
      </c>
      <c r="I530" t="s">
        <v>225</v>
      </c>
    </row>
    <row r="531" spans="1:9" x14ac:dyDescent="0.25">
      <c r="A531">
        <v>2262</v>
      </c>
      <c r="B531" s="81">
        <v>44005</v>
      </c>
      <c r="C531" t="s">
        <v>330</v>
      </c>
      <c r="D531" t="s">
        <v>331</v>
      </c>
      <c r="E531">
        <v>1</v>
      </c>
      <c r="F531">
        <v>43</v>
      </c>
      <c r="G531">
        <v>10</v>
      </c>
      <c r="H531">
        <v>430</v>
      </c>
      <c r="I531" t="s">
        <v>225</v>
      </c>
    </row>
    <row r="532" spans="1:9" x14ac:dyDescent="0.25">
      <c r="A532">
        <v>2263</v>
      </c>
      <c r="B532" s="81">
        <v>44005</v>
      </c>
      <c r="C532" t="s">
        <v>332</v>
      </c>
      <c r="D532" t="s">
        <v>333</v>
      </c>
      <c r="E532">
        <v>1</v>
      </c>
      <c r="F532">
        <v>10</v>
      </c>
      <c r="H532">
        <v>0</v>
      </c>
      <c r="I532" t="s">
        <v>225</v>
      </c>
    </row>
    <row r="533" spans="1:9" x14ac:dyDescent="0.25">
      <c r="A533">
        <v>2264</v>
      </c>
      <c r="B533" s="81">
        <v>44005</v>
      </c>
      <c r="C533" t="s">
        <v>334</v>
      </c>
      <c r="D533" t="s">
        <v>196</v>
      </c>
      <c r="E533">
        <v>1</v>
      </c>
      <c r="H533">
        <v>0</v>
      </c>
      <c r="I533" t="s">
        <v>225</v>
      </c>
    </row>
    <row r="534" spans="1:9" x14ac:dyDescent="0.25">
      <c r="A534">
        <v>2265</v>
      </c>
      <c r="B534" s="81">
        <v>44005</v>
      </c>
      <c r="C534" t="s">
        <v>335</v>
      </c>
      <c r="D534" t="s">
        <v>218</v>
      </c>
      <c r="E534">
        <v>1</v>
      </c>
      <c r="F534">
        <v>17</v>
      </c>
      <c r="H534">
        <v>0</v>
      </c>
      <c r="I534" t="s">
        <v>225</v>
      </c>
    </row>
    <row r="535" spans="1:9" x14ac:dyDescent="0.25">
      <c r="A535">
        <v>2266</v>
      </c>
      <c r="B535" s="81">
        <v>44005</v>
      </c>
      <c r="C535" t="s">
        <v>335</v>
      </c>
      <c r="D535" t="s">
        <v>109</v>
      </c>
      <c r="E535">
        <v>1</v>
      </c>
      <c r="G535">
        <v>9</v>
      </c>
      <c r="H535">
        <v>0</v>
      </c>
      <c r="I535" t="s">
        <v>225</v>
      </c>
    </row>
    <row r="536" spans="1:9" x14ac:dyDescent="0.25">
      <c r="A536">
        <v>2267</v>
      </c>
      <c r="B536" s="81">
        <v>44005</v>
      </c>
      <c r="C536" t="s">
        <v>116</v>
      </c>
      <c r="D536" t="s">
        <v>66</v>
      </c>
      <c r="E536">
        <v>4</v>
      </c>
      <c r="H536">
        <v>0</v>
      </c>
      <c r="I536" t="s">
        <v>225</v>
      </c>
    </row>
    <row r="537" spans="1:9" x14ac:dyDescent="0.25">
      <c r="A537">
        <v>2268</v>
      </c>
      <c r="B537" s="81">
        <v>44005</v>
      </c>
      <c r="C537" t="s">
        <v>116</v>
      </c>
      <c r="D537" t="s">
        <v>261</v>
      </c>
      <c r="E537">
        <v>2</v>
      </c>
      <c r="F537">
        <v>94</v>
      </c>
      <c r="G537">
        <v>10</v>
      </c>
      <c r="H537">
        <v>940</v>
      </c>
      <c r="I537" t="s">
        <v>225</v>
      </c>
    </row>
    <row r="538" spans="1:9" x14ac:dyDescent="0.25">
      <c r="A538">
        <v>2269</v>
      </c>
      <c r="B538" s="81">
        <v>44005</v>
      </c>
      <c r="C538" t="s">
        <v>116</v>
      </c>
      <c r="D538" t="s">
        <v>78</v>
      </c>
      <c r="E538">
        <v>2</v>
      </c>
      <c r="H538">
        <v>0</v>
      </c>
      <c r="I538" t="s">
        <v>225</v>
      </c>
    </row>
    <row r="539" spans="1:9" x14ac:dyDescent="0.25">
      <c r="A539">
        <v>2270</v>
      </c>
      <c r="B539" s="81">
        <v>44005</v>
      </c>
      <c r="C539" t="s">
        <v>116</v>
      </c>
      <c r="D539" t="s">
        <v>105</v>
      </c>
      <c r="E539">
        <v>1</v>
      </c>
      <c r="F539">
        <v>40</v>
      </c>
      <c r="G539">
        <v>10</v>
      </c>
      <c r="H539">
        <v>400</v>
      </c>
      <c r="I539" t="s">
        <v>225</v>
      </c>
    </row>
    <row r="540" spans="1:9" x14ac:dyDescent="0.25">
      <c r="A540">
        <v>2271</v>
      </c>
      <c r="B540" s="81">
        <v>44005</v>
      </c>
      <c r="C540" t="s">
        <v>116</v>
      </c>
      <c r="D540" t="s">
        <v>200</v>
      </c>
      <c r="E540">
        <v>1</v>
      </c>
      <c r="H540">
        <v>0</v>
      </c>
      <c r="I540" t="s">
        <v>225</v>
      </c>
    </row>
    <row r="541" spans="1:9" x14ac:dyDescent="0.25">
      <c r="A541">
        <v>2272</v>
      </c>
      <c r="B541" s="81">
        <v>44005</v>
      </c>
      <c r="C541" t="s">
        <v>74</v>
      </c>
      <c r="D541" t="s">
        <v>146</v>
      </c>
      <c r="E541">
        <v>1</v>
      </c>
      <c r="F541">
        <v>57</v>
      </c>
      <c r="G541">
        <v>10</v>
      </c>
      <c r="H541">
        <v>570</v>
      </c>
      <c r="I541" t="s">
        <v>225</v>
      </c>
    </row>
    <row r="542" spans="1:9" x14ac:dyDescent="0.25">
      <c r="A542">
        <v>2273</v>
      </c>
      <c r="B542" s="81">
        <v>44005</v>
      </c>
      <c r="C542" t="s">
        <v>89</v>
      </c>
      <c r="D542" t="s">
        <v>218</v>
      </c>
      <c r="E542">
        <v>1</v>
      </c>
      <c r="H542">
        <v>0</v>
      </c>
      <c r="I542" t="s">
        <v>225</v>
      </c>
    </row>
    <row r="543" spans="1:9" x14ac:dyDescent="0.25">
      <c r="A543">
        <v>2274</v>
      </c>
      <c r="B543" s="81">
        <v>44005</v>
      </c>
      <c r="C543" t="s">
        <v>71</v>
      </c>
      <c r="D543" t="s">
        <v>336</v>
      </c>
      <c r="E543">
        <v>1</v>
      </c>
      <c r="F543">
        <v>10</v>
      </c>
      <c r="H543">
        <v>0</v>
      </c>
      <c r="I543" t="s">
        <v>225</v>
      </c>
    </row>
    <row r="544" spans="1:9" x14ac:dyDescent="0.25">
      <c r="A544">
        <v>2275</v>
      </c>
      <c r="B544" s="81">
        <v>44005</v>
      </c>
      <c r="C544" t="s">
        <v>71</v>
      </c>
      <c r="D544" t="s">
        <v>68</v>
      </c>
      <c r="E544">
        <v>1</v>
      </c>
      <c r="H544">
        <v>0</v>
      </c>
      <c r="I544" t="s">
        <v>225</v>
      </c>
    </row>
    <row r="545" spans="1:9" x14ac:dyDescent="0.25">
      <c r="A545">
        <v>2276</v>
      </c>
      <c r="B545" s="81">
        <v>44005</v>
      </c>
      <c r="C545" t="s">
        <v>337</v>
      </c>
      <c r="D545" t="s">
        <v>333</v>
      </c>
      <c r="E545">
        <v>1</v>
      </c>
      <c r="F545">
        <v>10</v>
      </c>
      <c r="H545">
        <v>0</v>
      </c>
      <c r="I545" t="s">
        <v>225</v>
      </c>
    </row>
    <row r="546" spans="1:9" x14ac:dyDescent="0.25">
      <c r="A546">
        <v>2277</v>
      </c>
      <c r="B546" s="81">
        <v>44005</v>
      </c>
      <c r="C546" t="s">
        <v>338</v>
      </c>
      <c r="D546" t="s">
        <v>339</v>
      </c>
      <c r="E546">
        <v>3</v>
      </c>
      <c r="G546">
        <v>10</v>
      </c>
      <c r="H546">
        <v>0</v>
      </c>
      <c r="I546" t="s">
        <v>225</v>
      </c>
    </row>
    <row r="547" spans="1:9" x14ac:dyDescent="0.25">
      <c r="A547">
        <v>2278</v>
      </c>
      <c r="B547" s="81">
        <v>44005</v>
      </c>
      <c r="C547" t="s">
        <v>340</v>
      </c>
      <c r="D547" t="s">
        <v>336</v>
      </c>
      <c r="E547">
        <v>35</v>
      </c>
      <c r="F547">
        <v>2309</v>
      </c>
      <c r="G547">
        <v>8</v>
      </c>
      <c r="H547">
        <v>18472</v>
      </c>
      <c r="I547" t="s">
        <v>225</v>
      </c>
    </row>
    <row r="548" spans="1:9" x14ac:dyDescent="0.25">
      <c r="A548">
        <v>2279</v>
      </c>
      <c r="B548" s="81">
        <v>44005</v>
      </c>
      <c r="C548" t="s">
        <v>340</v>
      </c>
      <c r="D548" t="s">
        <v>341</v>
      </c>
      <c r="E548">
        <v>9</v>
      </c>
      <c r="F548">
        <v>647</v>
      </c>
      <c r="G548">
        <v>8</v>
      </c>
      <c r="H548">
        <v>5176</v>
      </c>
      <c r="I548" t="s">
        <v>239</v>
      </c>
    </row>
    <row r="549" spans="1:9" x14ac:dyDescent="0.25">
      <c r="A549">
        <v>2280</v>
      </c>
      <c r="B549" s="81">
        <v>44006</v>
      </c>
      <c r="C549" t="s">
        <v>195</v>
      </c>
      <c r="D549" t="s">
        <v>78</v>
      </c>
      <c r="E549">
        <v>1</v>
      </c>
      <c r="F549">
        <v>108</v>
      </c>
      <c r="H549">
        <v>0</v>
      </c>
      <c r="I549" t="s">
        <v>239</v>
      </c>
    </row>
    <row r="550" spans="1:9" x14ac:dyDescent="0.25">
      <c r="A550">
        <v>2281</v>
      </c>
      <c r="B550" s="81">
        <v>44006</v>
      </c>
      <c r="C550" t="s">
        <v>342</v>
      </c>
      <c r="D550" t="s">
        <v>343</v>
      </c>
      <c r="E550">
        <v>3</v>
      </c>
      <c r="F550">
        <v>135</v>
      </c>
      <c r="G550">
        <v>8</v>
      </c>
      <c r="H550">
        <v>1080</v>
      </c>
      <c r="I550" t="s">
        <v>225</v>
      </c>
    </row>
    <row r="551" spans="1:9" x14ac:dyDescent="0.25">
      <c r="A551">
        <v>2282</v>
      </c>
      <c r="B551" s="81">
        <v>44006</v>
      </c>
      <c r="C551" t="s">
        <v>338</v>
      </c>
      <c r="D551" t="s">
        <v>154</v>
      </c>
      <c r="E551">
        <v>3</v>
      </c>
      <c r="F551">
        <v>154</v>
      </c>
      <c r="H551">
        <v>0</v>
      </c>
      <c r="I551" t="s">
        <v>225</v>
      </c>
    </row>
    <row r="552" spans="1:9" x14ac:dyDescent="0.25">
      <c r="A552">
        <v>2283</v>
      </c>
      <c r="B552" s="81">
        <v>44006</v>
      </c>
      <c r="C552" t="s">
        <v>166</v>
      </c>
      <c r="D552" t="s">
        <v>344</v>
      </c>
      <c r="E552">
        <v>5</v>
      </c>
      <c r="F552">
        <v>264</v>
      </c>
      <c r="H552">
        <v>0</v>
      </c>
      <c r="I552" t="s">
        <v>225</v>
      </c>
    </row>
    <row r="553" spans="1:9" x14ac:dyDescent="0.25">
      <c r="A553">
        <v>2284</v>
      </c>
      <c r="B553" s="81">
        <v>44006</v>
      </c>
      <c r="C553" t="s">
        <v>80</v>
      </c>
      <c r="D553" t="s">
        <v>167</v>
      </c>
      <c r="E553">
        <v>3</v>
      </c>
      <c r="F553">
        <v>132</v>
      </c>
      <c r="H553">
        <v>0</v>
      </c>
      <c r="I553" t="s">
        <v>225</v>
      </c>
    </row>
    <row r="554" spans="1:9" x14ac:dyDescent="0.25">
      <c r="A554">
        <v>2285</v>
      </c>
      <c r="B554" s="81">
        <v>44006</v>
      </c>
      <c r="C554" t="s">
        <v>249</v>
      </c>
      <c r="D554" t="s">
        <v>282</v>
      </c>
      <c r="E554">
        <v>2</v>
      </c>
      <c r="F554">
        <v>108</v>
      </c>
      <c r="H554">
        <v>0</v>
      </c>
      <c r="I554" t="s">
        <v>225</v>
      </c>
    </row>
    <row r="555" spans="1:9" x14ac:dyDescent="0.25">
      <c r="A555">
        <v>2286</v>
      </c>
      <c r="B555" s="81">
        <v>44006</v>
      </c>
      <c r="C555" t="s">
        <v>345</v>
      </c>
      <c r="D555" t="s">
        <v>155</v>
      </c>
      <c r="E555">
        <v>1</v>
      </c>
      <c r="F555">
        <v>53</v>
      </c>
      <c r="H555">
        <v>0</v>
      </c>
      <c r="I555" t="s">
        <v>225</v>
      </c>
    </row>
    <row r="556" spans="1:9" x14ac:dyDescent="0.25">
      <c r="A556">
        <v>2287</v>
      </c>
      <c r="B556" s="81">
        <v>44006</v>
      </c>
      <c r="C556" t="s">
        <v>166</v>
      </c>
      <c r="D556" t="s">
        <v>346</v>
      </c>
      <c r="E556">
        <v>2</v>
      </c>
      <c r="F556">
        <v>105</v>
      </c>
      <c r="H556">
        <v>0</v>
      </c>
      <c r="I556" t="s">
        <v>225</v>
      </c>
    </row>
    <row r="557" spans="1:9" x14ac:dyDescent="0.25">
      <c r="A557">
        <v>2288</v>
      </c>
      <c r="B557" s="81">
        <v>44006</v>
      </c>
      <c r="H557">
        <v>0</v>
      </c>
      <c r="I557" t="s">
        <v>225</v>
      </c>
    </row>
    <row r="558" spans="1:9" x14ac:dyDescent="0.25">
      <c r="A558">
        <v>2289</v>
      </c>
      <c r="B558" s="81">
        <v>44006</v>
      </c>
      <c r="C558" t="s">
        <v>347</v>
      </c>
      <c r="D558" t="s">
        <v>105</v>
      </c>
      <c r="E558">
        <v>3</v>
      </c>
      <c r="F558">
        <v>160</v>
      </c>
      <c r="H558">
        <v>0</v>
      </c>
      <c r="I558" t="s">
        <v>225</v>
      </c>
    </row>
    <row r="559" spans="1:9" x14ac:dyDescent="0.25">
      <c r="A559">
        <v>2290</v>
      </c>
      <c r="B559" s="81">
        <v>44006</v>
      </c>
      <c r="C559" t="s">
        <v>323</v>
      </c>
      <c r="D559" t="s">
        <v>348</v>
      </c>
      <c r="E559">
        <v>4</v>
      </c>
      <c r="F559">
        <v>288</v>
      </c>
      <c r="H559">
        <v>0</v>
      </c>
      <c r="I559" t="s">
        <v>225</v>
      </c>
    </row>
    <row r="560" spans="1:9" x14ac:dyDescent="0.25">
      <c r="A560">
        <v>2291</v>
      </c>
      <c r="B560" s="81">
        <v>44006</v>
      </c>
      <c r="C560" t="s">
        <v>80</v>
      </c>
      <c r="D560" t="s">
        <v>105</v>
      </c>
      <c r="E560">
        <v>1</v>
      </c>
      <c r="F560">
        <v>70</v>
      </c>
      <c r="H560">
        <v>0</v>
      </c>
      <c r="I560" t="s">
        <v>225</v>
      </c>
    </row>
    <row r="561" spans="1:9" x14ac:dyDescent="0.25">
      <c r="A561">
        <v>2292</v>
      </c>
      <c r="B561" s="81">
        <v>44006</v>
      </c>
      <c r="C561" t="s">
        <v>80</v>
      </c>
      <c r="D561" t="s">
        <v>349</v>
      </c>
      <c r="E561">
        <v>1</v>
      </c>
      <c r="F561">
        <v>20</v>
      </c>
      <c r="H561">
        <v>0</v>
      </c>
      <c r="I561" t="s">
        <v>225</v>
      </c>
    </row>
    <row r="562" spans="1:9" x14ac:dyDescent="0.25">
      <c r="A562">
        <v>2293</v>
      </c>
      <c r="B562" s="81">
        <v>44006</v>
      </c>
      <c r="C562" t="s">
        <v>286</v>
      </c>
      <c r="D562" t="s">
        <v>229</v>
      </c>
      <c r="E562">
        <v>4</v>
      </c>
      <c r="F562">
        <v>145</v>
      </c>
      <c r="G562">
        <v>8</v>
      </c>
      <c r="H562">
        <v>1160</v>
      </c>
      <c r="I562" t="s">
        <v>225</v>
      </c>
    </row>
    <row r="563" spans="1:9" x14ac:dyDescent="0.25">
      <c r="A563">
        <v>2294</v>
      </c>
      <c r="B563" s="81">
        <v>44006</v>
      </c>
      <c r="C563" t="s">
        <v>350</v>
      </c>
      <c r="D563" t="s">
        <v>154</v>
      </c>
      <c r="E563">
        <v>1</v>
      </c>
      <c r="F563">
        <v>48</v>
      </c>
      <c r="H563">
        <v>0</v>
      </c>
      <c r="I563" t="s">
        <v>225</v>
      </c>
    </row>
    <row r="564" spans="1:9" x14ac:dyDescent="0.25">
      <c r="A564">
        <v>2295</v>
      </c>
      <c r="B564" s="81">
        <v>44006</v>
      </c>
      <c r="C564" t="s">
        <v>350</v>
      </c>
      <c r="D564" t="s">
        <v>78</v>
      </c>
      <c r="E564">
        <v>2</v>
      </c>
      <c r="F564">
        <v>77</v>
      </c>
      <c r="H564">
        <v>0</v>
      </c>
      <c r="I564" t="s">
        <v>225</v>
      </c>
    </row>
    <row r="565" spans="1:9" x14ac:dyDescent="0.25">
      <c r="A565">
        <v>2296</v>
      </c>
      <c r="B565" s="81">
        <v>44006</v>
      </c>
      <c r="C565" t="s">
        <v>141</v>
      </c>
      <c r="D565" t="s">
        <v>351</v>
      </c>
      <c r="E565">
        <v>5</v>
      </c>
      <c r="F565">
        <v>262</v>
      </c>
      <c r="H565">
        <v>0</v>
      </c>
      <c r="I565" t="s">
        <v>225</v>
      </c>
    </row>
    <row r="566" spans="1:9" x14ac:dyDescent="0.25">
      <c r="A566">
        <v>2297</v>
      </c>
      <c r="B566" s="81">
        <v>44006</v>
      </c>
      <c r="C566" t="s">
        <v>352</v>
      </c>
      <c r="D566" t="s">
        <v>95</v>
      </c>
      <c r="E566">
        <v>2</v>
      </c>
      <c r="F566">
        <v>154</v>
      </c>
      <c r="H566">
        <v>0</v>
      </c>
      <c r="I566" t="s">
        <v>225</v>
      </c>
    </row>
    <row r="567" spans="1:9" x14ac:dyDescent="0.25">
      <c r="A567">
        <v>2298</v>
      </c>
      <c r="B567" s="81">
        <v>44006</v>
      </c>
      <c r="C567" t="s">
        <v>353</v>
      </c>
      <c r="D567" t="s">
        <v>354</v>
      </c>
      <c r="E567">
        <v>8</v>
      </c>
      <c r="F567">
        <v>381</v>
      </c>
      <c r="H567">
        <v>0</v>
      </c>
      <c r="I567" t="s">
        <v>225</v>
      </c>
    </row>
    <row r="568" spans="1:9" x14ac:dyDescent="0.25">
      <c r="A568">
        <v>2299</v>
      </c>
      <c r="B568" s="81">
        <v>44006</v>
      </c>
      <c r="C568" t="s">
        <v>210</v>
      </c>
      <c r="D568" t="s">
        <v>200</v>
      </c>
      <c r="E568">
        <v>2</v>
      </c>
      <c r="F568">
        <v>119</v>
      </c>
      <c r="H568">
        <v>0</v>
      </c>
      <c r="I568" t="s">
        <v>225</v>
      </c>
    </row>
    <row r="569" spans="1:9" x14ac:dyDescent="0.25">
      <c r="A569">
        <v>2300</v>
      </c>
      <c r="B569" s="81">
        <v>44006</v>
      </c>
      <c r="C569" t="s">
        <v>335</v>
      </c>
      <c r="D569" t="s">
        <v>348</v>
      </c>
      <c r="E569">
        <v>1</v>
      </c>
      <c r="F569">
        <v>59</v>
      </c>
      <c r="H569">
        <v>0</v>
      </c>
      <c r="I569" t="s">
        <v>225</v>
      </c>
    </row>
    <row r="570" spans="1:9" x14ac:dyDescent="0.25">
      <c r="A570">
        <v>2301</v>
      </c>
      <c r="B570" s="81">
        <v>44006</v>
      </c>
      <c r="C570" t="s">
        <v>335</v>
      </c>
      <c r="D570" t="s">
        <v>109</v>
      </c>
      <c r="E570">
        <v>1</v>
      </c>
      <c r="F570">
        <v>39</v>
      </c>
      <c r="H570">
        <v>0</v>
      </c>
      <c r="I570" t="s">
        <v>225</v>
      </c>
    </row>
    <row r="571" spans="1:9" x14ac:dyDescent="0.25">
      <c r="A571">
        <v>2302</v>
      </c>
      <c r="B571" s="81">
        <v>44006</v>
      </c>
      <c r="C571" t="s">
        <v>340</v>
      </c>
      <c r="D571" t="s">
        <v>341</v>
      </c>
      <c r="E571">
        <v>8</v>
      </c>
      <c r="F571">
        <v>662</v>
      </c>
      <c r="H571">
        <v>0</v>
      </c>
      <c r="I571" t="s">
        <v>225</v>
      </c>
    </row>
    <row r="572" spans="1:9" x14ac:dyDescent="0.25">
      <c r="A572">
        <v>2303</v>
      </c>
      <c r="B572" s="81">
        <v>44006</v>
      </c>
      <c r="C572" t="s">
        <v>340</v>
      </c>
      <c r="D572" t="s">
        <v>355</v>
      </c>
      <c r="E572">
        <v>10</v>
      </c>
      <c r="F572">
        <v>671</v>
      </c>
      <c r="H572">
        <v>0</v>
      </c>
      <c r="I572" t="s">
        <v>225</v>
      </c>
    </row>
    <row r="573" spans="1:9" x14ac:dyDescent="0.25">
      <c r="A573">
        <v>2304</v>
      </c>
      <c r="B573" s="81">
        <v>44006</v>
      </c>
      <c r="C573" t="s">
        <v>340</v>
      </c>
      <c r="D573" t="s">
        <v>341</v>
      </c>
      <c r="E573">
        <v>16</v>
      </c>
      <c r="F573">
        <v>1307</v>
      </c>
      <c r="H573">
        <v>0</v>
      </c>
      <c r="I573" t="s">
        <v>225</v>
      </c>
    </row>
    <row r="574" spans="1:9" x14ac:dyDescent="0.25">
      <c r="A574">
        <v>2305</v>
      </c>
      <c r="B574" s="81">
        <v>44006</v>
      </c>
      <c r="C574" t="s">
        <v>340</v>
      </c>
      <c r="D574" t="s">
        <v>341</v>
      </c>
      <c r="E574">
        <v>10</v>
      </c>
      <c r="F574">
        <v>694</v>
      </c>
      <c r="H574">
        <v>0</v>
      </c>
      <c r="I574" t="s">
        <v>225</v>
      </c>
    </row>
    <row r="575" spans="1:9" x14ac:dyDescent="0.25">
      <c r="A575">
        <v>2306</v>
      </c>
      <c r="B575" s="81">
        <v>44006</v>
      </c>
      <c r="C575" t="s">
        <v>340</v>
      </c>
      <c r="D575" t="s">
        <v>341</v>
      </c>
      <c r="E575">
        <v>4</v>
      </c>
      <c r="F575">
        <v>322</v>
      </c>
      <c r="H575">
        <v>0</v>
      </c>
      <c r="I575" t="s">
        <v>225</v>
      </c>
    </row>
    <row r="576" spans="1:9" x14ac:dyDescent="0.25">
      <c r="A576">
        <v>2307</v>
      </c>
      <c r="B576" s="81">
        <v>44006</v>
      </c>
      <c r="C576" t="s">
        <v>246</v>
      </c>
      <c r="D576" t="s">
        <v>356</v>
      </c>
      <c r="E576">
        <v>1</v>
      </c>
      <c r="F576">
        <v>20</v>
      </c>
      <c r="H576">
        <v>0</v>
      </c>
      <c r="I576" t="s">
        <v>239</v>
      </c>
    </row>
    <row r="577" spans="1:9" x14ac:dyDescent="0.25">
      <c r="A577">
        <v>2308</v>
      </c>
      <c r="B577" s="81">
        <v>44007</v>
      </c>
      <c r="C577" t="s">
        <v>357</v>
      </c>
      <c r="D577" t="s">
        <v>358</v>
      </c>
      <c r="E577">
        <v>16</v>
      </c>
      <c r="F577">
        <v>763</v>
      </c>
      <c r="G577">
        <v>8</v>
      </c>
      <c r="H577">
        <v>6104</v>
      </c>
      <c r="I577" t="s">
        <v>239</v>
      </c>
    </row>
    <row r="578" spans="1:9" x14ac:dyDescent="0.25">
      <c r="A578">
        <v>2309</v>
      </c>
      <c r="B578" s="81">
        <v>44007</v>
      </c>
      <c r="C578" t="s">
        <v>359</v>
      </c>
      <c r="D578" t="s">
        <v>360</v>
      </c>
      <c r="E578">
        <v>3</v>
      </c>
      <c r="F578">
        <v>168</v>
      </c>
      <c r="H578">
        <v>0</v>
      </c>
      <c r="I578" t="s">
        <v>225</v>
      </c>
    </row>
    <row r="579" spans="1:9" x14ac:dyDescent="0.25">
      <c r="A579">
        <v>2310</v>
      </c>
      <c r="B579" s="81">
        <v>44007</v>
      </c>
      <c r="C579" t="s">
        <v>327</v>
      </c>
      <c r="D579" t="s">
        <v>358</v>
      </c>
      <c r="E579">
        <v>1</v>
      </c>
      <c r="F579">
        <v>48</v>
      </c>
      <c r="G579">
        <v>8</v>
      </c>
      <c r="H579">
        <v>384</v>
      </c>
      <c r="I579" t="s">
        <v>225</v>
      </c>
    </row>
    <row r="580" spans="1:9" x14ac:dyDescent="0.25">
      <c r="A580">
        <v>2311</v>
      </c>
      <c r="B580" s="81">
        <v>44007</v>
      </c>
      <c r="C580" t="s">
        <v>361</v>
      </c>
      <c r="D580" t="s">
        <v>120</v>
      </c>
      <c r="E580">
        <v>1</v>
      </c>
      <c r="F580">
        <v>53</v>
      </c>
      <c r="H580">
        <v>0</v>
      </c>
      <c r="I580" t="s">
        <v>225</v>
      </c>
    </row>
    <row r="581" spans="1:9" x14ac:dyDescent="0.25">
      <c r="A581">
        <v>2312</v>
      </c>
      <c r="B581" s="81">
        <v>44007</v>
      </c>
      <c r="C581" t="s">
        <v>362</v>
      </c>
      <c r="D581" t="s">
        <v>344</v>
      </c>
      <c r="E581">
        <v>1</v>
      </c>
      <c r="F581">
        <v>58</v>
      </c>
      <c r="H581">
        <v>0</v>
      </c>
      <c r="I581" t="s">
        <v>225</v>
      </c>
    </row>
    <row r="582" spans="1:9" x14ac:dyDescent="0.25">
      <c r="A582">
        <v>2313</v>
      </c>
      <c r="B582" s="81">
        <v>44007</v>
      </c>
      <c r="C582" t="s">
        <v>249</v>
      </c>
      <c r="D582" t="s">
        <v>363</v>
      </c>
      <c r="E582">
        <v>1</v>
      </c>
      <c r="F582">
        <v>68</v>
      </c>
      <c r="H582">
        <v>0</v>
      </c>
      <c r="I582" t="s">
        <v>225</v>
      </c>
    </row>
    <row r="583" spans="1:9" x14ac:dyDescent="0.25">
      <c r="A583">
        <v>2314</v>
      </c>
      <c r="B583" s="81">
        <v>44007</v>
      </c>
      <c r="C583" t="s">
        <v>340</v>
      </c>
      <c r="D583" t="s">
        <v>167</v>
      </c>
      <c r="E583">
        <v>23</v>
      </c>
      <c r="F583">
        <v>1856</v>
      </c>
      <c r="H583">
        <v>0</v>
      </c>
      <c r="I583" t="s">
        <v>225</v>
      </c>
    </row>
    <row r="584" spans="1:9" x14ac:dyDescent="0.25">
      <c r="A584">
        <v>2315</v>
      </c>
      <c r="B584" s="81">
        <v>44007</v>
      </c>
      <c r="C584" t="s">
        <v>249</v>
      </c>
      <c r="D584" t="s">
        <v>364</v>
      </c>
      <c r="E584">
        <v>1</v>
      </c>
      <c r="F584">
        <v>64</v>
      </c>
      <c r="H584">
        <v>0</v>
      </c>
      <c r="I584" t="s">
        <v>225</v>
      </c>
    </row>
    <row r="585" spans="1:9" x14ac:dyDescent="0.25">
      <c r="A585">
        <v>2316</v>
      </c>
      <c r="B585" s="81">
        <v>44007</v>
      </c>
      <c r="C585" t="s">
        <v>249</v>
      </c>
      <c r="D585" t="s">
        <v>78</v>
      </c>
      <c r="E585">
        <v>1</v>
      </c>
      <c r="F585">
        <v>59</v>
      </c>
      <c r="H585">
        <v>0</v>
      </c>
      <c r="I585" t="s">
        <v>225</v>
      </c>
    </row>
    <row r="586" spans="1:9" x14ac:dyDescent="0.25">
      <c r="A586">
        <v>2317</v>
      </c>
      <c r="B586" s="81">
        <v>44007</v>
      </c>
      <c r="C586" t="s">
        <v>69</v>
      </c>
      <c r="D586" t="s">
        <v>193</v>
      </c>
      <c r="E586">
        <v>1</v>
      </c>
      <c r="F586">
        <v>58</v>
      </c>
      <c r="H586">
        <v>0</v>
      </c>
      <c r="I586" t="s">
        <v>225</v>
      </c>
    </row>
    <row r="587" spans="1:9" x14ac:dyDescent="0.25">
      <c r="A587">
        <v>2318</v>
      </c>
      <c r="B587" s="81">
        <v>44007</v>
      </c>
      <c r="C587" t="s">
        <v>69</v>
      </c>
      <c r="D587" t="s">
        <v>162</v>
      </c>
      <c r="E587">
        <v>2</v>
      </c>
      <c r="F587">
        <v>80</v>
      </c>
      <c r="H587">
        <v>0</v>
      </c>
      <c r="I587" t="s">
        <v>225</v>
      </c>
    </row>
    <row r="588" spans="1:9" x14ac:dyDescent="0.25">
      <c r="A588">
        <v>2319</v>
      </c>
      <c r="B588" s="81">
        <v>44007</v>
      </c>
      <c r="C588" t="s">
        <v>249</v>
      </c>
      <c r="D588" t="s">
        <v>82</v>
      </c>
      <c r="E588">
        <v>1</v>
      </c>
      <c r="F588">
        <v>30</v>
      </c>
      <c r="H588">
        <v>0</v>
      </c>
      <c r="I588" t="s">
        <v>225</v>
      </c>
    </row>
    <row r="589" spans="1:9" x14ac:dyDescent="0.25">
      <c r="A589">
        <v>2320</v>
      </c>
      <c r="B589" s="81">
        <v>44007</v>
      </c>
      <c r="C589" t="s">
        <v>156</v>
      </c>
      <c r="D589" t="s">
        <v>365</v>
      </c>
      <c r="E589">
        <v>10</v>
      </c>
      <c r="F589">
        <v>370</v>
      </c>
      <c r="G589">
        <v>10</v>
      </c>
      <c r="H589">
        <v>3700</v>
      </c>
      <c r="I589" t="s">
        <v>225</v>
      </c>
    </row>
    <row r="590" spans="1:9" x14ac:dyDescent="0.25">
      <c r="A590">
        <v>2321</v>
      </c>
      <c r="B590" s="81">
        <v>44007</v>
      </c>
      <c r="C590" t="s">
        <v>156</v>
      </c>
      <c r="D590" t="s">
        <v>366</v>
      </c>
      <c r="E590">
        <v>3</v>
      </c>
      <c r="F590">
        <v>100</v>
      </c>
      <c r="G590">
        <v>10</v>
      </c>
      <c r="H590">
        <v>1000</v>
      </c>
      <c r="I590" t="s">
        <v>225</v>
      </c>
    </row>
    <row r="591" spans="1:9" x14ac:dyDescent="0.25">
      <c r="A591">
        <v>2322</v>
      </c>
      <c r="B591" s="81">
        <v>44007</v>
      </c>
      <c r="C591" t="s">
        <v>182</v>
      </c>
      <c r="D591" t="s">
        <v>109</v>
      </c>
      <c r="E591">
        <v>4</v>
      </c>
      <c r="F591">
        <v>238</v>
      </c>
      <c r="H591">
        <v>0</v>
      </c>
      <c r="I591" t="s">
        <v>225</v>
      </c>
    </row>
    <row r="592" spans="1:9" x14ac:dyDescent="0.25">
      <c r="A592">
        <v>2323</v>
      </c>
      <c r="B592" s="81">
        <v>44007</v>
      </c>
      <c r="C592" t="s">
        <v>182</v>
      </c>
      <c r="D592" t="s">
        <v>367</v>
      </c>
      <c r="E592">
        <v>1</v>
      </c>
      <c r="F592">
        <v>60</v>
      </c>
      <c r="H592">
        <v>0</v>
      </c>
      <c r="I592" t="s">
        <v>225</v>
      </c>
    </row>
    <row r="593" spans="1:9" x14ac:dyDescent="0.25">
      <c r="A593">
        <v>2324</v>
      </c>
      <c r="B593" s="81">
        <v>44007</v>
      </c>
      <c r="C593" t="s">
        <v>182</v>
      </c>
      <c r="D593" t="s">
        <v>109</v>
      </c>
      <c r="E593">
        <v>1</v>
      </c>
      <c r="F593">
        <v>63</v>
      </c>
      <c r="H593">
        <v>0</v>
      </c>
      <c r="I593" t="s">
        <v>225</v>
      </c>
    </row>
    <row r="594" spans="1:9" x14ac:dyDescent="0.25">
      <c r="A594">
        <v>2325</v>
      </c>
      <c r="B594" s="81">
        <v>44007</v>
      </c>
      <c r="C594" t="s">
        <v>309</v>
      </c>
      <c r="D594" t="s">
        <v>78</v>
      </c>
      <c r="E594">
        <v>1</v>
      </c>
      <c r="F594">
        <v>45</v>
      </c>
      <c r="H594">
        <v>0</v>
      </c>
      <c r="I594" t="s">
        <v>225</v>
      </c>
    </row>
    <row r="595" spans="1:9" x14ac:dyDescent="0.25">
      <c r="A595">
        <v>2326</v>
      </c>
      <c r="B595" s="81">
        <v>44007</v>
      </c>
      <c r="C595" t="s">
        <v>262</v>
      </c>
      <c r="D595" t="s">
        <v>155</v>
      </c>
      <c r="E595">
        <v>1</v>
      </c>
      <c r="F595">
        <v>45</v>
      </c>
      <c r="H595">
        <v>0</v>
      </c>
      <c r="I595" t="s">
        <v>225</v>
      </c>
    </row>
    <row r="596" spans="1:9" x14ac:dyDescent="0.25">
      <c r="A596">
        <v>2327</v>
      </c>
      <c r="B596" s="81">
        <v>44007</v>
      </c>
      <c r="C596" t="s">
        <v>352</v>
      </c>
      <c r="D596" t="s">
        <v>368</v>
      </c>
      <c r="E596">
        <v>2</v>
      </c>
      <c r="F596">
        <v>98</v>
      </c>
      <c r="H596">
        <v>0</v>
      </c>
      <c r="I596" t="s">
        <v>225</v>
      </c>
    </row>
    <row r="597" spans="1:9" x14ac:dyDescent="0.25">
      <c r="A597">
        <v>2328</v>
      </c>
      <c r="B597" s="81">
        <v>44007</v>
      </c>
      <c r="C597" t="s">
        <v>258</v>
      </c>
      <c r="D597" t="s">
        <v>346</v>
      </c>
      <c r="E597">
        <v>2</v>
      </c>
      <c r="F597">
        <v>109</v>
      </c>
      <c r="H597">
        <v>0</v>
      </c>
      <c r="I597" t="s">
        <v>225</v>
      </c>
    </row>
    <row r="598" spans="1:9" x14ac:dyDescent="0.25">
      <c r="A598">
        <v>2329</v>
      </c>
      <c r="B598" s="81">
        <v>44007</v>
      </c>
      <c r="C598" t="s">
        <v>369</v>
      </c>
      <c r="D598" t="s">
        <v>193</v>
      </c>
      <c r="E598">
        <v>2</v>
      </c>
      <c r="F598">
        <v>116</v>
      </c>
      <c r="H598">
        <v>0</v>
      </c>
      <c r="I598" t="s">
        <v>225</v>
      </c>
    </row>
    <row r="599" spans="1:9" x14ac:dyDescent="0.25">
      <c r="A599">
        <v>2330</v>
      </c>
      <c r="B599" s="81">
        <v>44007</v>
      </c>
      <c r="C599" t="s">
        <v>80</v>
      </c>
      <c r="D599" t="s">
        <v>346</v>
      </c>
      <c r="E599">
        <v>2</v>
      </c>
      <c r="F599">
        <v>95</v>
      </c>
      <c r="H599">
        <v>0</v>
      </c>
      <c r="I599" t="s">
        <v>225</v>
      </c>
    </row>
    <row r="600" spans="1:9" x14ac:dyDescent="0.25">
      <c r="A600">
        <v>2331</v>
      </c>
      <c r="B600" s="81">
        <v>44007</v>
      </c>
      <c r="C600" t="s">
        <v>350</v>
      </c>
      <c r="D600" t="s">
        <v>78</v>
      </c>
      <c r="E600">
        <v>1</v>
      </c>
      <c r="F600">
        <v>56</v>
      </c>
      <c r="H600">
        <v>0</v>
      </c>
      <c r="I600" t="s">
        <v>225</v>
      </c>
    </row>
    <row r="601" spans="1:9" x14ac:dyDescent="0.25">
      <c r="A601">
        <v>2332</v>
      </c>
      <c r="B601" s="81">
        <v>44007</v>
      </c>
      <c r="C601" t="s">
        <v>347</v>
      </c>
      <c r="D601" t="s">
        <v>105</v>
      </c>
      <c r="E601">
        <v>4</v>
      </c>
      <c r="F601">
        <v>239</v>
      </c>
      <c r="H601">
        <v>0</v>
      </c>
      <c r="I601" t="s">
        <v>225</v>
      </c>
    </row>
    <row r="602" spans="1:9" x14ac:dyDescent="0.25">
      <c r="A602">
        <v>2333</v>
      </c>
      <c r="B602" s="81">
        <v>44007</v>
      </c>
      <c r="C602" t="s">
        <v>111</v>
      </c>
      <c r="D602" t="s">
        <v>370</v>
      </c>
      <c r="E602">
        <v>3</v>
      </c>
      <c r="F602">
        <v>185</v>
      </c>
      <c r="H602">
        <v>0</v>
      </c>
      <c r="I602" t="s">
        <v>225</v>
      </c>
    </row>
    <row r="603" spans="1:9" x14ac:dyDescent="0.25">
      <c r="A603">
        <v>2334</v>
      </c>
      <c r="B603" s="81">
        <v>44007</v>
      </c>
      <c r="C603" t="s">
        <v>111</v>
      </c>
      <c r="D603" t="s">
        <v>304</v>
      </c>
      <c r="E603">
        <v>2</v>
      </c>
      <c r="F603">
        <v>105</v>
      </c>
      <c r="H603">
        <v>0</v>
      </c>
      <c r="I603" t="s">
        <v>225</v>
      </c>
    </row>
    <row r="604" spans="1:9" x14ac:dyDescent="0.25">
      <c r="A604">
        <v>2335</v>
      </c>
      <c r="B604" s="81">
        <v>44007</v>
      </c>
      <c r="C604" t="s">
        <v>210</v>
      </c>
      <c r="D604" t="s">
        <v>200</v>
      </c>
      <c r="E604">
        <v>3</v>
      </c>
      <c r="F604">
        <v>174</v>
      </c>
      <c r="H604">
        <v>0</v>
      </c>
      <c r="I604" t="s">
        <v>225</v>
      </c>
    </row>
    <row r="605" spans="1:9" x14ac:dyDescent="0.25">
      <c r="A605">
        <v>2336</v>
      </c>
      <c r="B605" s="81">
        <v>44007</v>
      </c>
      <c r="C605" t="s">
        <v>335</v>
      </c>
      <c r="D605" t="s">
        <v>348</v>
      </c>
      <c r="E605">
        <v>2</v>
      </c>
      <c r="F605">
        <v>108</v>
      </c>
      <c r="H605">
        <v>0</v>
      </c>
      <c r="I605" t="s">
        <v>225</v>
      </c>
    </row>
    <row r="606" spans="1:9" x14ac:dyDescent="0.25">
      <c r="A606">
        <v>2337</v>
      </c>
      <c r="B606" s="81">
        <v>44007</v>
      </c>
      <c r="C606" t="s">
        <v>80</v>
      </c>
      <c r="D606" t="s">
        <v>363</v>
      </c>
      <c r="E606">
        <v>1</v>
      </c>
      <c r="F606">
        <v>53</v>
      </c>
      <c r="H606">
        <v>0</v>
      </c>
      <c r="I606" t="s">
        <v>225</v>
      </c>
    </row>
    <row r="607" spans="1:9" x14ac:dyDescent="0.25">
      <c r="A607">
        <v>2338</v>
      </c>
      <c r="B607" s="81">
        <v>44007</v>
      </c>
      <c r="C607" t="s">
        <v>371</v>
      </c>
      <c r="D607" t="s">
        <v>193</v>
      </c>
      <c r="E607">
        <v>1</v>
      </c>
      <c r="F607">
        <v>64</v>
      </c>
      <c r="H607">
        <v>0</v>
      </c>
      <c r="I607" t="s">
        <v>225</v>
      </c>
    </row>
    <row r="608" spans="1:9" x14ac:dyDescent="0.25">
      <c r="A608">
        <v>2339</v>
      </c>
      <c r="B608" s="81">
        <v>44007</v>
      </c>
      <c r="C608" t="s">
        <v>372</v>
      </c>
      <c r="D608" t="s">
        <v>109</v>
      </c>
      <c r="E608">
        <v>1</v>
      </c>
      <c r="F608">
        <v>48</v>
      </c>
      <c r="H608">
        <v>0</v>
      </c>
      <c r="I608" t="s">
        <v>225</v>
      </c>
    </row>
    <row r="609" spans="1:9" x14ac:dyDescent="0.25">
      <c r="A609">
        <v>2340</v>
      </c>
      <c r="B609" s="81">
        <v>44007</v>
      </c>
      <c r="C609" t="s">
        <v>71</v>
      </c>
      <c r="D609" t="s">
        <v>333</v>
      </c>
      <c r="E609">
        <v>1</v>
      </c>
      <c r="F609">
        <v>10</v>
      </c>
      <c r="H609">
        <v>0</v>
      </c>
      <c r="I609" t="s">
        <v>225</v>
      </c>
    </row>
    <row r="610" spans="1:9" x14ac:dyDescent="0.25">
      <c r="A610">
        <v>2341</v>
      </c>
      <c r="B610" s="81">
        <v>44007</v>
      </c>
      <c r="C610" t="s">
        <v>71</v>
      </c>
      <c r="D610" t="s">
        <v>373</v>
      </c>
      <c r="E610">
        <v>1</v>
      </c>
      <c r="F610">
        <v>10</v>
      </c>
      <c r="H610">
        <v>0</v>
      </c>
      <c r="I610" t="s">
        <v>225</v>
      </c>
    </row>
    <row r="611" spans="1:9" x14ac:dyDescent="0.25">
      <c r="A611">
        <v>2342</v>
      </c>
      <c r="B611" s="81">
        <v>44007</v>
      </c>
      <c r="C611" t="s">
        <v>71</v>
      </c>
      <c r="D611" t="s">
        <v>374</v>
      </c>
      <c r="E611">
        <v>1</v>
      </c>
      <c r="F611">
        <v>10</v>
      </c>
      <c r="H611">
        <v>0</v>
      </c>
      <c r="I611" t="s">
        <v>239</v>
      </c>
    </row>
    <row r="612" spans="1:9" x14ac:dyDescent="0.25">
      <c r="A612">
        <v>2343</v>
      </c>
      <c r="B612" s="81">
        <v>44008</v>
      </c>
      <c r="H612">
        <v>0</v>
      </c>
      <c r="I612" t="s">
        <v>239</v>
      </c>
    </row>
    <row r="613" spans="1:9" x14ac:dyDescent="0.25">
      <c r="A613">
        <v>2344</v>
      </c>
      <c r="B613" s="81">
        <v>44008</v>
      </c>
      <c r="C613" t="s">
        <v>375</v>
      </c>
      <c r="D613" t="s">
        <v>376</v>
      </c>
      <c r="E613">
        <v>1</v>
      </c>
      <c r="F613">
        <v>55</v>
      </c>
      <c r="G613">
        <v>8</v>
      </c>
      <c r="H613">
        <v>440</v>
      </c>
      <c r="I613" t="s">
        <v>225</v>
      </c>
    </row>
    <row r="614" spans="1:9" x14ac:dyDescent="0.25">
      <c r="A614">
        <v>2345</v>
      </c>
      <c r="B614" s="81">
        <v>44008</v>
      </c>
      <c r="C614" t="s">
        <v>375</v>
      </c>
      <c r="D614" t="s">
        <v>343</v>
      </c>
      <c r="E614">
        <v>1</v>
      </c>
      <c r="F614">
        <v>56</v>
      </c>
      <c r="G614">
        <v>8</v>
      </c>
      <c r="H614">
        <v>448</v>
      </c>
      <c r="I614" t="s">
        <v>225</v>
      </c>
    </row>
    <row r="615" spans="1:9" x14ac:dyDescent="0.25">
      <c r="A615">
        <v>2346</v>
      </c>
      <c r="B615" s="81">
        <v>44008</v>
      </c>
      <c r="C615" t="s">
        <v>377</v>
      </c>
      <c r="D615" t="s">
        <v>378</v>
      </c>
      <c r="E615">
        <v>1</v>
      </c>
      <c r="F615">
        <v>39</v>
      </c>
      <c r="G615">
        <v>10</v>
      </c>
      <c r="H615">
        <v>390</v>
      </c>
      <c r="I615" t="s">
        <v>225</v>
      </c>
    </row>
    <row r="616" spans="1:9" x14ac:dyDescent="0.25">
      <c r="A616">
        <v>2347</v>
      </c>
      <c r="B616" s="81">
        <v>44008</v>
      </c>
      <c r="C616" t="s">
        <v>377</v>
      </c>
      <c r="D616" t="s">
        <v>378</v>
      </c>
      <c r="E616">
        <v>2</v>
      </c>
      <c r="F616">
        <v>92</v>
      </c>
      <c r="G616">
        <v>10</v>
      </c>
      <c r="H616">
        <v>920</v>
      </c>
      <c r="I616" t="s">
        <v>225</v>
      </c>
    </row>
    <row r="617" spans="1:9" x14ac:dyDescent="0.25">
      <c r="A617">
        <v>2348</v>
      </c>
      <c r="B617" s="81">
        <v>44008</v>
      </c>
      <c r="C617" t="s">
        <v>379</v>
      </c>
      <c r="D617" t="s">
        <v>348</v>
      </c>
      <c r="E617">
        <v>3</v>
      </c>
      <c r="F617">
        <v>167</v>
      </c>
      <c r="G617">
        <v>10</v>
      </c>
      <c r="H617">
        <v>1670</v>
      </c>
      <c r="I617" t="s">
        <v>225</v>
      </c>
    </row>
    <row r="618" spans="1:9" x14ac:dyDescent="0.25">
      <c r="A618">
        <v>2349</v>
      </c>
      <c r="B618" s="81">
        <v>44008</v>
      </c>
      <c r="C618" t="s">
        <v>300</v>
      </c>
      <c r="D618" t="s">
        <v>380</v>
      </c>
      <c r="E618">
        <v>3</v>
      </c>
      <c r="F618">
        <v>198</v>
      </c>
      <c r="G618">
        <v>10</v>
      </c>
      <c r="H618">
        <v>1980</v>
      </c>
      <c r="I618" t="s">
        <v>225</v>
      </c>
    </row>
    <row r="619" spans="1:9" x14ac:dyDescent="0.25">
      <c r="A619">
        <v>2350</v>
      </c>
      <c r="B619" s="81">
        <v>44008</v>
      </c>
      <c r="C619" t="s">
        <v>381</v>
      </c>
      <c r="D619" t="s">
        <v>162</v>
      </c>
      <c r="E619">
        <v>2</v>
      </c>
      <c r="F619">
        <v>87</v>
      </c>
      <c r="G619">
        <v>9</v>
      </c>
      <c r="H619">
        <v>783</v>
      </c>
      <c r="I619" t="s">
        <v>225</v>
      </c>
    </row>
    <row r="620" spans="1:9" x14ac:dyDescent="0.25">
      <c r="A620">
        <v>2351</v>
      </c>
      <c r="B620" s="81">
        <v>44008</v>
      </c>
      <c r="C620" t="s">
        <v>382</v>
      </c>
      <c r="D620" t="s">
        <v>229</v>
      </c>
      <c r="E620">
        <v>3</v>
      </c>
      <c r="F620">
        <v>179</v>
      </c>
      <c r="G620">
        <v>8</v>
      </c>
      <c r="H620">
        <v>1432</v>
      </c>
      <c r="I620" t="s">
        <v>225</v>
      </c>
    </row>
    <row r="621" spans="1:9" x14ac:dyDescent="0.25">
      <c r="A621">
        <v>2352</v>
      </c>
      <c r="B621" s="81">
        <v>44008</v>
      </c>
      <c r="C621" t="s">
        <v>382</v>
      </c>
      <c r="D621" t="s">
        <v>229</v>
      </c>
      <c r="E621">
        <v>6</v>
      </c>
      <c r="F621">
        <v>313</v>
      </c>
      <c r="G621">
        <v>8</v>
      </c>
      <c r="H621">
        <v>2504</v>
      </c>
      <c r="I621" t="s">
        <v>225</v>
      </c>
    </row>
    <row r="622" spans="1:9" x14ac:dyDescent="0.25">
      <c r="A622">
        <v>2353</v>
      </c>
      <c r="B622" s="81">
        <v>44008</v>
      </c>
      <c r="C622" t="s">
        <v>89</v>
      </c>
      <c r="D622" t="s">
        <v>162</v>
      </c>
      <c r="E622">
        <v>1</v>
      </c>
      <c r="F622">
        <v>58</v>
      </c>
      <c r="G622">
        <v>9</v>
      </c>
      <c r="H622">
        <v>522</v>
      </c>
      <c r="I622" t="s">
        <v>225</v>
      </c>
    </row>
    <row r="623" spans="1:9" x14ac:dyDescent="0.25">
      <c r="A623">
        <v>2354</v>
      </c>
      <c r="B623" s="81">
        <v>44008</v>
      </c>
      <c r="C623" t="s">
        <v>89</v>
      </c>
      <c r="D623" t="s">
        <v>322</v>
      </c>
      <c r="E623">
        <v>2</v>
      </c>
      <c r="F623">
        <v>116</v>
      </c>
      <c r="G623">
        <v>10</v>
      </c>
      <c r="H623">
        <v>1160</v>
      </c>
      <c r="I623" t="s">
        <v>225</v>
      </c>
    </row>
    <row r="624" spans="1:9" x14ac:dyDescent="0.25">
      <c r="A624">
        <v>2355</v>
      </c>
      <c r="B624" s="81">
        <v>44008</v>
      </c>
      <c r="C624" t="s">
        <v>383</v>
      </c>
      <c r="D624" t="s">
        <v>162</v>
      </c>
      <c r="E624">
        <v>3</v>
      </c>
      <c r="F624">
        <v>157</v>
      </c>
      <c r="G624">
        <v>9</v>
      </c>
      <c r="H624">
        <v>1413</v>
      </c>
      <c r="I624" t="s">
        <v>225</v>
      </c>
    </row>
    <row r="625" spans="1:9" x14ac:dyDescent="0.25">
      <c r="A625">
        <v>2356</v>
      </c>
      <c r="B625" s="81">
        <v>44008</v>
      </c>
      <c r="C625" t="s">
        <v>232</v>
      </c>
      <c r="D625" t="s">
        <v>384</v>
      </c>
      <c r="E625">
        <v>2</v>
      </c>
      <c r="F625">
        <v>151</v>
      </c>
      <c r="G625">
        <v>10</v>
      </c>
      <c r="H625">
        <v>1510</v>
      </c>
      <c r="I625" t="s">
        <v>225</v>
      </c>
    </row>
    <row r="626" spans="1:9" x14ac:dyDescent="0.25">
      <c r="A626">
        <v>2357</v>
      </c>
      <c r="B626" s="81">
        <v>44008</v>
      </c>
      <c r="C626" t="s">
        <v>385</v>
      </c>
      <c r="D626" t="s">
        <v>167</v>
      </c>
      <c r="E626">
        <v>2</v>
      </c>
      <c r="F626">
        <v>105</v>
      </c>
      <c r="G626">
        <v>10</v>
      </c>
      <c r="H626">
        <v>1050</v>
      </c>
      <c r="I626" t="s">
        <v>225</v>
      </c>
    </row>
    <row r="627" spans="1:9" x14ac:dyDescent="0.25">
      <c r="A627">
        <v>2358</v>
      </c>
      <c r="B627" s="81">
        <v>44008</v>
      </c>
      <c r="C627" t="s">
        <v>249</v>
      </c>
      <c r="D627" t="s">
        <v>386</v>
      </c>
      <c r="E627">
        <v>1</v>
      </c>
      <c r="F627">
        <v>25</v>
      </c>
      <c r="G627">
        <v>10</v>
      </c>
      <c r="H627">
        <v>250</v>
      </c>
      <c r="I627" t="s">
        <v>225</v>
      </c>
    </row>
    <row r="628" spans="1:9" x14ac:dyDescent="0.25">
      <c r="A628">
        <v>2359</v>
      </c>
      <c r="B628" s="81">
        <v>44008</v>
      </c>
      <c r="C628" t="s">
        <v>387</v>
      </c>
      <c r="D628" t="s">
        <v>321</v>
      </c>
      <c r="E628">
        <v>1</v>
      </c>
      <c r="F628">
        <v>42</v>
      </c>
      <c r="G628">
        <v>10</v>
      </c>
      <c r="H628">
        <v>420</v>
      </c>
      <c r="I628" t="s">
        <v>225</v>
      </c>
    </row>
    <row r="629" spans="1:9" x14ac:dyDescent="0.25">
      <c r="A629">
        <v>2360</v>
      </c>
      <c r="B629" s="81">
        <v>44008</v>
      </c>
      <c r="C629" t="s">
        <v>138</v>
      </c>
      <c r="D629" t="s">
        <v>82</v>
      </c>
      <c r="E629">
        <v>1</v>
      </c>
      <c r="F629">
        <v>48</v>
      </c>
      <c r="G629">
        <v>10</v>
      </c>
      <c r="H629">
        <v>480</v>
      </c>
      <c r="I629" t="s">
        <v>225</v>
      </c>
    </row>
    <row r="630" spans="1:9" x14ac:dyDescent="0.25">
      <c r="A630">
        <v>2361</v>
      </c>
      <c r="B630" s="81">
        <v>44008</v>
      </c>
      <c r="C630" t="s">
        <v>246</v>
      </c>
      <c r="D630" t="s">
        <v>388</v>
      </c>
      <c r="E630">
        <v>2</v>
      </c>
      <c r="F630">
        <v>133</v>
      </c>
      <c r="G630">
        <v>10</v>
      </c>
      <c r="H630">
        <v>1330</v>
      </c>
      <c r="I630" t="s">
        <v>225</v>
      </c>
    </row>
    <row r="631" spans="1:9" x14ac:dyDescent="0.25">
      <c r="A631">
        <v>2362</v>
      </c>
      <c r="B631" s="81">
        <v>44008</v>
      </c>
      <c r="C631" t="s">
        <v>138</v>
      </c>
      <c r="D631" t="s">
        <v>162</v>
      </c>
      <c r="E631">
        <v>1</v>
      </c>
      <c r="F631">
        <v>56</v>
      </c>
      <c r="G631">
        <v>9</v>
      </c>
      <c r="H631">
        <v>504</v>
      </c>
      <c r="I631" t="s">
        <v>225</v>
      </c>
    </row>
    <row r="632" spans="1:9" x14ac:dyDescent="0.25">
      <c r="A632">
        <v>2363</v>
      </c>
      <c r="B632" s="81">
        <v>44008</v>
      </c>
      <c r="C632" t="s">
        <v>389</v>
      </c>
      <c r="D632" t="s">
        <v>343</v>
      </c>
      <c r="E632">
        <v>1</v>
      </c>
      <c r="F632">
        <v>57</v>
      </c>
      <c r="G632">
        <v>8</v>
      </c>
      <c r="H632">
        <v>456</v>
      </c>
      <c r="I632" t="s">
        <v>225</v>
      </c>
    </row>
    <row r="633" spans="1:9" x14ac:dyDescent="0.25">
      <c r="A633">
        <v>2364</v>
      </c>
      <c r="B633" s="81">
        <v>44008</v>
      </c>
      <c r="C633" t="s">
        <v>182</v>
      </c>
      <c r="D633" t="s">
        <v>109</v>
      </c>
      <c r="E633">
        <v>1</v>
      </c>
      <c r="F633">
        <v>64</v>
      </c>
      <c r="G633">
        <v>9</v>
      </c>
      <c r="H633">
        <v>576</v>
      </c>
      <c r="I633" t="s">
        <v>225</v>
      </c>
    </row>
    <row r="634" spans="1:9" x14ac:dyDescent="0.25">
      <c r="A634">
        <v>2365</v>
      </c>
      <c r="B634" s="81">
        <v>44008</v>
      </c>
      <c r="C634" t="s">
        <v>77</v>
      </c>
      <c r="D634" t="s">
        <v>200</v>
      </c>
      <c r="E634">
        <v>2</v>
      </c>
      <c r="G634">
        <v>10</v>
      </c>
      <c r="H634">
        <v>0</v>
      </c>
      <c r="I634" t="s">
        <v>225</v>
      </c>
    </row>
    <row r="635" spans="1:9" x14ac:dyDescent="0.25">
      <c r="A635">
        <v>2366</v>
      </c>
      <c r="B635" s="81">
        <v>44008</v>
      </c>
      <c r="C635" t="s">
        <v>77</v>
      </c>
      <c r="D635" t="s">
        <v>261</v>
      </c>
      <c r="E635">
        <v>2</v>
      </c>
      <c r="G635">
        <v>10</v>
      </c>
      <c r="H635">
        <v>0</v>
      </c>
      <c r="I635" t="s">
        <v>225</v>
      </c>
    </row>
    <row r="636" spans="1:9" x14ac:dyDescent="0.25">
      <c r="A636">
        <v>2367</v>
      </c>
      <c r="B636" s="81">
        <v>44008</v>
      </c>
      <c r="H636">
        <v>0</v>
      </c>
      <c r="I636" t="s">
        <v>225</v>
      </c>
    </row>
    <row r="637" spans="1:9" x14ac:dyDescent="0.25">
      <c r="A637">
        <v>2368</v>
      </c>
      <c r="B637" s="81">
        <v>44008</v>
      </c>
      <c r="C637" t="s">
        <v>249</v>
      </c>
      <c r="D637" t="s">
        <v>282</v>
      </c>
      <c r="E637">
        <v>1</v>
      </c>
      <c r="F637">
        <v>44</v>
      </c>
      <c r="G637">
        <v>10</v>
      </c>
      <c r="H637">
        <v>440</v>
      </c>
      <c r="I637" t="s">
        <v>225</v>
      </c>
    </row>
    <row r="638" spans="1:9" x14ac:dyDescent="0.25">
      <c r="A638">
        <v>2369</v>
      </c>
      <c r="B638" s="81">
        <v>44008</v>
      </c>
      <c r="C638" t="s">
        <v>323</v>
      </c>
      <c r="D638" t="s">
        <v>390</v>
      </c>
      <c r="E638">
        <v>1</v>
      </c>
      <c r="F638">
        <v>40</v>
      </c>
      <c r="G638">
        <v>10</v>
      </c>
      <c r="H638">
        <v>400</v>
      </c>
      <c r="I638" t="s">
        <v>225</v>
      </c>
    </row>
    <row r="639" spans="1:9" x14ac:dyDescent="0.25">
      <c r="A639">
        <v>2370</v>
      </c>
      <c r="B639" s="81">
        <v>44008</v>
      </c>
      <c r="C639" t="s">
        <v>391</v>
      </c>
      <c r="D639" t="s">
        <v>392</v>
      </c>
      <c r="E639">
        <v>5</v>
      </c>
      <c r="F639">
        <v>250</v>
      </c>
      <c r="G639">
        <v>8</v>
      </c>
      <c r="H639">
        <v>2000</v>
      </c>
      <c r="I639" t="s">
        <v>225</v>
      </c>
    </row>
    <row r="640" spans="1:9" x14ac:dyDescent="0.25">
      <c r="A640">
        <v>2371</v>
      </c>
      <c r="B640" s="81">
        <v>44008</v>
      </c>
      <c r="C640" t="s">
        <v>323</v>
      </c>
      <c r="D640">
        <v>7715841135</v>
      </c>
      <c r="E640">
        <v>1</v>
      </c>
      <c r="F640">
        <v>56</v>
      </c>
      <c r="G640">
        <v>10</v>
      </c>
      <c r="H640">
        <v>560</v>
      </c>
      <c r="I640" t="s">
        <v>225</v>
      </c>
    </row>
    <row r="641" spans="1:9" x14ac:dyDescent="0.25">
      <c r="A641">
        <v>2372</v>
      </c>
      <c r="B641" s="81">
        <v>44008</v>
      </c>
      <c r="C641" t="s">
        <v>249</v>
      </c>
      <c r="D641" t="s">
        <v>155</v>
      </c>
      <c r="E641">
        <v>2</v>
      </c>
      <c r="F641">
        <v>89</v>
      </c>
      <c r="G641">
        <v>10</v>
      </c>
      <c r="H641">
        <v>890</v>
      </c>
      <c r="I641" t="s">
        <v>225</v>
      </c>
    </row>
    <row r="642" spans="1:9" x14ac:dyDescent="0.25">
      <c r="A642">
        <v>2373</v>
      </c>
      <c r="B642" s="81">
        <v>44008</v>
      </c>
      <c r="C642" t="s">
        <v>375</v>
      </c>
      <c r="D642" t="s">
        <v>343</v>
      </c>
      <c r="E642">
        <v>4</v>
      </c>
      <c r="F642">
        <v>218</v>
      </c>
      <c r="G642">
        <v>8</v>
      </c>
      <c r="H642">
        <v>1744</v>
      </c>
      <c r="I642" t="s">
        <v>225</v>
      </c>
    </row>
    <row r="643" spans="1:9" x14ac:dyDescent="0.25">
      <c r="A643">
        <v>2374</v>
      </c>
      <c r="B643" s="81">
        <v>44008</v>
      </c>
      <c r="C643" t="s">
        <v>389</v>
      </c>
      <c r="D643" t="s">
        <v>343</v>
      </c>
      <c r="E643">
        <v>1</v>
      </c>
      <c r="F643">
        <v>56</v>
      </c>
      <c r="G643">
        <v>8</v>
      </c>
      <c r="H643">
        <v>448</v>
      </c>
      <c r="I643" t="s">
        <v>225</v>
      </c>
    </row>
    <row r="644" spans="1:9" x14ac:dyDescent="0.25">
      <c r="A644">
        <v>2375</v>
      </c>
      <c r="B644" s="81">
        <v>44008</v>
      </c>
      <c r="C644" t="s">
        <v>375</v>
      </c>
      <c r="D644" t="s">
        <v>343</v>
      </c>
      <c r="E644">
        <v>1</v>
      </c>
      <c r="F644">
        <v>56</v>
      </c>
      <c r="G644">
        <v>8</v>
      </c>
      <c r="H644">
        <v>448</v>
      </c>
      <c r="I644" t="s">
        <v>225</v>
      </c>
    </row>
    <row r="645" spans="1:9" x14ac:dyDescent="0.25">
      <c r="A645">
        <v>2376</v>
      </c>
      <c r="B645" s="81">
        <v>44008</v>
      </c>
      <c r="C645" t="s">
        <v>389</v>
      </c>
      <c r="D645" t="s">
        <v>343</v>
      </c>
      <c r="E645">
        <v>1</v>
      </c>
      <c r="F645">
        <v>56</v>
      </c>
      <c r="G645">
        <v>8</v>
      </c>
      <c r="H645">
        <v>448</v>
      </c>
      <c r="I645" t="s">
        <v>225</v>
      </c>
    </row>
    <row r="646" spans="1:9" x14ac:dyDescent="0.25">
      <c r="A646">
        <v>2377</v>
      </c>
      <c r="B646" s="81">
        <v>44008</v>
      </c>
      <c r="C646" t="s">
        <v>195</v>
      </c>
      <c r="D646" t="s">
        <v>393</v>
      </c>
      <c r="E646">
        <v>1</v>
      </c>
      <c r="F646">
        <v>53</v>
      </c>
      <c r="G646">
        <v>10</v>
      </c>
      <c r="H646">
        <v>530</v>
      </c>
      <c r="I646" t="s">
        <v>225</v>
      </c>
    </row>
    <row r="647" spans="1:9" x14ac:dyDescent="0.25">
      <c r="A647">
        <v>2378</v>
      </c>
      <c r="B647" s="81">
        <v>44008</v>
      </c>
      <c r="C647" t="s">
        <v>195</v>
      </c>
      <c r="D647" t="s">
        <v>162</v>
      </c>
      <c r="E647">
        <v>1</v>
      </c>
      <c r="F647">
        <v>55</v>
      </c>
      <c r="G647">
        <v>9</v>
      </c>
      <c r="H647">
        <v>495</v>
      </c>
      <c r="I647" t="s">
        <v>225</v>
      </c>
    </row>
    <row r="648" spans="1:9" x14ac:dyDescent="0.25">
      <c r="A648">
        <v>2379</v>
      </c>
      <c r="B648" s="81">
        <v>44008</v>
      </c>
      <c r="C648" t="s">
        <v>359</v>
      </c>
      <c r="D648" t="s">
        <v>360</v>
      </c>
      <c r="E648">
        <v>15</v>
      </c>
      <c r="F648">
        <v>835</v>
      </c>
      <c r="G648">
        <v>10</v>
      </c>
      <c r="H648">
        <v>8350</v>
      </c>
      <c r="I648" t="s">
        <v>225</v>
      </c>
    </row>
    <row r="649" spans="1:9" x14ac:dyDescent="0.25">
      <c r="A649">
        <v>2380</v>
      </c>
      <c r="B649" s="81">
        <v>44008</v>
      </c>
      <c r="C649" t="s">
        <v>249</v>
      </c>
      <c r="D649" t="s">
        <v>146</v>
      </c>
      <c r="E649">
        <v>2</v>
      </c>
      <c r="F649">
        <v>75</v>
      </c>
      <c r="G649">
        <v>10</v>
      </c>
      <c r="H649">
        <v>750</v>
      </c>
      <c r="I649" t="s">
        <v>225</v>
      </c>
    </row>
    <row r="650" spans="1:9" x14ac:dyDescent="0.25">
      <c r="A650">
        <v>2381</v>
      </c>
      <c r="B650" s="81">
        <v>44008</v>
      </c>
      <c r="C650" t="s">
        <v>249</v>
      </c>
      <c r="D650" t="s">
        <v>146</v>
      </c>
      <c r="E650">
        <v>1</v>
      </c>
      <c r="F650">
        <v>25</v>
      </c>
      <c r="G650">
        <v>10</v>
      </c>
      <c r="H650">
        <v>250</v>
      </c>
      <c r="I650" t="s">
        <v>225</v>
      </c>
    </row>
    <row r="651" spans="1:9" x14ac:dyDescent="0.25">
      <c r="A651">
        <v>2382</v>
      </c>
      <c r="B651" s="81">
        <v>44008</v>
      </c>
      <c r="C651" t="s">
        <v>394</v>
      </c>
      <c r="D651" t="s">
        <v>343</v>
      </c>
      <c r="E651">
        <v>8</v>
      </c>
      <c r="F651">
        <v>449</v>
      </c>
      <c r="G651">
        <v>8</v>
      </c>
      <c r="H651">
        <v>3592</v>
      </c>
      <c r="I651" t="s">
        <v>225</v>
      </c>
    </row>
    <row r="652" spans="1:9" x14ac:dyDescent="0.25">
      <c r="A652">
        <v>2383</v>
      </c>
      <c r="B652" s="81">
        <v>44008</v>
      </c>
      <c r="C652" t="s">
        <v>394</v>
      </c>
      <c r="D652" t="s">
        <v>343</v>
      </c>
      <c r="E652">
        <v>7</v>
      </c>
      <c r="F652">
        <v>307</v>
      </c>
      <c r="G652">
        <v>8</v>
      </c>
      <c r="H652">
        <v>2456</v>
      </c>
      <c r="I652" t="s">
        <v>225</v>
      </c>
    </row>
    <row r="653" spans="1:9" x14ac:dyDescent="0.25">
      <c r="A653">
        <v>2384</v>
      </c>
      <c r="B653" s="81">
        <v>44008</v>
      </c>
      <c r="C653" t="s">
        <v>134</v>
      </c>
      <c r="D653" t="s">
        <v>109</v>
      </c>
      <c r="E653">
        <v>1</v>
      </c>
      <c r="F653">
        <v>43</v>
      </c>
      <c r="G653">
        <v>9</v>
      </c>
      <c r="H653">
        <v>387</v>
      </c>
      <c r="I653" t="s">
        <v>225</v>
      </c>
    </row>
    <row r="654" spans="1:9" x14ac:dyDescent="0.25">
      <c r="A654">
        <v>2385</v>
      </c>
      <c r="B654" s="81">
        <v>44008</v>
      </c>
      <c r="C654" t="s">
        <v>134</v>
      </c>
      <c r="D654" t="s">
        <v>101</v>
      </c>
      <c r="E654">
        <v>1</v>
      </c>
      <c r="F654">
        <v>52</v>
      </c>
      <c r="G654">
        <v>10</v>
      </c>
      <c r="H654">
        <v>520</v>
      </c>
      <c r="I654" t="s">
        <v>225</v>
      </c>
    </row>
    <row r="655" spans="1:9" x14ac:dyDescent="0.25">
      <c r="A655">
        <v>2386</v>
      </c>
      <c r="B655" s="81">
        <v>44008</v>
      </c>
      <c r="C655" t="s">
        <v>134</v>
      </c>
      <c r="D655" t="s">
        <v>218</v>
      </c>
      <c r="E655">
        <v>1</v>
      </c>
      <c r="F655">
        <v>43</v>
      </c>
      <c r="G655">
        <v>10</v>
      </c>
      <c r="H655">
        <v>430</v>
      </c>
      <c r="I655" t="s">
        <v>225</v>
      </c>
    </row>
    <row r="656" spans="1:9" x14ac:dyDescent="0.25">
      <c r="A656">
        <v>2387</v>
      </c>
      <c r="B656" s="81">
        <v>44008</v>
      </c>
      <c r="C656" t="s">
        <v>138</v>
      </c>
      <c r="D656" t="s">
        <v>78</v>
      </c>
      <c r="E656">
        <v>1</v>
      </c>
      <c r="F656">
        <v>48</v>
      </c>
      <c r="G656">
        <v>10</v>
      </c>
      <c r="H656">
        <v>480</v>
      </c>
      <c r="I656" t="s">
        <v>225</v>
      </c>
    </row>
    <row r="657" spans="1:9" x14ac:dyDescent="0.25">
      <c r="A657">
        <v>2388</v>
      </c>
      <c r="B657" s="81">
        <v>44008</v>
      </c>
      <c r="C657" t="s">
        <v>111</v>
      </c>
      <c r="D657" t="s">
        <v>395</v>
      </c>
      <c r="E657">
        <v>1</v>
      </c>
      <c r="F657">
        <v>45</v>
      </c>
      <c r="G657">
        <v>10</v>
      </c>
      <c r="H657">
        <v>450</v>
      </c>
      <c r="I657" t="s">
        <v>225</v>
      </c>
    </row>
    <row r="658" spans="1:9" x14ac:dyDescent="0.25">
      <c r="A658">
        <v>2389</v>
      </c>
      <c r="B658" s="81">
        <v>44008</v>
      </c>
      <c r="C658" t="s">
        <v>111</v>
      </c>
      <c r="D658" t="s">
        <v>396</v>
      </c>
      <c r="E658">
        <v>1</v>
      </c>
      <c r="F658">
        <v>44</v>
      </c>
      <c r="G658">
        <v>10</v>
      </c>
      <c r="H658">
        <v>440</v>
      </c>
      <c r="I658" t="s">
        <v>225</v>
      </c>
    </row>
    <row r="659" spans="1:9" x14ac:dyDescent="0.25">
      <c r="A659">
        <v>2390</v>
      </c>
      <c r="B659" s="81">
        <v>44008</v>
      </c>
      <c r="C659" t="s">
        <v>111</v>
      </c>
      <c r="D659" t="s">
        <v>397</v>
      </c>
      <c r="E659">
        <v>2</v>
      </c>
      <c r="F659">
        <v>118</v>
      </c>
      <c r="G659">
        <v>10</v>
      </c>
      <c r="H659">
        <v>1180</v>
      </c>
      <c r="I659" t="s">
        <v>225</v>
      </c>
    </row>
    <row r="660" spans="1:9" x14ac:dyDescent="0.25">
      <c r="A660">
        <v>2391</v>
      </c>
      <c r="B660" s="81">
        <v>44008</v>
      </c>
      <c r="C660" t="s">
        <v>369</v>
      </c>
      <c r="D660" t="s">
        <v>193</v>
      </c>
      <c r="E660">
        <v>1</v>
      </c>
      <c r="F660">
        <v>48</v>
      </c>
      <c r="G660">
        <v>9</v>
      </c>
      <c r="H660">
        <v>432</v>
      </c>
      <c r="I660" t="s">
        <v>225</v>
      </c>
    </row>
    <row r="661" spans="1:9" x14ac:dyDescent="0.25">
      <c r="A661">
        <v>2392</v>
      </c>
      <c r="B661" s="81">
        <v>44008</v>
      </c>
      <c r="C661" t="s">
        <v>139</v>
      </c>
      <c r="D661" t="s">
        <v>333</v>
      </c>
      <c r="E661">
        <v>1</v>
      </c>
      <c r="F661">
        <v>10</v>
      </c>
      <c r="G661">
        <v>9</v>
      </c>
      <c r="H661">
        <v>90</v>
      </c>
      <c r="I661" t="s">
        <v>225</v>
      </c>
    </row>
    <row r="662" spans="1:9" x14ac:dyDescent="0.25">
      <c r="A662">
        <v>2393</v>
      </c>
      <c r="B662" s="81">
        <v>44008</v>
      </c>
      <c r="C662" t="s">
        <v>71</v>
      </c>
      <c r="D662" t="s">
        <v>380</v>
      </c>
      <c r="E662">
        <v>1</v>
      </c>
      <c r="F662">
        <v>23</v>
      </c>
      <c r="G662">
        <v>10</v>
      </c>
      <c r="H662">
        <v>230</v>
      </c>
      <c r="I662" t="s">
        <v>225</v>
      </c>
    </row>
    <row r="663" spans="1:9" x14ac:dyDescent="0.25">
      <c r="A663">
        <v>2394</v>
      </c>
      <c r="B663" s="81">
        <v>44008</v>
      </c>
      <c r="C663" t="s">
        <v>69</v>
      </c>
      <c r="D663" t="s">
        <v>200</v>
      </c>
      <c r="E663">
        <v>2</v>
      </c>
      <c r="F663">
        <v>98</v>
      </c>
      <c r="G663">
        <v>10</v>
      </c>
      <c r="H663">
        <v>980</v>
      </c>
      <c r="I663" t="s">
        <v>225</v>
      </c>
    </row>
    <row r="664" spans="1:9" x14ac:dyDescent="0.25">
      <c r="A664">
        <v>2395</v>
      </c>
      <c r="B664" s="81">
        <v>44008</v>
      </c>
      <c r="C664" t="s">
        <v>80</v>
      </c>
      <c r="D664" t="s">
        <v>120</v>
      </c>
      <c r="E664">
        <v>2</v>
      </c>
      <c r="F664">
        <v>97</v>
      </c>
      <c r="G664">
        <v>10</v>
      </c>
      <c r="H664">
        <v>970</v>
      </c>
      <c r="I664" t="s">
        <v>225</v>
      </c>
    </row>
    <row r="665" spans="1:9" x14ac:dyDescent="0.25">
      <c r="A665">
        <v>2396</v>
      </c>
      <c r="B665" s="81">
        <v>44008</v>
      </c>
      <c r="C665" t="s">
        <v>80</v>
      </c>
      <c r="D665" t="s">
        <v>261</v>
      </c>
      <c r="E665">
        <v>1</v>
      </c>
      <c r="F665">
        <v>48</v>
      </c>
      <c r="G665">
        <v>10</v>
      </c>
      <c r="H665">
        <v>480</v>
      </c>
      <c r="I665" t="s">
        <v>225</v>
      </c>
    </row>
    <row r="666" spans="1:9" x14ac:dyDescent="0.25">
      <c r="A666">
        <v>2397</v>
      </c>
      <c r="B666" s="81">
        <v>44008</v>
      </c>
      <c r="C666" t="s">
        <v>249</v>
      </c>
      <c r="D666" t="s">
        <v>398</v>
      </c>
      <c r="E666">
        <v>1</v>
      </c>
      <c r="F666">
        <v>45</v>
      </c>
      <c r="G666">
        <v>10</v>
      </c>
      <c r="H666">
        <v>450</v>
      </c>
      <c r="I666" t="s">
        <v>225</v>
      </c>
    </row>
    <row r="667" spans="1:9" x14ac:dyDescent="0.25">
      <c r="A667">
        <v>2398</v>
      </c>
      <c r="B667" s="81">
        <v>44008</v>
      </c>
      <c r="C667" t="s">
        <v>399</v>
      </c>
      <c r="D667" t="s">
        <v>200</v>
      </c>
      <c r="E667">
        <v>2</v>
      </c>
      <c r="F667">
        <v>80</v>
      </c>
      <c r="G667">
        <v>10</v>
      </c>
      <c r="H667">
        <v>800</v>
      </c>
      <c r="I667" t="s">
        <v>225</v>
      </c>
    </row>
    <row r="668" spans="1:9" x14ac:dyDescent="0.25">
      <c r="A668">
        <v>2399</v>
      </c>
      <c r="B668" s="81">
        <v>44008</v>
      </c>
      <c r="C668" t="s">
        <v>399</v>
      </c>
      <c r="D668" t="s">
        <v>261</v>
      </c>
      <c r="E668">
        <v>2</v>
      </c>
      <c r="F668">
        <v>115</v>
      </c>
      <c r="G668">
        <v>10</v>
      </c>
      <c r="H668">
        <v>1150</v>
      </c>
      <c r="I668" t="s">
        <v>239</v>
      </c>
    </row>
    <row r="669" spans="1:9" x14ac:dyDescent="0.25">
      <c r="A669">
        <v>2400</v>
      </c>
      <c r="B669" s="81">
        <v>44009</v>
      </c>
      <c r="C669" t="s">
        <v>400</v>
      </c>
      <c r="D669" t="s">
        <v>401</v>
      </c>
      <c r="E669">
        <v>1</v>
      </c>
      <c r="F669">
        <v>25</v>
      </c>
      <c r="G669">
        <v>10</v>
      </c>
      <c r="H669">
        <v>250</v>
      </c>
      <c r="I669" t="s">
        <v>225</v>
      </c>
    </row>
    <row r="670" spans="1:9" x14ac:dyDescent="0.25">
      <c r="A670">
        <v>2401</v>
      </c>
      <c r="B670" s="81">
        <v>44009</v>
      </c>
      <c r="C670" t="s">
        <v>291</v>
      </c>
      <c r="D670" t="s">
        <v>402</v>
      </c>
      <c r="E670">
        <v>1</v>
      </c>
      <c r="F670">
        <v>52</v>
      </c>
      <c r="G670">
        <v>10</v>
      </c>
      <c r="H670">
        <v>520</v>
      </c>
      <c r="I670" t="s">
        <v>239</v>
      </c>
    </row>
    <row r="671" spans="1:9" x14ac:dyDescent="0.25">
      <c r="A671">
        <v>2402</v>
      </c>
      <c r="B671" s="81">
        <v>44009</v>
      </c>
      <c r="C671" t="s">
        <v>403</v>
      </c>
      <c r="D671" t="s">
        <v>404</v>
      </c>
      <c r="E671">
        <v>2</v>
      </c>
      <c r="F671">
        <v>86</v>
      </c>
      <c r="G671">
        <v>10</v>
      </c>
      <c r="H671">
        <v>860</v>
      </c>
      <c r="I671" t="s">
        <v>239</v>
      </c>
    </row>
    <row r="672" spans="1:9" x14ac:dyDescent="0.25">
      <c r="A672">
        <v>2403</v>
      </c>
      <c r="B672" s="81">
        <v>44009</v>
      </c>
      <c r="C672" t="s">
        <v>182</v>
      </c>
      <c r="D672" t="s">
        <v>109</v>
      </c>
      <c r="E672">
        <v>4</v>
      </c>
      <c r="F672">
        <v>248</v>
      </c>
      <c r="G672">
        <v>9</v>
      </c>
      <c r="H672">
        <v>2232</v>
      </c>
      <c r="I672" t="s">
        <v>225</v>
      </c>
    </row>
    <row r="673" spans="1:9" x14ac:dyDescent="0.25">
      <c r="A673">
        <v>2404</v>
      </c>
      <c r="B673" s="81">
        <v>44009</v>
      </c>
      <c r="C673" t="s">
        <v>182</v>
      </c>
      <c r="D673" t="s">
        <v>109</v>
      </c>
      <c r="E673">
        <v>4</v>
      </c>
      <c r="F673">
        <v>249</v>
      </c>
      <c r="G673">
        <v>9</v>
      </c>
      <c r="H673">
        <v>2241</v>
      </c>
      <c r="I673" t="s">
        <v>225</v>
      </c>
    </row>
    <row r="674" spans="1:9" x14ac:dyDescent="0.25">
      <c r="A674">
        <v>2405</v>
      </c>
      <c r="B674" s="81">
        <v>44009</v>
      </c>
      <c r="C674" t="s">
        <v>182</v>
      </c>
      <c r="D674" t="s">
        <v>109</v>
      </c>
      <c r="E674">
        <v>2</v>
      </c>
      <c r="F674">
        <v>127</v>
      </c>
      <c r="G674">
        <v>9</v>
      </c>
      <c r="H674">
        <v>1143</v>
      </c>
      <c r="I674" t="s">
        <v>239</v>
      </c>
    </row>
    <row r="675" spans="1:9" x14ac:dyDescent="0.25">
      <c r="A675">
        <v>2406</v>
      </c>
      <c r="B675" s="81">
        <v>44009</v>
      </c>
      <c r="C675" t="s">
        <v>214</v>
      </c>
      <c r="D675" t="s">
        <v>351</v>
      </c>
      <c r="E675">
        <v>6</v>
      </c>
      <c r="F675">
        <v>354</v>
      </c>
      <c r="G675">
        <v>10</v>
      </c>
      <c r="H675">
        <v>3540</v>
      </c>
      <c r="I675" t="s">
        <v>239</v>
      </c>
    </row>
    <row r="676" spans="1:9" x14ac:dyDescent="0.25">
      <c r="A676">
        <v>2407</v>
      </c>
      <c r="B676" s="81">
        <v>44009</v>
      </c>
      <c r="C676" t="s">
        <v>214</v>
      </c>
      <c r="D676" t="s">
        <v>405</v>
      </c>
      <c r="E676">
        <v>3</v>
      </c>
      <c r="F676">
        <v>208</v>
      </c>
      <c r="G676">
        <v>10</v>
      </c>
      <c r="H676">
        <v>2080</v>
      </c>
      <c r="I676" t="s">
        <v>225</v>
      </c>
    </row>
    <row r="677" spans="1:9" x14ac:dyDescent="0.25">
      <c r="A677">
        <v>2408</v>
      </c>
      <c r="B677" s="81">
        <v>44009</v>
      </c>
      <c r="C677" t="s">
        <v>317</v>
      </c>
      <c r="D677" t="s">
        <v>318</v>
      </c>
      <c r="E677">
        <v>5</v>
      </c>
      <c r="F677">
        <v>64</v>
      </c>
      <c r="G677">
        <v>0</v>
      </c>
      <c r="H677">
        <v>0</v>
      </c>
      <c r="I677" t="s">
        <v>225</v>
      </c>
    </row>
    <row r="678" spans="1:9" x14ac:dyDescent="0.25">
      <c r="A678">
        <v>2409</v>
      </c>
      <c r="B678" s="81">
        <v>44009</v>
      </c>
      <c r="C678" t="s">
        <v>406</v>
      </c>
      <c r="D678" t="s">
        <v>407</v>
      </c>
      <c r="E678">
        <v>5</v>
      </c>
      <c r="F678">
        <v>268</v>
      </c>
      <c r="G678">
        <v>9</v>
      </c>
      <c r="H678">
        <v>2412</v>
      </c>
      <c r="I678" t="s">
        <v>225</v>
      </c>
    </row>
    <row r="679" spans="1:9" x14ac:dyDescent="0.25">
      <c r="A679">
        <v>2410</v>
      </c>
      <c r="B679" s="81">
        <v>44009</v>
      </c>
      <c r="C679" t="s">
        <v>74</v>
      </c>
      <c r="D679" t="s">
        <v>200</v>
      </c>
      <c r="E679">
        <v>2</v>
      </c>
      <c r="F679">
        <v>92</v>
      </c>
      <c r="G679">
        <v>10</v>
      </c>
      <c r="H679">
        <v>920</v>
      </c>
      <c r="I679" t="s">
        <v>225</v>
      </c>
    </row>
    <row r="680" spans="1:9" x14ac:dyDescent="0.25">
      <c r="A680">
        <v>2411</v>
      </c>
      <c r="B680" s="81">
        <v>44009</v>
      </c>
      <c r="C680" t="s">
        <v>359</v>
      </c>
      <c r="D680" t="s">
        <v>360</v>
      </c>
      <c r="E680">
        <v>21</v>
      </c>
      <c r="F680">
        <v>1059</v>
      </c>
      <c r="G680">
        <v>10</v>
      </c>
      <c r="H680">
        <v>10590</v>
      </c>
      <c r="I680" t="s">
        <v>225</v>
      </c>
    </row>
    <row r="681" spans="1:9" x14ac:dyDescent="0.25">
      <c r="A681">
        <v>2412</v>
      </c>
      <c r="B681" s="81">
        <v>44009</v>
      </c>
      <c r="C681" t="s">
        <v>389</v>
      </c>
      <c r="D681" t="s">
        <v>229</v>
      </c>
      <c r="E681">
        <v>3</v>
      </c>
      <c r="F681">
        <v>173</v>
      </c>
      <c r="G681">
        <v>8</v>
      </c>
      <c r="H681">
        <v>1384</v>
      </c>
      <c r="I681" t="s">
        <v>225</v>
      </c>
    </row>
    <row r="682" spans="1:9" x14ac:dyDescent="0.25">
      <c r="A682">
        <v>2413</v>
      </c>
      <c r="B682" s="81">
        <v>44009</v>
      </c>
      <c r="C682" t="s">
        <v>260</v>
      </c>
      <c r="D682" t="s">
        <v>331</v>
      </c>
      <c r="E682">
        <v>1</v>
      </c>
      <c r="F682">
        <v>42</v>
      </c>
      <c r="G682">
        <v>10</v>
      </c>
      <c r="H682">
        <v>420</v>
      </c>
      <c r="I682" t="s">
        <v>225</v>
      </c>
    </row>
    <row r="683" spans="1:9" x14ac:dyDescent="0.25">
      <c r="A683">
        <v>2414</v>
      </c>
      <c r="B683" s="81">
        <v>44009</v>
      </c>
      <c r="C683" t="s">
        <v>408</v>
      </c>
      <c r="D683" t="s">
        <v>360</v>
      </c>
      <c r="E683">
        <v>1</v>
      </c>
      <c r="F683">
        <v>43</v>
      </c>
      <c r="G683">
        <v>10</v>
      </c>
      <c r="H683">
        <v>430</v>
      </c>
      <c r="I683" t="s">
        <v>225</v>
      </c>
    </row>
    <row r="684" spans="1:9" x14ac:dyDescent="0.25">
      <c r="A684">
        <v>2415</v>
      </c>
      <c r="B684" s="81">
        <v>44009</v>
      </c>
      <c r="C684" t="s">
        <v>208</v>
      </c>
      <c r="D684" t="s">
        <v>409</v>
      </c>
      <c r="E684">
        <v>1</v>
      </c>
      <c r="F684">
        <v>62</v>
      </c>
      <c r="G684">
        <v>15</v>
      </c>
      <c r="H684">
        <v>930</v>
      </c>
      <c r="I684" t="s">
        <v>225</v>
      </c>
    </row>
    <row r="685" spans="1:9" x14ac:dyDescent="0.25">
      <c r="A685">
        <v>2416</v>
      </c>
      <c r="B685" s="81">
        <v>44009</v>
      </c>
      <c r="C685" t="s">
        <v>359</v>
      </c>
      <c r="D685" t="s">
        <v>360</v>
      </c>
      <c r="E685">
        <v>9</v>
      </c>
      <c r="F685">
        <v>520</v>
      </c>
      <c r="G685">
        <v>10</v>
      </c>
      <c r="H685">
        <v>5200</v>
      </c>
      <c r="I685" t="s">
        <v>225</v>
      </c>
    </row>
    <row r="686" spans="1:9" x14ac:dyDescent="0.25">
      <c r="A686">
        <v>2417</v>
      </c>
      <c r="B686" s="81">
        <v>44009</v>
      </c>
      <c r="C686" t="s">
        <v>410</v>
      </c>
      <c r="D686" t="s">
        <v>219</v>
      </c>
      <c r="E686">
        <v>3</v>
      </c>
      <c r="F686">
        <v>194</v>
      </c>
      <c r="G686">
        <v>10</v>
      </c>
      <c r="H686">
        <v>1940</v>
      </c>
      <c r="I686" t="s">
        <v>225</v>
      </c>
    </row>
    <row r="687" spans="1:9" x14ac:dyDescent="0.25">
      <c r="A687">
        <v>2418</v>
      </c>
      <c r="B687" s="81">
        <v>44009</v>
      </c>
      <c r="C687" t="s">
        <v>411</v>
      </c>
      <c r="D687" t="s">
        <v>321</v>
      </c>
      <c r="E687">
        <v>1</v>
      </c>
      <c r="F687">
        <v>54</v>
      </c>
      <c r="G687">
        <v>10</v>
      </c>
      <c r="H687">
        <v>540</v>
      </c>
      <c r="I687" t="s">
        <v>225</v>
      </c>
    </row>
    <row r="688" spans="1:9" x14ac:dyDescent="0.25">
      <c r="A688">
        <v>2419</v>
      </c>
      <c r="B688" s="81">
        <v>44009</v>
      </c>
      <c r="C688" t="s">
        <v>249</v>
      </c>
      <c r="D688" t="s">
        <v>282</v>
      </c>
      <c r="E688">
        <v>1</v>
      </c>
      <c r="F688">
        <v>58</v>
      </c>
      <c r="G688">
        <v>10</v>
      </c>
      <c r="H688">
        <v>580</v>
      </c>
      <c r="I688" t="s">
        <v>225</v>
      </c>
    </row>
    <row r="689" spans="1:9" x14ac:dyDescent="0.25">
      <c r="A689">
        <v>2420</v>
      </c>
      <c r="B689" s="81">
        <v>44009</v>
      </c>
      <c r="C689" t="s">
        <v>182</v>
      </c>
      <c r="D689" t="s">
        <v>412</v>
      </c>
      <c r="E689">
        <v>4</v>
      </c>
      <c r="F689">
        <v>228</v>
      </c>
      <c r="G689">
        <v>10</v>
      </c>
      <c r="H689">
        <v>2280</v>
      </c>
      <c r="I689" t="s">
        <v>225</v>
      </c>
    </row>
    <row r="690" spans="1:9" x14ac:dyDescent="0.25">
      <c r="A690">
        <v>2421</v>
      </c>
      <c r="B690" s="81">
        <v>44009</v>
      </c>
      <c r="C690" t="s">
        <v>258</v>
      </c>
      <c r="D690" t="s">
        <v>78</v>
      </c>
      <c r="E690">
        <v>2</v>
      </c>
      <c r="F690">
        <v>82</v>
      </c>
      <c r="G690">
        <v>10</v>
      </c>
      <c r="H690">
        <v>820</v>
      </c>
      <c r="I690" t="s">
        <v>225</v>
      </c>
    </row>
    <row r="691" spans="1:9" x14ac:dyDescent="0.25">
      <c r="A691">
        <v>2422</v>
      </c>
      <c r="B691" s="81">
        <v>44009</v>
      </c>
      <c r="C691" t="s">
        <v>291</v>
      </c>
      <c r="D691" t="s">
        <v>109</v>
      </c>
      <c r="E691">
        <v>1</v>
      </c>
      <c r="F691">
        <v>60</v>
      </c>
      <c r="G691">
        <v>9</v>
      </c>
      <c r="H691">
        <v>540</v>
      </c>
      <c r="I691" t="s">
        <v>225</v>
      </c>
    </row>
    <row r="692" spans="1:9" x14ac:dyDescent="0.25">
      <c r="A692">
        <v>2423</v>
      </c>
      <c r="B692" s="81">
        <v>44009</v>
      </c>
      <c r="C692" t="s">
        <v>249</v>
      </c>
      <c r="D692" t="s">
        <v>162</v>
      </c>
      <c r="E692">
        <v>1</v>
      </c>
      <c r="F692">
        <v>45</v>
      </c>
      <c r="G692">
        <v>8</v>
      </c>
      <c r="H692">
        <v>360</v>
      </c>
      <c r="I692" t="s">
        <v>225</v>
      </c>
    </row>
    <row r="693" spans="1:9" x14ac:dyDescent="0.25">
      <c r="A693">
        <v>2424</v>
      </c>
      <c r="B693" s="81">
        <v>44009</v>
      </c>
      <c r="C693" t="s">
        <v>413</v>
      </c>
      <c r="D693" t="s">
        <v>155</v>
      </c>
      <c r="E693">
        <v>1</v>
      </c>
      <c r="F693">
        <v>43</v>
      </c>
      <c r="G693">
        <v>10</v>
      </c>
      <c r="H693">
        <v>430</v>
      </c>
      <c r="I693" t="s">
        <v>225</v>
      </c>
    </row>
    <row r="694" spans="1:9" x14ac:dyDescent="0.25">
      <c r="A694">
        <v>2425</v>
      </c>
      <c r="B694" s="81">
        <v>44009</v>
      </c>
      <c r="C694" t="s">
        <v>369</v>
      </c>
      <c r="D694" t="s">
        <v>261</v>
      </c>
      <c r="E694">
        <v>1</v>
      </c>
      <c r="F694">
        <v>56</v>
      </c>
      <c r="G694">
        <v>10</v>
      </c>
      <c r="H694">
        <v>560</v>
      </c>
      <c r="I694" t="s">
        <v>225</v>
      </c>
    </row>
    <row r="695" spans="1:9" x14ac:dyDescent="0.25">
      <c r="A695">
        <v>2426</v>
      </c>
      <c r="B695" s="81">
        <v>44009</v>
      </c>
      <c r="C695" t="s">
        <v>103</v>
      </c>
      <c r="D695" t="s">
        <v>414</v>
      </c>
      <c r="E695">
        <v>1</v>
      </c>
      <c r="F695">
        <v>42</v>
      </c>
      <c r="G695">
        <v>10</v>
      </c>
      <c r="H695">
        <v>420</v>
      </c>
      <c r="I695" t="s">
        <v>225</v>
      </c>
    </row>
    <row r="696" spans="1:9" x14ac:dyDescent="0.25">
      <c r="A696">
        <v>2427</v>
      </c>
      <c r="B696" s="81">
        <v>44009</v>
      </c>
      <c r="C696" t="s">
        <v>383</v>
      </c>
      <c r="D696" t="s">
        <v>193</v>
      </c>
      <c r="E696">
        <v>1</v>
      </c>
      <c r="F696">
        <v>51</v>
      </c>
      <c r="G696">
        <v>10</v>
      </c>
      <c r="H696">
        <v>510</v>
      </c>
      <c r="I696" t="s">
        <v>225</v>
      </c>
    </row>
    <row r="697" spans="1:9" x14ac:dyDescent="0.25">
      <c r="A697">
        <v>2428</v>
      </c>
      <c r="B697" s="81">
        <v>44009</v>
      </c>
      <c r="C697" t="s">
        <v>415</v>
      </c>
      <c r="D697" t="s">
        <v>109</v>
      </c>
      <c r="E697">
        <v>3</v>
      </c>
      <c r="F697">
        <v>165</v>
      </c>
      <c r="G697">
        <v>9</v>
      </c>
      <c r="H697">
        <v>1485</v>
      </c>
      <c r="I697" t="s">
        <v>225</v>
      </c>
    </row>
    <row r="698" spans="1:9" x14ac:dyDescent="0.25">
      <c r="A698">
        <v>2429</v>
      </c>
      <c r="B698" s="81">
        <v>44009</v>
      </c>
      <c r="C698" t="s">
        <v>111</v>
      </c>
      <c r="D698" t="s">
        <v>416</v>
      </c>
      <c r="E698">
        <v>4</v>
      </c>
      <c r="F698">
        <v>224</v>
      </c>
      <c r="G698">
        <v>10</v>
      </c>
      <c r="H698">
        <v>2240</v>
      </c>
      <c r="I698" t="s">
        <v>225</v>
      </c>
    </row>
    <row r="699" spans="1:9" x14ac:dyDescent="0.25">
      <c r="A699">
        <v>2430</v>
      </c>
      <c r="B699" s="81">
        <v>44009</v>
      </c>
      <c r="C699" t="s">
        <v>210</v>
      </c>
      <c r="D699" t="s">
        <v>200</v>
      </c>
      <c r="E699">
        <v>2</v>
      </c>
      <c r="F699">
        <v>132</v>
      </c>
      <c r="G699">
        <v>10</v>
      </c>
      <c r="H699">
        <v>1320</v>
      </c>
      <c r="I699" t="s">
        <v>225</v>
      </c>
    </row>
    <row r="700" spans="1:9" x14ac:dyDescent="0.25">
      <c r="A700">
        <v>2431</v>
      </c>
      <c r="B700" s="81">
        <v>44009</v>
      </c>
      <c r="C700" t="s">
        <v>291</v>
      </c>
      <c r="D700" t="s">
        <v>109</v>
      </c>
      <c r="E700">
        <v>1</v>
      </c>
      <c r="F700">
        <v>54</v>
      </c>
      <c r="G700">
        <v>9</v>
      </c>
      <c r="H700">
        <v>486</v>
      </c>
      <c r="I700" t="s">
        <v>225</v>
      </c>
    </row>
    <row r="701" spans="1:9" x14ac:dyDescent="0.25">
      <c r="A701">
        <v>2432</v>
      </c>
      <c r="B701" s="81">
        <v>44009</v>
      </c>
      <c r="C701" t="s">
        <v>134</v>
      </c>
      <c r="D701" t="s">
        <v>101</v>
      </c>
      <c r="E701">
        <v>2</v>
      </c>
      <c r="F701">
        <v>109</v>
      </c>
      <c r="G701">
        <v>10</v>
      </c>
      <c r="H701">
        <v>1090</v>
      </c>
      <c r="I701" t="s">
        <v>225</v>
      </c>
    </row>
    <row r="702" spans="1:9" x14ac:dyDescent="0.25">
      <c r="A702">
        <v>2433</v>
      </c>
      <c r="B702" s="81">
        <v>44009</v>
      </c>
      <c r="C702" t="s">
        <v>139</v>
      </c>
      <c r="D702" t="s">
        <v>140</v>
      </c>
      <c r="E702">
        <v>1</v>
      </c>
      <c r="G702">
        <v>10</v>
      </c>
      <c r="H702">
        <v>0</v>
      </c>
      <c r="I702" t="s">
        <v>225</v>
      </c>
    </row>
    <row r="703" spans="1:9" x14ac:dyDescent="0.25">
      <c r="A703">
        <v>2434</v>
      </c>
      <c r="B703" s="81">
        <v>44009</v>
      </c>
      <c r="C703" t="s">
        <v>71</v>
      </c>
      <c r="D703" t="s">
        <v>417</v>
      </c>
      <c r="E703">
        <v>1</v>
      </c>
      <c r="G703">
        <v>10</v>
      </c>
      <c r="H703">
        <v>0</v>
      </c>
      <c r="I703" t="s">
        <v>225</v>
      </c>
    </row>
    <row r="704" spans="1:9" x14ac:dyDescent="0.25">
      <c r="A704">
        <v>2435</v>
      </c>
      <c r="B704" s="81">
        <v>44009</v>
      </c>
      <c r="C704" t="s">
        <v>71</v>
      </c>
      <c r="D704" t="s">
        <v>380</v>
      </c>
      <c r="E704">
        <v>1</v>
      </c>
      <c r="G704">
        <v>10</v>
      </c>
      <c r="H704">
        <v>0</v>
      </c>
      <c r="I704" t="s">
        <v>225</v>
      </c>
    </row>
    <row r="705" spans="1:9" x14ac:dyDescent="0.25">
      <c r="A705">
        <v>2436</v>
      </c>
      <c r="B705" s="81">
        <v>44009</v>
      </c>
      <c r="C705" t="s">
        <v>71</v>
      </c>
      <c r="D705" t="s">
        <v>373</v>
      </c>
      <c r="E705">
        <v>1</v>
      </c>
      <c r="G705">
        <v>10</v>
      </c>
      <c r="H705">
        <v>0</v>
      </c>
      <c r="I705" t="s">
        <v>225</v>
      </c>
    </row>
    <row r="706" spans="1:9" x14ac:dyDescent="0.25">
      <c r="A706">
        <v>2437</v>
      </c>
      <c r="B706" s="81">
        <v>44009</v>
      </c>
      <c r="C706" t="s">
        <v>315</v>
      </c>
      <c r="D706" t="s">
        <v>418</v>
      </c>
      <c r="E706">
        <v>1</v>
      </c>
      <c r="F706">
        <v>55</v>
      </c>
      <c r="G706">
        <v>15</v>
      </c>
      <c r="H706">
        <v>825</v>
      </c>
      <c r="I706" t="s">
        <v>225</v>
      </c>
    </row>
    <row r="707" spans="1:9" x14ac:dyDescent="0.25">
      <c r="A707">
        <v>2438</v>
      </c>
      <c r="B707" s="81">
        <v>44009</v>
      </c>
      <c r="C707" t="s">
        <v>315</v>
      </c>
      <c r="D707" t="s">
        <v>200</v>
      </c>
      <c r="E707">
        <v>2</v>
      </c>
      <c r="F707">
        <v>108</v>
      </c>
      <c r="G707">
        <v>10</v>
      </c>
      <c r="H707">
        <v>1080</v>
      </c>
      <c r="I707" t="s">
        <v>225</v>
      </c>
    </row>
    <row r="708" spans="1:9" x14ac:dyDescent="0.25">
      <c r="A708">
        <v>2439</v>
      </c>
      <c r="B708" s="81">
        <v>44009</v>
      </c>
      <c r="C708" t="s">
        <v>399</v>
      </c>
      <c r="D708" t="s">
        <v>200</v>
      </c>
      <c r="E708">
        <v>1</v>
      </c>
      <c r="F708">
        <v>47</v>
      </c>
      <c r="G708">
        <v>10</v>
      </c>
      <c r="H708">
        <v>470</v>
      </c>
      <c r="I708" t="s">
        <v>225</v>
      </c>
    </row>
    <row r="709" spans="1:9" x14ac:dyDescent="0.25">
      <c r="A709">
        <v>2440</v>
      </c>
      <c r="B709" s="81">
        <v>44010</v>
      </c>
      <c r="C709" t="s">
        <v>65</v>
      </c>
      <c r="D709" t="s">
        <v>419</v>
      </c>
      <c r="E709">
        <v>14</v>
      </c>
      <c r="F709">
        <v>630</v>
      </c>
      <c r="G709">
        <v>8</v>
      </c>
      <c r="H709">
        <v>5040</v>
      </c>
      <c r="I709" t="s">
        <v>225</v>
      </c>
    </row>
    <row r="710" spans="1:9" x14ac:dyDescent="0.25">
      <c r="A710">
        <v>2441</v>
      </c>
      <c r="B710" s="81">
        <v>44010</v>
      </c>
      <c r="C710" t="s">
        <v>182</v>
      </c>
      <c r="D710" t="s">
        <v>420</v>
      </c>
      <c r="E710">
        <v>1</v>
      </c>
      <c r="F710">
        <v>66</v>
      </c>
      <c r="G710">
        <v>10</v>
      </c>
      <c r="H710">
        <v>660</v>
      </c>
      <c r="I710" t="s">
        <v>225</v>
      </c>
    </row>
    <row r="711" spans="1:9" x14ac:dyDescent="0.25">
      <c r="A711">
        <v>2442</v>
      </c>
      <c r="B711" s="81">
        <v>44010</v>
      </c>
      <c r="C711" t="s">
        <v>182</v>
      </c>
      <c r="D711" t="s">
        <v>109</v>
      </c>
      <c r="E711">
        <v>3</v>
      </c>
      <c r="F711">
        <v>202</v>
      </c>
      <c r="G711">
        <v>9</v>
      </c>
      <c r="H711">
        <v>1818</v>
      </c>
      <c r="I711" t="s">
        <v>225</v>
      </c>
    </row>
    <row r="712" spans="1:9" x14ac:dyDescent="0.25">
      <c r="A712">
        <v>2443</v>
      </c>
      <c r="B712" s="81">
        <v>44010</v>
      </c>
      <c r="C712" t="s">
        <v>182</v>
      </c>
      <c r="D712" t="s">
        <v>343</v>
      </c>
      <c r="E712">
        <v>3</v>
      </c>
      <c r="F712">
        <v>203</v>
      </c>
      <c r="G712">
        <v>8</v>
      </c>
      <c r="H712">
        <v>1624</v>
      </c>
      <c r="I712" t="s">
        <v>225</v>
      </c>
    </row>
    <row r="713" spans="1:9" x14ac:dyDescent="0.25">
      <c r="A713">
        <v>2444</v>
      </c>
      <c r="B713" s="81">
        <v>44010</v>
      </c>
      <c r="C713" t="s">
        <v>421</v>
      </c>
      <c r="D713" t="s">
        <v>343</v>
      </c>
      <c r="E713">
        <v>3</v>
      </c>
      <c r="F713">
        <v>140</v>
      </c>
      <c r="G713">
        <v>8</v>
      </c>
      <c r="H713">
        <v>1120</v>
      </c>
      <c r="I713" t="s">
        <v>225</v>
      </c>
    </row>
    <row r="714" spans="1:9" x14ac:dyDescent="0.25">
      <c r="A714">
        <v>2445</v>
      </c>
      <c r="B714" s="81">
        <v>44010</v>
      </c>
      <c r="C714" t="s">
        <v>422</v>
      </c>
      <c r="D714" t="s">
        <v>343</v>
      </c>
      <c r="E714">
        <v>1</v>
      </c>
      <c r="F714">
        <v>59</v>
      </c>
      <c r="G714">
        <v>8</v>
      </c>
      <c r="H714">
        <v>472</v>
      </c>
      <c r="I714" t="s">
        <v>225</v>
      </c>
    </row>
    <row r="715" spans="1:9" x14ac:dyDescent="0.25">
      <c r="A715">
        <v>2446</v>
      </c>
      <c r="B715" s="81">
        <v>44010</v>
      </c>
      <c r="C715" t="s">
        <v>422</v>
      </c>
      <c r="D715" t="s">
        <v>343</v>
      </c>
      <c r="E715">
        <v>2</v>
      </c>
      <c r="F715">
        <v>121</v>
      </c>
      <c r="G715">
        <v>8</v>
      </c>
      <c r="H715">
        <v>968</v>
      </c>
      <c r="I715" t="s">
        <v>225</v>
      </c>
    </row>
    <row r="716" spans="1:9" x14ac:dyDescent="0.25">
      <c r="A716">
        <v>2447</v>
      </c>
      <c r="B716" s="81">
        <v>44010</v>
      </c>
      <c r="C716" t="s">
        <v>422</v>
      </c>
      <c r="D716" t="s">
        <v>343</v>
      </c>
      <c r="E716">
        <v>1</v>
      </c>
      <c r="F716">
        <v>51</v>
      </c>
      <c r="G716">
        <v>8</v>
      </c>
      <c r="H716">
        <v>408</v>
      </c>
      <c r="I716" t="s">
        <v>225</v>
      </c>
    </row>
    <row r="717" spans="1:9" x14ac:dyDescent="0.25">
      <c r="A717">
        <v>2448</v>
      </c>
      <c r="B717" s="81">
        <v>44010</v>
      </c>
      <c r="C717" t="s">
        <v>257</v>
      </c>
      <c r="D717" t="s">
        <v>140</v>
      </c>
      <c r="E717">
        <v>1</v>
      </c>
      <c r="F717">
        <v>42</v>
      </c>
      <c r="G717">
        <v>10</v>
      </c>
      <c r="H717">
        <v>420</v>
      </c>
      <c r="I717" t="s">
        <v>225</v>
      </c>
    </row>
    <row r="718" spans="1:9" x14ac:dyDescent="0.25">
      <c r="A718">
        <v>2449</v>
      </c>
      <c r="B718" s="81">
        <v>44010</v>
      </c>
      <c r="C718" t="s">
        <v>182</v>
      </c>
      <c r="D718" t="s">
        <v>420</v>
      </c>
      <c r="E718">
        <v>4</v>
      </c>
      <c r="F718">
        <v>209</v>
      </c>
      <c r="G718">
        <v>10</v>
      </c>
      <c r="H718">
        <v>2090</v>
      </c>
      <c r="I718" t="s">
        <v>225</v>
      </c>
    </row>
    <row r="719" spans="1:9" x14ac:dyDescent="0.25">
      <c r="A719">
        <v>2450</v>
      </c>
      <c r="B719" s="81">
        <v>44010</v>
      </c>
      <c r="C719" t="s">
        <v>138</v>
      </c>
      <c r="D719" t="s">
        <v>82</v>
      </c>
      <c r="E719">
        <v>1</v>
      </c>
      <c r="F719">
        <v>47</v>
      </c>
      <c r="G719">
        <v>10</v>
      </c>
      <c r="H719">
        <v>470</v>
      </c>
      <c r="I719" t="s">
        <v>225</v>
      </c>
    </row>
    <row r="720" spans="1:9" x14ac:dyDescent="0.25">
      <c r="A720">
        <v>2451</v>
      </c>
      <c r="B720" s="81">
        <v>44010</v>
      </c>
      <c r="C720" t="s">
        <v>423</v>
      </c>
      <c r="D720" t="s">
        <v>424</v>
      </c>
      <c r="E720">
        <v>5</v>
      </c>
      <c r="F720">
        <v>243</v>
      </c>
      <c r="G720">
        <v>10</v>
      </c>
      <c r="H720">
        <v>2430</v>
      </c>
      <c r="I720" t="s">
        <v>225</v>
      </c>
    </row>
    <row r="721" spans="1:9" x14ac:dyDescent="0.25">
      <c r="A721">
        <v>2452</v>
      </c>
      <c r="B721" s="81">
        <v>44010</v>
      </c>
      <c r="C721" t="s">
        <v>425</v>
      </c>
      <c r="D721" t="s">
        <v>426</v>
      </c>
      <c r="E721">
        <v>3</v>
      </c>
      <c r="F721">
        <v>198</v>
      </c>
      <c r="G721">
        <v>10</v>
      </c>
      <c r="H721">
        <v>1980</v>
      </c>
      <c r="I721" t="s">
        <v>225</v>
      </c>
    </row>
    <row r="722" spans="1:9" x14ac:dyDescent="0.25">
      <c r="A722">
        <v>2453</v>
      </c>
      <c r="B722" s="81">
        <v>44010</v>
      </c>
      <c r="C722" t="s">
        <v>427</v>
      </c>
      <c r="D722" t="s">
        <v>93</v>
      </c>
      <c r="E722">
        <v>3</v>
      </c>
      <c r="F722">
        <v>128</v>
      </c>
      <c r="G722">
        <v>10</v>
      </c>
      <c r="H722">
        <v>1280</v>
      </c>
      <c r="I722" t="s">
        <v>225</v>
      </c>
    </row>
    <row r="723" spans="1:9" x14ac:dyDescent="0.25">
      <c r="A723">
        <v>2454</v>
      </c>
      <c r="B723" s="81">
        <v>44010</v>
      </c>
      <c r="C723" t="s">
        <v>427</v>
      </c>
      <c r="D723" t="s">
        <v>93</v>
      </c>
      <c r="E723">
        <v>1</v>
      </c>
      <c r="F723">
        <v>55</v>
      </c>
      <c r="G723">
        <v>10</v>
      </c>
      <c r="H723">
        <v>550</v>
      </c>
      <c r="I723" t="s">
        <v>225</v>
      </c>
    </row>
    <row r="724" spans="1:9" x14ac:dyDescent="0.25">
      <c r="A724">
        <v>2455</v>
      </c>
      <c r="B724" s="81">
        <v>44010</v>
      </c>
      <c r="C724" t="s">
        <v>182</v>
      </c>
      <c r="D724" t="s">
        <v>343</v>
      </c>
      <c r="E724">
        <v>2</v>
      </c>
      <c r="F724">
        <v>95</v>
      </c>
      <c r="G724">
        <v>8</v>
      </c>
      <c r="H724">
        <v>760</v>
      </c>
      <c r="I724" t="s">
        <v>225</v>
      </c>
    </row>
    <row r="725" spans="1:9" x14ac:dyDescent="0.25">
      <c r="A725">
        <v>2456</v>
      </c>
      <c r="B725" s="81">
        <v>44010</v>
      </c>
      <c r="C725" t="s">
        <v>182</v>
      </c>
      <c r="D725" t="s">
        <v>109</v>
      </c>
      <c r="E725">
        <v>4</v>
      </c>
      <c r="F725">
        <v>223</v>
      </c>
      <c r="G725">
        <v>9</v>
      </c>
      <c r="H725">
        <v>2007</v>
      </c>
      <c r="I725" t="s">
        <v>225</v>
      </c>
    </row>
    <row r="726" spans="1:9" x14ac:dyDescent="0.25">
      <c r="A726">
        <v>2457</v>
      </c>
      <c r="B726" s="81">
        <v>44010</v>
      </c>
      <c r="C726" t="s">
        <v>249</v>
      </c>
      <c r="D726" t="s">
        <v>86</v>
      </c>
      <c r="E726">
        <v>1</v>
      </c>
      <c r="F726">
        <v>53</v>
      </c>
      <c r="G726">
        <v>10</v>
      </c>
      <c r="H726">
        <v>530</v>
      </c>
      <c r="I726" t="s">
        <v>225</v>
      </c>
    </row>
    <row r="727" spans="1:9" x14ac:dyDescent="0.25">
      <c r="A727">
        <v>2458</v>
      </c>
      <c r="B727" s="81">
        <v>44010</v>
      </c>
      <c r="C727" t="s">
        <v>347</v>
      </c>
      <c r="D727" t="s">
        <v>244</v>
      </c>
      <c r="E727">
        <v>2</v>
      </c>
      <c r="F727">
        <v>85</v>
      </c>
      <c r="G727">
        <v>10</v>
      </c>
      <c r="H727">
        <v>850</v>
      </c>
      <c r="I727" t="s">
        <v>225</v>
      </c>
    </row>
    <row r="728" spans="1:9" x14ac:dyDescent="0.25">
      <c r="A728">
        <v>2459</v>
      </c>
      <c r="B728" s="81">
        <v>44010</v>
      </c>
      <c r="C728" t="s">
        <v>347</v>
      </c>
      <c r="D728" t="s">
        <v>428</v>
      </c>
      <c r="E728">
        <v>2</v>
      </c>
      <c r="F728">
        <v>87</v>
      </c>
      <c r="G728">
        <v>10</v>
      </c>
      <c r="H728">
        <v>870</v>
      </c>
      <c r="I728" t="s">
        <v>225</v>
      </c>
    </row>
    <row r="729" spans="1:9" x14ac:dyDescent="0.25">
      <c r="A729">
        <v>2460</v>
      </c>
      <c r="B729" s="81">
        <v>44010</v>
      </c>
      <c r="C729" t="s">
        <v>347</v>
      </c>
      <c r="D729" t="s">
        <v>154</v>
      </c>
      <c r="E729">
        <v>1</v>
      </c>
      <c r="F729">
        <v>42</v>
      </c>
      <c r="G729">
        <v>10</v>
      </c>
      <c r="H729">
        <v>420</v>
      </c>
      <c r="I729" t="s">
        <v>225</v>
      </c>
    </row>
    <row r="730" spans="1:9" x14ac:dyDescent="0.25">
      <c r="A730">
        <v>2461</v>
      </c>
      <c r="B730" s="81">
        <v>44010</v>
      </c>
      <c r="C730" t="s">
        <v>323</v>
      </c>
      <c r="D730" t="s">
        <v>316</v>
      </c>
      <c r="E730">
        <v>2</v>
      </c>
      <c r="F730">
        <v>82</v>
      </c>
      <c r="G730">
        <v>10</v>
      </c>
      <c r="H730">
        <v>820</v>
      </c>
      <c r="I730" t="s">
        <v>225</v>
      </c>
    </row>
    <row r="731" spans="1:9" x14ac:dyDescent="0.25">
      <c r="A731">
        <v>2462</v>
      </c>
      <c r="B731" s="81">
        <v>44010</v>
      </c>
      <c r="C731" t="s">
        <v>315</v>
      </c>
      <c r="D731" t="s">
        <v>93</v>
      </c>
      <c r="E731">
        <v>1</v>
      </c>
      <c r="F731">
        <v>62</v>
      </c>
      <c r="G731">
        <v>10</v>
      </c>
      <c r="H731">
        <v>620</v>
      </c>
      <c r="I731" t="s">
        <v>225</v>
      </c>
    </row>
    <row r="732" spans="1:9" x14ac:dyDescent="0.25">
      <c r="A732">
        <v>2463</v>
      </c>
      <c r="B732" s="81">
        <v>44010</v>
      </c>
      <c r="C732" t="s">
        <v>134</v>
      </c>
      <c r="D732" t="s">
        <v>101</v>
      </c>
      <c r="E732">
        <v>2</v>
      </c>
      <c r="F732">
        <v>113</v>
      </c>
      <c r="G732">
        <v>10</v>
      </c>
      <c r="H732">
        <v>1130</v>
      </c>
      <c r="I732" t="s">
        <v>225</v>
      </c>
    </row>
    <row r="733" spans="1:9" x14ac:dyDescent="0.25">
      <c r="A733">
        <v>2464</v>
      </c>
      <c r="B733" s="81">
        <v>44010</v>
      </c>
      <c r="C733" t="s">
        <v>371</v>
      </c>
      <c r="D733" t="s">
        <v>193</v>
      </c>
      <c r="E733">
        <v>1</v>
      </c>
      <c r="F733">
        <v>57</v>
      </c>
      <c r="G733">
        <v>9</v>
      </c>
      <c r="H733">
        <v>513</v>
      </c>
      <c r="I733" t="s">
        <v>225</v>
      </c>
    </row>
    <row r="734" spans="1:9" x14ac:dyDescent="0.25">
      <c r="A734">
        <v>2465</v>
      </c>
      <c r="B734" s="81">
        <v>44010</v>
      </c>
      <c r="C734" t="s">
        <v>80</v>
      </c>
      <c r="D734" t="s">
        <v>429</v>
      </c>
      <c r="E734">
        <v>1</v>
      </c>
      <c r="F734">
        <v>55</v>
      </c>
      <c r="G734">
        <v>15</v>
      </c>
      <c r="H734">
        <v>825</v>
      </c>
      <c r="I734" t="s">
        <v>239</v>
      </c>
    </row>
    <row r="735" spans="1:9" x14ac:dyDescent="0.25">
      <c r="A735">
        <v>2466</v>
      </c>
      <c r="B735" s="81">
        <v>44010</v>
      </c>
      <c r="C735" t="s">
        <v>80</v>
      </c>
      <c r="D735" t="s">
        <v>261</v>
      </c>
      <c r="E735">
        <v>1</v>
      </c>
      <c r="F735">
        <v>54</v>
      </c>
      <c r="G735">
        <v>1</v>
      </c>
      <c r="H735">
        <v>54</v>
      </c>
      <c r="I735" t="s">
        <v>239</v>
      </c>
    </row>
    <row r="736" spans="1:9" x14ac:dyDescent="0.25">
      <c r="A736">
        <v>2467</v>
      </c>
      <c r="B736" s="81">
        <v>44010</v>
      </c>
      <c r="C736" t="s">
        <v>139</v>
      </c>
      <c r="D736" t="s">
        <v>140</v>
      </c>
      <c r="E736">
        <v>1</v>
      </c>
      <c r="F736">
        <v>10</v>
      </c>
      <c r="H736">
        <v>0</v>
      </c>
      <c r="I736" t="s">
        <v>225</v>
      </c>
    </row>
    <row r="737" spans="1:9" x14ac:dyDescent="0.25">
      <c r="A737">
        <v>2468</v>
      </c>
      <c r="B737" s="81">
        <v>44010</v>
      </c>
      <c r="C737" t="s">
        <v>71</v>
      </c>
      <c r="D737" t="s">
        <v>430</v>
      </c>
      <c r="E737">
        <v>1</v>
      </c>
      <c r="F737">
        <v>10</v>
      </c>
      <c r="H737">
        <v>0</v>
      </c>
      <c r="I737" t="s">
        <v>225</v>
      </c>
    </row>
    <row r="738" spans="1:9" x14ac:dyDescent="0.25">
      <c r="A738">
        <v>2469</v>
      </c>
      <c r="B738" s="81">
        <v>44010</v>
      </c>
      <c r="C738" t="s">
        <v>71</v>
      </c>
      <c r="D738" t="s">
        <v>380</v>
      </c>
      <c r="E738">
        <v>1</v>
      </c>
      <c r="F738">
        <v>48</v>
      </c>
      <c r="H738">
        <v>0</v>
      </c>
      <c r="I738" t="s">
        <v>225</v>
      </c>
    </row>
    <row r="739" spans="1:9" x14ac:dyDescent="0.25">
      <c r="A739">
        <v>2470</v>
      </c>
      <c r="B739" s="81">
        <v>44010</v>
      </c>
      <c r="C739" t="s">
        <v>399</v>
      </c>
      <c r="D739" t="s">
        <v>200</v>
      </c>
      <c r="E739">
        <v>1</v>
      </c>
      <c r="F739">
        <v>52</v>
      </c>
      <c r="H739">
        <v>0</v>
      </c>
      <c r="I739" t="s">
        <v>225</v>
      </c>
    </row>
    <row r="740" spans="1:9" x14ac:dyDescent="0.25">
      <c r="A740">
        <v>2471</v>
      </c>
      <c r="B740" s="81">
        <v>44010</v>
      </c>
      <c r="C740" t="s">
        <v>399</v>
      </c>
      <c r="D740" t="s">
        <v>78</v>
      </c>
      <c r="E740">
        <v>2</v>
      </c>
      <c r="F740">
        <v>79</v>
      </c>
      <c r="H740">
        <v>0</v>
      </c>
      <c r="I740" t="s">
        <v>225</v>
      </c>
    </row>
    <row r="741" spans="1:9" x14ac:dyDescent="0.25">
      <c r="A741">
        <v>2472</v>
      </c>
      <c r="B741" s="81">
        <v>44010</v>
      </c>
      <c r="C741" t="s">
        <v>399</v>
      </c>
      <c r="D741" t="s">
        <v>193</v>
      </c>
      <c r="E741">
        <v>2</v>
      </c>
      <c r="F741">
        <v>118</v>
      </c>
      <c r="H741">
        <v>0</v>
      </c>
      <c r="I741" t="s">
        <v>225</v>
      </c>
    </row>
    <row r="742" spans="1:9" x14ac:dyDescent="0.25">
      <c r="A742">
        <v>2473</v>
      </c>
      <c r="B742" s="81">
        <v>44012</v>
      </c>
      <c r="C742" t="s">
        <v>182</v>
      </c>
      <c r="D742" t="s">
        <v>336</v>
      </c>
      <c r="E742">
        <v>1</v>
      </c>
      <c r="F742">
        <v>47</v>
      </c>
      <c r="H742">
        <v>0</v>
      </c>
      <c r="I742" t="s">
        <v>225</v>
      </c>
    </row>
    <row r="743" spans="1:9" x14ac:dyDescent="0.25">
      <c r="A743">
        <v>2474</v>
      </c>
      <c r="B743" s="81">
        <v>44012</v>
      </c>
      <c r="C743" t="s">
        <v>182</v>
      </c>
      <c r="D743" t="s">
        <v>343</v>
      </c>
      <c r="E743">
        <v>1</v>
      </c>
      <c r="F743">
        <v>63</v>
      </c>
      <c r="G743">
        <v>8</v>
      </c>
      <c r="H743">
        <v>504</v>
      </c>
      <c r="I743" t="s">
        <v>225</v>
      </c>
    </row>
    <row r="744" spans="1:9" x14ac:dyDescent="0.25">
      <c r="A744">
        <v>2475</v>
      </c>
      <c r="B744" s="81">
        <v>44012</v>
      </c>
      <c r="C744" t="s">
        <v>182</v>
      </c>
      <c r="D744" t="s">
        <v>109</v>
      </c>
      <c r="E744">
        <v>1</v>
      </c>
      <c r="F744">
        <v>63</v>
      </c>
      <c r="H744">
        <v>0</v>
      </c>
      <c r="I744" t="s">
        <v>225</v>
      </c>
    </row>
    <row r="745" spans="1:9" x14ac:dyDescent="0.25">
      <c r="A745">
        <v>2476</v>
      </c>
      <c r="B745" s="81">
        <v>44012</v>
      </c>
      <c r="C745" t="s">
        <v>431</v>
      </c>
      <c r="D745" t="s">
        <v>343</v>
      </c>
      <c r="E745">
        <v>1</v>
      </c>
      <c r="F745">
        <v>48</v>
      </c>
      <c r="G745">
        <v>8</v>
      </c>
      <c r="H745">
        <v>384</v>
      </c>
      <c r="I745" t="s">
        <v>225</v>
      </c>
    </row>
    <row r="746" spans="1:9" x14ac:dyDescent="0.25">
      <c r="A746">
        <v>2477</v>
      </c>
      <c r="B746" s="81">
        <v>44012</v>
      </c>
      <c r="C746" t="s">
        <v>431</v>
      </c>
      <c r="D746" t="s">
        <v>343</v>
      </c>
      <c r="E746">
        <v>2</v>
      </c>
      <c r="F746">
        <v>77</v>
      </c>
      <c r="G746">
        <v>8</v>
      </c>
      <c r="H746">
        <v>616</v>
      </c>
      <c r="I746" t="s">
        <v>225</v>
      </c>
    </row>
    <row r="747" spans="1:9" x14ac:dyDescent="0.25">
      <c r="A747">
        <v>2478</v>
      </c>
      <c r="B747" s="81">
        <v>44012</v>
      </c>
      <c r="C747" t="s">
        <v>432</v>
      </c>
      <c r="D747" t="s">
        <v>429</v>
      </c>
      <c r="E747">
        <v>1</v>
      </c>
      <c r="F747">
        <v>37</v>
      </c>
      <c r="H747">
        <v>0</v>
      </c>
      <c r="I747" t="s">
        <v>225</v>
      </c>
    </row>
    <row r="748" spans="1:9" x14ac:dyDescent="0.25">
      <c r="A748">
        <v>2479</v>
      </c>
      <c r="B748" s="81">
        <v>44012</v>
      </c>
      <c r="C748" t="s">
        <v>138</v>
      </c>
      <c r="D748" t="s">
        <v>82</v>
      </c>
      <c r="E748">
        <v>1</v>
      </c>
      <c r="F748">
        <v>49</v>
      </c>
      <c r="H748">
        <v>0</v>
      </c>
      <c r="I748" t="s">
        <v>225</v>
      </c>
    </row>
    <row r="749" spans="1:9" x14ac:dyDescent="0.25">
      <c r="A749">
        <v>2480</v>
      </c>
      <c r="B749" s="81">
        <v>44012</v>
      </c>
      <c r="C749" t="s">
        <v>182</v>
      </c>
      <c r="D749" t="s">
        <v>343</v>
      </c>
      <c r="E749">
        <v>2</v>
      </c>
      <c r="F749">
        <v>125</v>
      </c>
      <c r="G749">
        <v>8</v>
      </c>
      <c r="H749">
        <v>1000</v>
      </c>
      <c r="I749" t="s">
        <v>225</v>
      </c>
    </row>
    <row r="750" spans="1:9" x14ac:dyDescent="0.25">
      <c r="A750">
        <v>2481</v>
      </c>
      <c r="B750" s="81">
        <v>44012</v>
      </c>
      <c r="C750" t="s">
        <v>80</v>
      </c>
      <c r="D750" t="s">
        <v>433</v>
      </c>
      <c r="E750">
        <v>1</v>
      </c>
      <c r="F750">
        <v>40</v>
      </c>
      <c r="H750">
        <v>0</v>
      </c>
      <c r="I750" t="s">
        <v>225</v>
      </c>
    </row>
    <row r="751" spans="1:9" x14ac:dyDescent="0.25">
      <c r="A751">
        <v>2482</v>
      </c>
      <c r="B751" s="81">
        <v>44012</v>
      </c>
      <c r="C751" t="s">
        <v>422</v>
      </c>
      <c r="D751" t="s">
        <v>343</v>
      </c>
      <c r="E751">
        <v>1</v>
      </c>
      <c r="F751">
        <v>68</v>
      </c>
      <c r="G751">
        <v>8</v>
      </c>
      <c r="H751">
        <v>544</v>
      </c>
      <c r="I751" t="s">
        <v>225</v>
      </c>
    </row>
    <row r="752" spans="1:9" x14ac:dyDescent="0.25">
      <c r="A752">
        <v>2483</v>
      </c>
      <c r="B752" s="81">
        <v>44012</v>
      </c>
      <c r="C752" t="s">
        <v>422</v>
      </c>
      <c r="D752" t="s">
        <v>343</v>
      </c>
      <c r="E752">
        <v>2</v>
      </c>
      <c r="F752">
        <v>101</v>
      </c>
      <c r="G752">
        <v>8</v>
      </c>
      <c r="H752">
        <v>808</v>
      </c>
      <c r="I752" t="s">
        <v>225</v>
      </c>
    </row>
    <row r="753" spans="1:9" x14ac:dyDescent="0.25">
      <c r="A753">
        <v>2484</v>
      </c>
      <c r="B753" s="81">
        <v>44012</v>
      </c>
      <c r="C753" t="s">
        <v>422</v>
      </c>
      <c r="D753" t="s">
        <v>343</v>
      </c>
      <c r="E753">
        <v>1</v>
      </c>
      <c r="F753">
        <v>69</v>
      </c>
      <c r="G753">
        <v>8</v>
      </c>
      <c r="H753">
        <v>552</v>
      </c>
      <c r="I753" t="s">
        <v>225</v>
      </c>
    </row>
    <row r="754" spans="1:9" x14ac:dyDescent="0.25">
      <c r="A754">
        <v>2485</v>
      </c>
      <c r="B754" s="81">
        <v>44012</v>
      </c>
      <c r="C754" t="s">
        <v>249</v>
      </c>
      <c r="D754" t="s">
        <v>82</v>
      </c>
      <c r="E754">
        <v>1</v>
      </c>
      <c r="F754">
        <v>66</v>
      </c>
      <c r="H754">
        <v>0</v>
      </c>
      <c r="I754" t="s">
        <v>225</v>
      </c>
    </row>
    <row r="755" spans="1:9" x14ac:dyDescent="0.25">
      <c r="A755">
        <v>2486</v>
      </c>
      <c r="B755" s="81">
        <v>44012</v>
      </c>
      <c r="C755" t="s">
        <v>309</v>
      </c>
      <c r="D755" t="s">
        <v>78</v>
      </c>
      <c r="E755">
        <v>1</v>
      </c>
      <c r="F755">
        <v>51</v>
      </c>
      <c r="H755">
        <v>0</v>
      </c>
      <c r="I755" t="s">
        <v>225</v>
      </c>
    </row>
    <row r="756" spans="1:9" x14ac:dyDescent="0.25">
      <c r="A756">
        <v>2487</v>
      </c>
      <c r="B756" s="81">
        <v>44012</v>
      </c>
      <c r="C756" t="s">
        <v>249</v>
      </c>
      <c r="D756" t="s">
        <v>433</v>
      </c>
      <c r="E756">
        <v>1</v>
      </c>
      <c r="F756">
        <v>45</v>
      </c>
      <c r="H756">
        <v>0</v>
      </c>
      <c r="I756" t="s">
        <v>225</v>
      </c>
    </row>
    <row r="757" spans="1:9" x14ac:dyDescent="0.25">
      <c r="A757">
        <v>2488</v>
      </c>
      <c r="B757" s="81">
        <v>44012</v>
      </c>
      <c r="C757" t="s">
        <v>434</v>
      </c>
      <c r="D757" t="s">
        <v>435</v>
      </c>
      <c r="E757">
        <v>1</v>
      </c>
      <c r="F757">
        <v>29</v>
      </c>
      <c r="H757">
        <v>0</v>
      </c>
      <c r="I757" t="s">
        <v>225</v>
      </c>
    </row>
    <row r="758" spans="1:9" x14ac:dyDescent="0.25">
      <c r="A758">
        <v>2489</v>
      </c>
      <c r="B758" s="81">
        <v>44012</v>
      </c>
      <c r="C758" t="s">
        <v>103</v>
      </c>
      <c r="D758" t="s">
        <v>123</v>
      </c>
      <c r="E758">
        <v>1</v>
      </c>
      <c r="F758">
        <v>38</v>
      </c>
      <c r="H758">
        <v>0</v>
      </c>
      <c r="I758" t="s">
        <v>225</v>
      </c>
    </row>
    <row r="759" spans="1:9" x14ac:dyDescent="0.25">
      <c r="A759">
        <v>2490</v>
      </c>
      <c r="B759" s="81">
        <v>44012</v>
      </c>
      <c r="C759" t="s">
        <v>80</v>
      </c>
      <c r="D759" t="s">
        <v>261</v>
      </c>
      <c r="E759">
        <v>2</v>
      </c>
      <c r="F759">
        <v>106</v>
      </c>
      <c r="H759">
        <v>0</v>
      </c>
      <c r="I759" t="s">
        <v>225</v>
      </c>
    </row>
    <row r="760" spans="1:9" x14ac:dyDescent="0.25">
      <c r="A760">
        <v>2491</v>
      </c>
      <c r="B760" s="81">
        <v>44012</v>
      </c>
      <c r="C760" t="s">
        <v>249</v>
      </c>
      <c r="D760" t="s">
        <v>86</v>
      </c>
      <c r="E760">
        <v>4</v>
      </c>
      <c r="F760">
        <v>180</v>
      </c>
      <c r="H760">
        <v>0</v>
      </c>
      <c r="I760" t="s">
        <v>225</v>
      </c>
    </row>
    <row r="761" spans="1:9" x14ac:dyDescent="0.25">
      <c r="A761">
        <v>2492</v>
      </c>
      <c r="B761" s="81">
        <v>44012</v>
      </c>
      <c r="C761" t="s">
        <v>249</v>
      </c>
      <c r="D761" t="s">
        <v>436</v>
      </c>
      <c r="E761">
        <v>1</v>
      </c>
      <c r="F761">
        <v>44</v>
      </c>
      <c r="H761">
        <v>0</v>
      </c>
      <c r="I761" t="s">
        <v>225</v>
      </c>
    </row>
    <row r="762" spans="1:9" x14ac:dyDescent="0.25">
      <c r="A762">
        <v>2493</v>
      </c>
      <c r="B762" s="81">
        <v>44012</v>
      </c>
      <c r="C762" t="s">
        <v>427</v>
      </c>
      <c r="D762" t="s">
        <v>93</v>
      </c>
      <c r="E762">
        <v>1</v>
      </c>
      <c r="F762">
        <v>54</v>
      </c>
      <c r="H762">
        <v>0</v>
      </c>
      <c r="I762" t="s">
        <v>239</v>
      </c>
    </row>
    <row r="763" spans="1:9" x14ac:dyDescent="0.25">
      <c r="A763">
        <v>2494</v>
      </c>
      <c r="B763" s="81">
        <v>44012</v>
      </c>
      <c r="C763" t="s">
        <v>249</v>
      </c>
      <c r="D763" t="s">
        <v>82</v>
      </c>
      <c r="E763">
        <v>1</v>
      </c>
      <c r="F763">
        <v>45</v>
      </c>
      <c r="H763">
        <v>0</v>
      </c>
      <c r="I763" t="s">
        <v>239</v>
      </c>
    </row>
    <row r="764" spans="1:9" x14ac:dyDescent="0.25">
      <c r="A764">
        <v>2495</v>
      </c>
      <c r="B764" s="81">
        <v>44012</v>
      </c>
      <c r="C764" t="s">
        <v>323</v>
      </c>
      <c r="D764" t="s">
        <v>101</v>
      </c>
      <c r="E764">
        <v>2</v>
      </c>
      <c r="F764">
        <v>100</v>
      </c>
      <c r="H764">
        <v>0</v>
      </c>
      <c r="I764" t="s">
        <v>225</v>
      </c>
    </row>
    <row r="765" spans="1:9" x14ac:dyDescent="0.25">
      <c r="A765">
        <v>2496</v>
      </c>
      <c r="B765" s="81">
        <v>44012</v>
      </c>
      <c r="C765" t="s">
        <v>323</v>
      </c>
      <c r="D765" t="s">
        <v>200</v>
      </c>
      <c r="E765">
        <v>2</v>
      </c>
      <c r="F765">
        <v>106</v>
      </c>
      <c r="H765">
        <v>0</v>
      </c>
      <c r="I765" t="s">
        <v>225</v>
      </c>
    </row>
    <row r="766" spans="1:9" x14ac:dyDescent="0.25">
      <c r="A766">
        <v>2497</v>
      </c>
      <c r="B766" s="81">
        <v>44012</v>
      </c>
      <c r="C766" t="s">
        <v>323</v>
      </c>
      <c r="D766" t="s">
        <v>316</v>
      </c>
      <c r="E766">
        <v>1</v>
      </c>
      <c r="F766">
        <v>59</v>
      </c>
      <c r="H766">
        <v>0</v>
      </c>
      <c r="I766" t="s">
        <v>225</v>
      </c>
    </row>
    <row r="767" spans="1:9" x14ac:dyDescent="0.25">
      <c r="A767">
        <v>2498</v>
      </c>
      <c r="B767" s="81">
        <v>44012</v>
      </c>
      <c r="C767" t="s">
        <v>371</v>
      </c>
      <c r="D767" t="s">
        <v>193</v>
      </c>
      <c r="E767">
        <v>1</v>
      </c>
      <c r="F767">
        <v>46</v>
      </c>
      <c r="H767">
        <v>0</v>
      </c>
      <c r="I767" t="s">
        <v>225</v>
      </c>
    </row>
    <row r="768" spans="1:9" x14ac:dyDescent="0.25">
      <c r="A768">
        <v>2499</v>
      </c>
      <c r="B768" s="81">
        <v>44012</v>
      </c>
      <c r="C768" t="s">
        <v>249</v>
      </c>
      <c r="D768" t="s">
        <v>82</v>
      </c>
      <c r="E768">
        <v>2</v>
      </c>
      <c r="F768">
        <v>106</v>
      </c>
      <c r="H768">
        <v>0</v>
      </c>
      <c r="I768" t="s">
        <v>225</v>
      </c>
    </row>
    <row r="769" spans="1:9" x14ac:dyDescent="0.25">
      <c r="A769">
        <v>2500</v>
      </c>
      <c r="B769" s="81">
        <v>44012</v>
      </c>
      <c r="C769" t="s">
        <v>249</v>
      </c>
      <c r="D769" t="s">
        <v>200</v>
      </c>
      <c r="E769">
        <v>1</v>
      </c>
      <c r="F769">
        <v>41</v>
      </c>
      <c r="H769">
        <v>0</v>
      </c>
      <c r="I769" t="s">
        <v>225</v>
      </c>
    </row>
    <row r="770" spans="1:9" x14ac:dyDescent="0.25">
      <c r="A770">
        <v>2501</v>
      </c>
      <c r="B770" s="81">
        <v>44012</v>
      </c>
      <c r="C770" t="s">
        <v>134</v>
      </c>
      <c r="D770" t="s">
        <v>101</v>
      </c>
      <c r="E770">
        <v>2</v>
      </c>
      <c r="F770">
        <v>114</v>
      </c>
      <c r="H770">
        <v>0</v>
      </c>
      <c r="I770" t="s">
        <v>225</v>
      </c>
    </row>
    <row r="771" spans="1:9" x14ac:dyDescent="0.25">
      <c r="A771">
        <v>2502</v>
      </c>
      <c r="B771" s="81">
        <v>44012</v>
      </c>
      <c r="C771" t="s">
        <v>249</v>
      </c>
      <c r="D771" t="s">
        <v>437</v>
      </c>
      <c r="E771">
        <v>2</v>
      </c>
      <c r="F771">
        <v>81</v>
      </c>
      <c r="H771">
        <v>0</v>
      </c>
      <c r="I771" t="s">
        <v>225</v>
      </c>
    </row>
    <row r="772" spans="1:9" x14ac:dyDescent="0.25">
      <c r="A772">
        <v>2503</v>
      </c>
      <c r="B772" s="81">
        <v>44012</v>
      </c>
      <c r="C772" t="s">
        <v>71</v>
      </c>
      <c r="D772" t="s">
        <v>380</v>
      </c>
      <c r="E772">
        <v>1</v>
      </c>
      <c r="F772">
        <v>43</v>
      </c>
      <c r="H772">
        <v>0</v>
      </c>
      <c r="I772" t="s">
        <v>225</v>
      </c>
    </row>
    <row r="773" spans="1:9" x14ac:dyDescent="0.25">
      <c r="A773">
        <v>2504</v>
      </c>
      <c r="B773" s="81">
        <v>44012</v>
      </c>
      <c r="C773" t="s">
        <v>139</v>
      </c>
      <c r="D773" t="s">
        <v>140</v>
      </c>
      <c r="E773">
        <v>1</v>
      </c>
      <c r="F773">
        <v>10</v>
      </c>
      <c r="H773">
        <v>0</v>
      </c>
      <c r="I773" t="s">
        <v>225</v>
      </c>
    </row>
  </sheetData>
  <autoFilter ref="A1:I773" xr:uid="{1193BE55-5A06-4F9A-9602-AE389BEECDDA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FC389-884B-4CAE-B407-4523CE4DBA99}">
  <dimension ref="A1:B195"/>
  <sheetViews>
    <sheetView workbookViewId="0">
      <selection sqref="A1:B2"/>
    </sheetView>
  </sheetViews>
  <sheetFormatPr defaultRowHeight="15" x14ac:dyDescent="0.25"/>
  <cols>
    <col min="2" max="2" width="22.42578125" bestFit="1" customWidth="1"/>
  </cols>
  <sheetData>
    <row r="1" spans="1:2" x14ac:dyDescent="0.25">
      <c r="A1" t="s">
        <v>457</v>
      </c>
      <c r="B1" s="82" t="s">
        <v>458</v>
      </c>
    </row>
    <row r="2" spans="1:2" x14ac:dyDescent="0.25">
      <c r="A2">
        <v>1</v>
      </c>
      <c r="B2" t="s">
        <v>461</v>
      </c>
    </row>
    <row r="3" spans="1:2" x14ac:dyDescent="0.25">
      <c r="A3">
        <f>A2+1</f>
        <v>2</v>
      </c>
      <c r="B3" t="s">
        <v>460</v>
      </c>
    </row>
    <row r="4" spans="1:2" x14ac:dyDescent="0.25">
      <c r="A4">
        <f t="shared" ref="A4:A67" si="0">A3+1</f>
        <v>3</v>
      </c>
      <c r="B4" t="s">
        <v>462</v>
      </c>
    </row>
    <row r="5" spans="1:2" x14ac:dyDescent="0.25">
      <c r="A5">
        <f t="shared" si="0"/>
        <v>4</v>
      </c>
      <c r="B5" t="s">
        <v>314</v>
      </c>
    </row>
    <row r="6" spans="1:2" x14ac:dyDescent="0.25">
      <c r="A6">
        <f t="shared" si="0"/>
        <v>5</v>
      </c>
      <c r="B6" t="s">
        <v>463</v>
      </c>
    </row>
    <row r="7" spans="1:2" x14ac:dyDescent="0.25">
      <c r="A7">
        <f t="shared" si="0"/>
        <v>6</v>
      </c>
      <c r="B7" t="s">
        <v>465</v>
      </c>
    </row>
    <row r="8" spans="1:2" x14ac:dyDescent="0.25">
      <c r="A8">
        <f t="shared" si="0"/>
        <v>7</v>
      </c>
      <c r="B8" t="s">
        <v>464</v>
      </c>
    </row>
    <row r="9" spans="1:2" x14ac:dyDescent="0.25">
      <c r="A9">
        <f t="shared" si="0"/>
        <v>8</v>
      </c>
      <c r="B9" t="s">
        <v>466</v>
      </c>
    </row>
    <row r="10" spans="1:2" x14ac:dyDescent="0.25">
      <c r="A10">
        <f t="shared" si="0"/>
        <v>9</v>
      </c>
      <c r="B10" t="s">
        <v>467</v>
      </c>
    </row>
    <row r="11" spans="1:2" x14ac:dyDescent="0.25">
      <c r="A11">
        <f t="shared" si="0"/>
        <v>10</v>
      </c>
      <c r="B11" t="s">
        <v>293</v>
      </c>
    </row>
    <row r="12" spans="1:2" x14ac:dyDescent="0.25">
      <c r="A12">
        <f t="shared" si="0"/>
        <v>11</v>
      </c>
      <c r="B12" t="s">
        <v>468</v>
      </c>
    </row>
    <row r="13" spans="1:2" x14ac:dyDescent="0.25">
      <c r="A13">
        <f t="shared" si="0"/>
        <v>12</v>
      </c>
      <c r="B13" t="s">
        <v>469</v>
      </c>
    </row>
    <row r="14" spans="1:2" x14ac:dyDescent="0.25">
      <c r="A14">
        <f t="shared" si="0"/>
        <v>13</v>
      </c>
      <c r="B14" t="s">
        <v>470</v>
      </c>
    </row>
    <row r="15" spans="1:2" x14ac:dyDescent="0.25">
      <c r="A15">
        <f t="shared" si="0"/>
        <v>14</v>
      </c>
      <c r="B15" t="s">
        <v>471</v>
      </c>
    </row>
    <row r="16" spans="1:2" x14ac:dyDescent="0.25">
      <c r="A16">
        <f t="shared" si="0"/>
        <v>15</v>
      </c>
      <c r="B16" t="s">
        <v>472</v>
      </c>
    </row>
    <row r="17" spans="1:2" x14ac:dyDescent="0.25">
      <c r="A17">
        <f t="shared" si="0"/>
        <v>16</v>
      </c>
      <c r="B17" t="s">
        <v>473</v>
      </c>
    </row>
    <row r="18" spans="1:2" x14ac:dyDescent="0.25">
      <c r="A18">
        <f t="shared" si="0"/>
        <v>17</v>
      </c>
      <c r="B18" t="s">
        <v>474</v>
      </c>
    </row>
    <row r="19" spans="1:2" x14ac:dyDescent="0.25">
      <c r="A19">
        <f t="shared" si="0"/>
        <v>18</v>
      </c>
      <c r="B19" t="s">
        <v>475</v>
      </c>
    </row>
    <row r="20" spans="1:2" x14ac:dyDescent="0.25">
      <c r="A20">
        <f t="shared" si="0"/>
        <v>19</v>
      </c>
      <c r="B20" t="s">
        <v>476</v>
      </c>
    </row>
    <row r="21" spans="1:2" x14ac:dyDescent="0.25">
      <c r="A21">
        <f t="shared" si="0"/>
        <v>20</v>
      </c>
      <c r="B21" t="s">
        <v>130</v>
      </c>
    </row>
    <row r="22" spans="1:2" x14ac:dyDescent="0.25">
      <c r="A22">
        <f t="shared" si="0"/>
        <v>21</v>
      </c>
      <c r="B22" t="s">
        <v>477</v>
      </c>
    </row>
    <row r="23" spans="1:2" x14ac:dyDescent="0.25">
      <c r="A23">
        <f t="shared" si="0"/>
        <v>22</v>
      </c>
      <c r="B23" t="s">
        <v>478</v>
      </c>
    </row>
    <row r="24" spans="1:2" x14ac:dyDescent="0.25">
      <c r="A24">
        <f t="shared" si="0"/>
        <v>23</v>
      </c>
      <c r="B24" t="s">
        <v>220</v>
      </c>
    </row>
    <row r="25" spans="1:2" x14ac:dyDescent="0.25">
      <c r="A25">
        <f t="shared" si="0"/>
        <v>24</v>
      </c>
      <c r="B25" t="s">
        <v>479</v>
      </c>
    </row>
    <row r="26" spans="1:2" x14ac:dyDescent="0.25">
      <c r="A26">
        <f t="shared" si="0"/>
        <v>25</v>
      </c>
      <c r="B26" t="s">
        <v>480</v>
      </c>
    </row>
    <row r="27" spans="1:2" x14ac:dyDescent="0.25">
      <c r="A27">
        <f t="shared" si="0"/>
        <v>26</v>
      </c>
      <c r="B27" t="s">
        <v>481</v>
      </c>
    </row>
    <row r="28" spans="1:2" x14ac:dyDescent="0.25">
      <c r="A28">
        <f t="shared" si="0"/>
        <v>27</v>
      </c>
      <c r="B28" t="s">
        <v>482</v>
      </c>
    </row>
    <row r="29" spans="1:2" x14ac:dyDescent="0.25">
      <c r="A29">
        <f t="shared" si="0"/>
        <v>28</v>
      </c>
      <c r="B29" t="s">
        <v>485</v>
      </c>
    </row>
    <row r="30" spans="1:2" x14ac:dyDescent="0.25">
      <c r="A30">
        <f t="shared" si="0"/>
        <v>29</v>
      </c>
      <c r="B30" t="s">
        <v>486</v>
      </c>
    </row>
    <row r="31" spans="1:2" x14ac:dyDescent="0.25">
      <c r="A31">
        <f t="shared" si="0"/>
        <v>30</v>
      </c>
      <c r="B31" t="s">
        <v>483</v>
      </c>
    </row>
    <row r="32" spans="1:2" x14ac:dyDescent="0.25">
      <c r="A32">
        <f t="shared" si="0"/>
        <v>31</v>
      </c>
      <c r="B32" t="s">
        <v>484</v>
      </c>
    </row>
    <row r="33" spans="1:2" x14ac:dyDescent="0.25">
      <c r="A33">
        <f t="shared" si="0"/>
        <v>32</v>
      </c>
      <c r="B33" t="s">
        <v>487</v>
      </c>
    </row>
    <row r="34" spans="1:2" x14ac:dyDescent="0.25">
      <c r="A34">
        <f t="shared" si="0"/>
        <v>33</v>
      </c>
      <c r="B34" t="s">
        <v>382</v>
      </c>
    </row>
    <row r="35" spans="1:2" x14ac:dyDescent="0.25">
      <c r="A35">
        <f t="shared" si="0"/>
        <v>34</v>
      </c>
      <c r="B35" t="s">
        <v>488</v>
      </c>
    </row>
    <row r="36" spans="1:2" x14ac:dyDescent="0.25">
      <c r="A36">
        <f t="shared" si="0"/>
        <v>35</v>
      </c>
      <c r="B36" t="s">
        <v>127</v>
      </c>
    </row>
    <row r="37" spans="1:2" x14ac:dyDescent="0.25">
      <c r="A37">
        <f t="shared" si="0"/>
        <v>36</v>
      </c>
      <c r="B37" t="s">
        <v>489</v>
      </c>
    </row>
    <row r="38" spans="1:2" x14ac:dyDescent="0.25">
      <c r="A38">
        <f t="shared" si="0"/>
        <v>37</v>
      </c>
      <c r="B38" t="s">
        <v>403</v>
      </c>
    </row>
    <row r="39" spans="1:2" x14ac:dyDescent="0.25">
      <c r="A39">
        <f t="shared" si="0"/>
        <v>38</v>
      </c>
      <c r="B39" t="s">
        <v>490</v>
      </c>
    </row>
    <row r="40" spans="1:2" x14ac:dyDescent="0.25">
      <c r="A40">
        <f t="shared" si="0"/>
        <v>39</v>
      </c>
      <c r="B40" t="s">
        <v>491</v>
      </c>
    </row>
    <row r="41" spans="1:2" x14ac:dyDescent="0.25">
      <c r="A41">
        <f t="shared" si="0"/>
        <v>40</v>
      </c>
      <c r="B41" t="s">
        <v>262</v>
      </c>
    </row>
    <row r="42" spans="1:2" x14ac:dyDescent="0.25">
      <c r="A42">
        <f t="shared" si="0"/>
        <v>41</v>
      </c>
      <c r="B42" t="s">
        <v>492</v>
      </c>
    </row>
    <row r="43" spans="1:2" x14ac:dyDescent="0.25">
      <c r="A43">
        <f t="shared" si="0"/>
        <v>42</v>
      </c>
      <c r="B43" t="s">
        <v>493</v>
      </c>
    </row>
    <row r="44" spans="1:2" x14ac:dyDescent="0.25">
      <c r="A44">
        <f t="shared" si="0"/>
        <v>43</v>
      </c>
      <c r="B44" t="s">
        <v>494</v>
      </c>
    </row>
    <row r="45" spans="1:2" x14ac:dyDescent="0.25">
      <c r="A45">
        <f t="shared" si="0"/>
        <v>44</v>
      </c>
      <c r="B45" t="s">
        <v>495</v>
      </c>
    </row>
    <row r="46" spans="1:2" x14ac:dyDescent="0.25">
      <c r="A46">
        <f t="shared" si="0"/>
        <v>45</v>
      </c>
      <c r="B46" t="s">
        <v>98</v>
      </c>
    </row>
    <row r="47" spans="1:2" x14ac:dyDescent="0.25">
      <c r="A47">
        <f t="shared" si="0"/>
        <v>46</v>
      </c>
      <c r="B47" t="s">
        <v>496</v>
      </c>
    </row>
    <row r="48" spans="1:2" x14ac:dyDescent="0.25">
      <c r="A48">
        <f t="shared" si="0"/>
        <v>47</v>
      </c>
      <c r="B48" t="s">
        <v>497</v>
      </c>
    </row>
    <row r="49" spans="1:2" x14ac:dyDescent="0.25">
      <c r="A49">
        <f t="shared" si="0"/>
        <v>48</v>
      </c>
      <c r="B49" t="s">
        <v>258</v>
      </c>
    </row>
    <row r="50" spans="1:2" x14ac:dyDescent="0.25">
      <c r="A50">
        <f t="shared" si="0"/>
        <v>49</v>
      </c>
      <c r="B50" t="s">
        <v>498</v>
      </c>
    </row>
    <row r="51" spans="1:2" x14ac:dyDescent="0.25">
      <c r="A51">
        <f t="shared" si="0"/>
        <v>50</v>
      </c>
      <c r="B51" t="s">
        <v>499</v>
      </c>
    </row>
    <row r="52" spans="1:2" x14ac:dyDescent="0.25">
      <c r="A52">
        <f t="shared" si="0"/>
        <v>51</v>
      </c>
      <c r="B52" t="s">
        <v>500</v>
      </c>
    </row>
    <row r="53" spans="1:2" x14ac:dyDescent="0.25">
      <c r="A53">
        <f t="shared" si="0"/>
        <v>52</v>
      </c>
      <c r="B53" t="s">
        <v>501</v>
      </c>
    </row>
    <row r="54" spans="1:2" x14ac:dyDescent="0.25">
      <c r="A54">
        <f t="shared" si="0"/>
        <v>53</v>
      </c>
      <c r="B54" t="s">
        <v>502</v>
      </c>
    </row>
    <row r="55" spans="1:2" x14ac:dyDescent="0.25">
      <c r="A55">
        <f t="shared" si="0"/>
        <v>54</v>
      </c>
      <c r="B55" t="s">
        <v>503</v>
      </c>
    </row>
    <row r="56" spans="1:2" x14ac:dyDescent="0.25">
      <c r="A56">
        <f t="shared" si="0"/>
        <v>55</v>
      </c>
      <c r="B56" t="s">
        <v>504</v>
      </c>
    </row>
    <row r="57" spans="1:2" x14ac:dyDescent="0.25">
      <c r="A57">
        <f t="shared" si="0"/>
        <v>56</v>
      </c>
      <c r="B57" t="s">
        <v>191</v>
      </c>
    </row>
    <row r="58" spans="1:2" x14ac:dyDescent="0.25">
      <c r="A58">
        <f t="shared" si="0"/>
        <v>57</v>
      </c>
      <c r="B58" t="s">
        <v>505</v>
      </c>
    </row>
    <row r="59" spans="1:2" x14ac:dyDescent="0.25">
      <c r="A59">
        <f t="shared" si="0"/>
        <v>58</v>
      </c>
      <c r="B59" t="s">
        <v>507</v>
      </c>
    </row>
    <row r="60" spans="1:2" x14ac:dyDescent="0.25">
      <c r="A60">
        <f t="shared" si="0"/>
        <v>59</v>
      </c>
      <c r="B60" t="s">
        <v>506</v>
      </c>
    </row>
    <row r="61" spans="1:2" x14ac:dyDescent="0.25">
      <c r="A61">
        <f t="shared" si="0"/>
        <v>60</v>
      </c>
      <c r="B61" t="s">
        <v>508</v>
      </c>
    </row>
    <row r="62" spans="1:2" x14ac:dyDescent="0.25">
      <c r="A62">
        <f t="shared" si="0"/>
        <v>61</v>
      </c>
      <c r="B62" t="s">
        <v>509</v>
      </c>
    </row>
    <row r="63" spans="1:2" x14ac:dyDescent="0.25">
      <c r="A63">
        <f t="shared" si="0"/>
        <v>62</v>
      </c>
      <c r="B63" t="s">
        <v>511</v>
      </c>
    </row>
    <row r="64" spans="1:2" x14ac:dyDescent="0.25">
      <c r="A64">
        <f t="shared" si="0"/>
        <v>63</v>
      </c>
      <c r="B64" t="s">
        <v>510</v>
      </c>
    </row>
    <row r="65" spans="1:2" x14ac:dyDescent="0.25">
      <c r="A65">
        <f t="shared" si="0"/>
        <v>64</v>
      </c>
      <c r="B65" t="s">
        <v>514</v>
      </c>
    </row>
    <row r="66" spans="1:2" x14ac:dyDescent="0.25">
      <c r="A66">
        <f t="shared" si="0"/>
        <v>65</v>
      </c>
      <c r="B66" t="s">
        <v>515</v>
      </c>
    </row>
    <row r="67" spans="1:2" x14ac:dyDescent="0.25">
      <c r="A67">
        <f t="shared" si="0"/>
        <v>66</v>
      </c>
      <c r="B67" t="s">
        <v>516</v>
      </c>
    </row>
    <row r="68" spans="1:2" x14ac:dyDescent="0.25">
      <c r="A68">
        <f t="shared" ref="A68:A131" si="1">A67+1</f>
        <v>67</v>
      </c>
      <c r="B68" t="s">
        <v>517</v>
      </c>
    </row>
    <row r="69" spans="1:2" x14ac:dyDescent="0.25">
      <c r="A69">
        <f t="shared" si="1"/>
        <v>68</v>
      </c>
      <c r="B69" t="s">
        <v>518</v>
      </c>
    </row>
    <row r="70" spans="1:2" x14ac:dyDescent="0.25">
      <c r="A70">
        <f t="shared" si="1"/>
        <v>69</v>
      </c>
      <c r="B70" t="s">
        <v>519</v>
      </c>
    </row>
    <row r="71" spans="1:2" x14ac:dyDescent="0.25">
      <c r="A71">
        <f t="shared" si="1"/>
        <v>70</v>
      </c>
      <c r="B71" t="s">
        <v>520</v>
      </c>
    </row>
    <row r="72" spans="1:2" x14ac:dyDescent="0.25">
      <c r="A72">
        <f t="shared" si="1"/>
        <v>71</v>
      </c>
      <c r="B72" t="s">
        <v>521</v>
      </c>
    </row>
    <row r="73" spans="1:2" x14ac:dyDescent="0.25">
      <c r="A73">
        <f t="shared" si="1"/>
        <v>72</v>
      </c>
      <c r="B73" t="s">
        <v>512</v>
      </c>
    </row>
    <row r="74" spans="1:2" x14ac:dyDescent="0.25">
      <c r="A74">
        <f t="shared" si="1"/>
        <v>73</v>
      </c>
      <c r="B74" t="s">
        <v>522</v>
      </c>
    </row>
    <row r="75" spans="1:2" x14ac:dyDescent="0.25">
      <c r="A75">
        <f t="shared" si="1"/>
        <v>74</v>
      </c>
      <c r="B75" t="s">
        <v>523</v>
      </c>
    </row>
    <row r="76" spans="1:2" x14ac:dyDescent="0.25">
      <c r="A76">
        <f t="shared" si="1"/>
        <v>75</v>
      </c>
      <c r="B76" t="s">
        <v>524</v>
      </c>
    </row>
    <row r="77" spans="1:2" x14ac:dyDescent="0.25">
      <c r="A77">
        <f t="shared" si="1"/>
        <v>76</v>
      </c>
      <c r="B77" t="s">
        <v>525</v>
      </c>
    </row>
    <row r="78" spans="1:2" x14ac:dyDescent="0.25">
      <c r="A78">
        <f t="shared" si="1"/>
        <v>77</v>
      </c>
      <c r="B78" t="s">
        <v>526</v>
      </c>
    </row>
    <row r="79" spans="1:2" x14ac:dyDescent="0.25">
      <c r="A79">
        <f t="shared" si="1"/>
        <v>78</v>
      </c>
      <c r="B79" t="s">
        <v>513</v>
      </c>
    </row>
    <row r="80" spans="1:2" x14ac:dyDescent="0.25">
      <c r="A80">
        <f t="shared" si="1"/>
        <v>79</v>
      </c>
      <c r="B80" t="s">
        <v>527</v>
      </c>
    </row>
    <row r="81" spans="1:2" x14ac:dyDescent="0.25">
      <c r="A81">
        <f t="shared" si="1"/>
        <v>80</v>
      </c>
      <c r="B81" t="s">
        <v>528</v>
      </c>
    </row>
    <row r="82" spans="1:2" x14ac:dyDescent="0.25">
      <c r="A82">
        <f t="shared" si="1"/>
        <v>81</v>
      </c>
      <c r="B82" t="s">
        <v>529</v>
      </c>
    </row>
    <row r="83" spans="1:2" x14ac:dyDescent="0.25">
      <c r="A83">
        <f t="shared" si="1"/>
        <v>82</v>
      </c>
      <c r="B83" t="s">
        <v>530</v>
      </c>
    </row>
    <row r="84" spans="1:2" x14ac:dyDescent="0.25">
      <c r="A84">
        <f t="shared" si="1"/>
        <v>83</v>
      </c>
      <c r="B84" t="s">
        <v>531</v>
      </c>
    </row>
    <row r="85" spans="1:2" x14ac:dyDescent="0.25">
      <c r="A85">
        <f t="shared" si="1"/>
        <v>84</v>
      </c>
      <c r="B85" t="s">
        <v>69</v>
      </c>
    </row>
    <row r="86" spans="1:2" x14ac:dyDescent="0.25">
      <c r="A86">
        <f t="shared" si="1"/>
        <v>85</v>
      </c>
      <c r="B86" t="s">
        <v>532</v>
      </c>
    </row>
    <row r="87" spans="1:2" x14ac:dyDescent="0.25">
      <c r="A87">
        <f t="shared" si="1"/>
        <v>86</v>
      </c>
      <c r="B87" t="s">
        <v>533</v>
      </c>
    </row>
    <row r="88" spans="1:2" x14ac:dyDescent="0.25">
      <c r="A88">
        <f t="shared" si="1"/>
        <v>87</v>
      </c>
      <c r="B88" t="s">
        <v>432</v>
      </c>
    </row>
    <row r="89" spans="1:2" x14ac:dyDescent="0.25">
      <c r="A89">
        <f t="shared" si="1"/>
        <v>88</v>
      </c>
      <c r="B89" t="s">
        <v>299</v>
      </c>
    </row>
    <row r="90" spans="1:2" x14ac:dyDescent="0.25">
      <c r="A90">
        <f t="shared" si="1"/>
        <v>89</v>
      </c>
      <c r="B90" t="s">
        <v>534</v>
      </c>
    </row>
    <row r="91" spans="1:2" x14ac:dyDescent="0.25">
      <c r="A91">
        <f t="shared" si="1"/>
        <v>90</v>
      </c>
      <c r="B91" t="s">
        <v>535</v>
      </c>
    </row>
    <row r="92" spans="1:2" x14ac:dyDescent="0.25">
      <c r="A92">
        <f t="shared" si="1"/>
        <v>91</v>
      </c>
      <c r="B92" t="s">
        <v>536</v>
      </c>
    </row>
    <row r="93" spans="1:2" x14ac:dyDescent="0.25">
      <c r="A93">
        <f t="shared" si="1"/>
        <v>92</v>
      </c>
      <c r="B93" t="s">
        <v>537</v>
      </c>
    </row>
    <row r="94" spans="1:2" x14ac:dyDescent="0.25">
      <c r="A94">
        <f t="shared" si="1"/>
        <v>93</v>
      </c>
      <c r="B94" t="s">
        <v>72</v>
      </c>
    </row>
    <row r="95" spans="1:2" x14ac:dyDescent="0.25">
      <c r="A95">
        <f t="shared" si="1"/>
        <v>94</v>
      </c>
      <c r="B95" t="s">
        <v>538</v>
      </c>
    </row>
    <row r="96" spans="1:2" x14ac:dyDescent="0.25">
      <c r="A96">
        <f t="shared" si="1"/>
        <v>95</v>
      </c>
      <c r="B96" t="s">
        <v>539</v>
      </c>
    </row>
    <row r="97" spans="1:2" x14ac:dyDescent="0.25">
      <c r="A97">
        <f t="shared" si="1"/>
        <v>96</v>
      </c>
      <c r="B97" t="s">
        <v>540</v>
      </c>
    </row>
    <row r="98" spans="1:2" x14ac:dyDescent="0.25">
      <c r="A98">
        <f t="shared" si="1"/>
        <v>97</v>
      </c>
      <c r="B98" t="s">
        <v>541</v>
      </c>
    </row>
    <row r="99" spans="1:2" x14ac:dyDescent="0.25">
      <c r="A99">
        <f t="shared" si="1"/>
        <v>98</v>
      </c>
      <c r="B99" t="s">
        <v>542</v>
      </c>
    </row>
    <row r="100" spans="1:2" x14ac:dyDescent="0.25">
      <c r="A100">
        <f t="shared" si="1"/>
        <v>99</v>
      </c>
      <c r="B100" t="s">
        <v>543</v>
      </c>
    </row>
    <row r="101" spans="1:2" x14ac:dyDescent="0.25">
      <c r="A101">
        <f t="shared" si="1"/>
        <v>100</v>
      </c>
      <c r="B101" t="s">
        <v>544</v>
      </c>
    </row>
    <row r="102" spans="1:2" x14ac:dyDescent="0.25">
      <c r="A102">
        <f t="shared" si="1"/>
        <v>101</v>
      </c>
      <c r="B102" t="s">
        <v>545</v>
      </c>
    </row>
    <row r="103" spans="1:2" x14ac:dyDescent="0.25">
      <c r="A103">
        <f t="shared" si="1"/>
        <v>102</v>
      </c>
      <c r="B103" t="s">
        <v>546</v>
      </c>
    </row>
    <row r="104" spans="1:2" x14ac:dyDescent="0.25">
      <c r="A104">
        <f t="shared" si="1"/>
        <v>103</v>
      </c>
      <c r="B104" t="s">
        <v>275</v>
      </c>
    </row>
    <row r="105" spans="1:2" x14ac:dyDescent="0.25">
      <c r="A105">
        <f t="shared" si="1"/>
        <v>104</v>
      </c>
      <c r="B105" t="s">
        <v>547</v>
      </c>
    </row>
    <row r="106" spans="1:2" x14ac:dyDescent="0.25">
      <c r="A106">
        <f t="shared" si="1"/>
        <v>105</v>
      </c>
      <c r="B106" t="s">
        <v>549</v>
      </c>
    </row>
    <row r="107" spans="1:2" x14ac:dyDescent="0.25">
      <c r="A107">
        <f t="shared" si="1"/>
        <v>106</v>
      </c>
      <c r="B107" t="s">
        <v>550</v>
      </c>
    </row>
    <row r="108" spans="1:2" x14ac:dyDescent="0.25">
      <c r="A108">
        <f t="shared" si="1"/>
        <v>107</v>
      </c>
      <c r="B108" t="s">
        <v>551</v>
      </c>
    </row>
    <row r="109" spans="1:2" x14ac:dyDescent="0.25">
      <c r="A109">
        <f t="shared" si="1"/>
        <v>108</v>
      </c>
      <c r="B109" t="s">
        <v>548</v>
      </c>
    </row>
    <row r="110" spans="1:2" x14ac:dyDescent="0.25">
      <c r="A110">
        <f t="shared" si="1"/>
        <v>109</v>
      </c>
      <c r="B110" t="s">
        <v>553</v>
      </c>
    </row>
    <row r="111" spans="1:2" x14ac:dyDescent="0.25">
      <c r="A111">
        <f t="shared" si="1"/>
        <v>110</v>
      </c>
      <c r="B111" t="s">
        <v>554</v>
      </c>
    </row>
    <row r="112" spans="1:2" x14ac:dyDescent="0.25">
      <c r="A112">
        <f t="shared" si="1"/>
        <v>111</v>
      </c>
      <c r="B112" t="s">
        <v>555</v>
      </c>
    </row>
    <row r="113" spans="1:2" x14ac:dyDescent="0.25">
      <c r="A113">
        <f t="shared" si="1"/>
        <v>112</v>
      </c>
      <c r="B113" t="s">
        <v>556</v>
      </c>
    </row>
    <row r="114" spans="1:2" x14ac:dyDescent="0.25">
      <c r="A114">
        <f t="shared" si="1"/>
        <v>113</v>
      </c>
      <c r="B114" t="s">
        <v>557</v>
      </c>
    </row>
    <row r="115" spans="1:2" x14ac:dyDescent="0.25">
      <c r="A115">
        <f t="shared" si="1"/>
        <v>114</v>
      </c>
      <c r="B115" t="s">
        <v>558</v>
      </c>
    </row>
    <row r="116" spans="1:2" x14ac:dyDescent="0.25">
      <c r="A116">
        <f t="shared" si="1"/>
        <v>115</v>
      </c>
      <c r="B116" t="s">
        <v>559</v>
      </c>
    </row>
    <row r="117" spans="1:2" x14ac:dyDescent="0.25">
      <c r="A117">
        <f t="shared" si="1"/>
        <v>116</v>
      </c>
      <c r="B117" t="s">
        <v>560</v>
      </c>
    </row>
    <row r="118" spans="1:2" x14ac:dyDescent="0.25">
      <c r="A118">
        <f t="shared" si="1"/>
        <v>117</v>
      </c>
      <c r="B118" t="s">
        <v>459</v>
      </c>
    </row>
    <row r="119" spans="1:2" x14ac:dyDescent="0.25">
      <c r="A119">
        <f t="shared" si="1"/>
        <v>118</v>
      </c>
      <c r="B119" t="s">
        <v>561</v>
      </c>
    </row>
    <row r="120" spans="1:2" x14ac:dyDescent="0.25">
      <c r="A120">
        <f t="shared" si="1"/>
        <v>119</v>
      </c>
      <c r="B120" t="s">
        <v>562</v>
      </c>
    </row>
    <row r="121" spans="1:2" x14ac:dyDescent="0.25">
      <c r="A121">
        <f t="shared" si="1"/>
        <v>120</v>
      </c>
      <c r="B121" t="s">
        <v>563</v>
      </c>
    </row>
    <row r="122" spans="1:2" x14ac:dyDescent="0.25">
      <c r="A122">
        <f t="shared" si="1"/>
        <v>121</v>
      </c>
      <c r="B122" t="s">
        <v>552</v>
      </c>
    </row>
    <row r="123" spans="1:2" x14ac:dyDescent="0.25">
      <c r="A123">
        <f t="shared" si="1"/>
        <v>122</v>
      </c>
      <c r="B123" t="s">
        <v>565</v>
      </c>
    </row>
    <row r="124" spans="1:2" x14ac:dyDescent="0.25">
      <c r="A124">
        <f t="shared" si="1"/>
        <v>123</v>
      </c>
      <c r="B124" t="s">
        <v>423</v>
      </c>
    </row>
    <row r="125" spans="1:2" x14ac:dyDescent="0.25">
      <c r="A125">
        <f t="shared" si="1"/>
        <v>124</v>
      </c>
      <c r="B125" t="s">
        <v>566</v>
      </c>
    </row>
    <row r="126" spans="1:2" x14ac:dyDescent="0.25">
      <c r="A126">
        <f t="shared" si="1"/>
        <v>125</v>
      </c>
      <c r="B126" t="s">
        <v>567</v>
      </c>
    </row>
    <row r="127" spans="1:2" x14ac:dyDescent="0.25">
      <c r="A127">
        <f t="shared" si="1"/>
        <v>126</v>
      </c>
      <c r="B127" t="s">
        <v>345</v>
      </c>
    </row>
    <row r="128" spans="1:2" x14ac:dyDescent="0.25">
      <c r="A128">
        <f t="shared" si="1"/>
        <v>127</v>
      </c>
      <c r="B128" t="s">
        <v>564</v>
      </c>
    </row>
    <row r="129" spans="1:2" x14ac:dyDescent="0.25">
      <c r="A129">
        <f t="shared" si="1"/>
        <v>128</v>
      </c>
      <c r="B129" t="s">
        <v>568</v>
      </c>
    </row>
    <row r="130" spans="1:2" x14ac:dyDescent="0.25">
      <c r="A130">
        <f t="shared" si="1"/>
        <v>129</v>
      </c>
      <c r="B130" t="s">
        <v>249</v>
      </c>
    </row>
    <row r="131" spans="1:2" x14ac:dyDescent="0.25">
      <c r="A131">
        <f t="shared" si="1"/>
        <v>130</v>
      </c>
      <c r="B131" t="s">
        <v>307</v>
      </c>
    </row>
    <row r="132" spans="1:2" x14ac:dyDescent="0.25">
      <c r="A132">
        <f t="shared" ref="A132:A195" si="2">A131+1</f>
        <v>131</v>
      </c>
      <c r="B132" t="s">
        <v>569</v>
      </c>
    </row>
    <row r="133" spans="1:2" x14ac:dyDescent="0.25">
      <c r="A133">
        <f t="shared" si="2"/>
        <v>132</v>
      </c>
      <c r="B133" t="s">
        <v>427</v>
      </c>
    </row>
    <row r="134" spans="1:2" x14ac:dyDescent="0.25">
      <c r="A134">
        <f t="shared" si="2"/>
        <v>133</v>
      </c>
      <c r="B134" t="s">
        <v>570</v>
      </c>
    </row>
    <row r="135" spans="1:2" x14ac:dyDescent="0.25">
      <c r="A135">
        <f t="shared" si="2"/>
        <v>134</v>
      </c>
      <c r="B135" t="s">
        <v>572</v>
      </c>
    </row>
    <row r="136" spans="1:2" x14ac:dyDescent="0.25">
      <c r="A136">
        <f t="shared" si="2"/>
        <v>135</v>
      </c>
      <c r="B136" t="s">
        <v>571</v>
      </c>
    </row>
    <row r="137" spans="1:2" x14ac:dyDescent="0.25">
      <c r="A137">
        <f t="shared" si="2"/>
        <v>136</v>
      </c>
      <c r="B137" t="s">
        <v>573</v>
      </c>
    </row>
    <row r="138" spans="1:2" x14ac:dyDescent="0.25">
      <c r="A138">
        <f t="shared" si="2"/>
        <v>137</v>
      </c>
      <c r="B138" t="s">
        <v>574</v>
      </c>
    </row>
    <row r="139" spans="1:2" x14ac:dyDescent="0.25">
      <c r="A139">
        <f t="shared" si="2"/>
        <v>138</v>
      </c>
      <c r="B139" t="s">
        <v>575</v>
      </c>
    </row>
    <row r="140" spans="1:2" x14ac:dyDescent="0.25">
      <c r="A140">
        <f t="shared" si="2"/>
        <v>139</v>
      </c>
      <c r="B140" t="s">
        <v>576</v>
      </c>
    </row>
    <row r="141" spans="1:2" x14ac:dyDescent="0.25">
      <c r="A141">
        <f t="shared" si="2"/>
        <v>140</v>
      </c>
      <c r="B141" t="s">
        <v>577</v>
      </c>
    </row>
    <row r="142" spans="1:2" x14ac:dyDescent="0.25">
      <c r="A142">
        <f t="shared" si="2"/>
        <v>141</v>
      </c>
      <c r="B142" t="s">
        <v>578</v>
      </c>
    </row>
    <row r="143" spans="1:2" x14ac:dyDescent="0.25">
      <c r="A143">
        <f t="shared" si="2"/>
        <v>142</v>
      </c>
      <c r="B143" t="s">
        <v>579</v>
      </c>
    </row>
    <row r="144" spans="1:2" x14ac:dyDescent="0.25">
      <c r="A144">
        <f t="shared" si="2"/>
        <v>143</v>
      </c>
      <c r="B144" t="s">
        <v>406</v>
      </c>
    </row>
    <row r="145" spans="1:2" x14ac:dyDescent="0.25">
      <c r="A145">
        <f t="shared" si="2"/>
        <v>144</v>
      </c>
      <c r="B145" t="s">
        <v>580</v>
      </c>
    </row>
    <row r="146" spans="1:2" x14ac:dyDescent="0.25">
      <c r="A146">
        <f t="shared" si="2"/>
        <v>145</v>
      </c>
      <c r="B146" t="s">
        <v>581</v>
      </c>
    </row>
    <row r="147" spans="1:2" x14ac:dyDescent="0.25">
      <c r="A147">
        <f t="shared" si="2"/>
        <v>146</v>
      </c>
      <c r="B147" t="s">
        <v>582</v>
      </c>
    </row>
    <row r="148" spans="1:2" x14ac:dyDescent="0.25">
      <c r="A148">
        <f t="shared" si="2"/>
        <v>147</v>
      </c>
      <c r="B148" t="s">
        <v>583</v>
      </c>
    </row>
    <row r="149" spans="1:2" x14ac:dyDescent="0.25">
      <c r="A149">
        <f t="shared" si="2"/>
        <v>148</v>
      </c>
      <c r="B149" t="s">
        <v>584</v>
      </c>
    </row>
    <row r="150" spans="1:2" x14ac:dyDescent="0.25">
      <c r="A150">
        <f t="shared" si="2"/>
        <v>149</v>
      </c>
      <c r="B150" t="s">
        <v>585</v>
      </c>
    </row>
    <row r="151" spans="1:2" x14ac:dyDescent="0.25">
      <c r="A151">
        <f t="shared" si="2"/>
        <v>150</v>
      </c>
      <c r="B151" t="s">
        <v>586</v>
      </c>
    </row>
    <row r="152" spans="1:2" x14ac:dyDescent="0.25">
      <c r="A152">
        <f t="shared" si="2"/>
        <v>151</v>
      </c>
      <c r="B152" t="s">
        <v>587</v>
      </c>
    </row>
    <row r="153" spans="1:2" x14ac:dyDescent="0.25">
      <c r="A153">
        <f t="shared" si="2"/>
        <v>152</v>
      </c>
      <c r="B153" t="s">
        <v>588</v>
      </c>
    </row>
    <row r="154" spans="1:2" x14ac:dyDescent="0.25">
      <c r="A154">
        <f t="shared" si="2"/>
        <v>153</v>
      </c>
      <c r="B154" t="s">
        <v>589</v>
      </c>
    </row>
    <row r="155" spans="1:2" x14ac:dyDescent="0.25">
      <c r="A155">
        <f t="shared" si="2"/>
        <v>154</v>
      </c>
      <c r="B155" t="s">
        <v>590</v>
      </c>
    </row>
    <row r="156" spans="1:2" x14ac:dyDescent="0.25">
      <c r="A156">
        <f t="shared" si="2"/>
        <v>155</v>
      </c>
      <c r="B156" t="s">
        <v>591</v>
      </c>
    </row>
    <row r="157" spans="1:2" x14ac:dyDescent="0.25">
      <c r="A157">
        <f t="shared" si="2"/>
        <v>156</v>
      </c>
      <c r="B157" t="s">
        <v>592</v>
      </c>
    </row>
    <row r="158" spans="1:2" x14ac:dyDescent="0.25">
      <c r="A158">
        <f t="shared" si="2"/>
        <v>157</v>
      </c>
      <c r="B158" t="s">
        <v>415</v>
      </c>
    </row>
    <row r="159" spans="1:2" x14ac:dyDescent="0.25">
      <c r="A159">
        <f t="shared" si="2"/>
        <v>158</v>
      </c>
      <c r="B159" t="s">
        <v>593</v>
      </c>
    </row>
    <row r="160" spans="1:2" x14ac:dyDescent="0.25">
      <c r="A160">
        <f t="shared" si="2"/>
        <v>159</v>
      </c>
      <c r="B160" t="s">
        <v>594</v>
      </c>
    </row>
    <row r="161" spans="1:2" x14ac:dyDescent="0.25">
      <c r="A161">
        <f t="shared" si="2"/>
        <v>160</v>
      </c>
      <c r="B161" t="s">
        <v>595</v>
      </c>
    </row>
    <row r="162" spans="1:2" x14ac:dyDescent="0.25">
      <c r="A162">
        <f t="shared" si="2"/>
        <v>161</v>
      </c>
    </row>
    <row r="163" spans="1:2" x14ac:dyDescent="0.25">
      <c r="A163">
        <f t="shared" si="2"/>
        <v>162</v>
      </c>
    </row>
    <row r="164" spans="1:2" x14ac:dyDescent="0.25">
      <c r="A164">
        <f t="shared" si="2"/>
        <v>163</v>
      </c>
    </row>
    <row r="165" spans="1:2" x14ac:dyDescent="0.25">
      <c r="A165">
        <f t="shared" si="2"/>
        <v>164</v>
      </c>
    </row>
    <row r="166" spans="1:2" x14ac:dyDescent="0.25">
      <c r="A166">
        <f t="shared" si="2"/>
        <v>165</v>
      </c>
    </row>
    <row r="167" spans="1:2" x14ac:dyDescent="0.25">
      <c r="A167">
        <f t="shared" si="2"/>
        <v>166</v>
      </c>
    </row>
    <row r="168" spans="1:2" x14ac:dyDescent="0.25">
      <c r="A168">
        <f t="shared" si="2"/>
        <v>167</v>
      </c>
    </row>
    <row r="169" spans="1:2" x14ac:dyDescent="0.25">
      <c r="A169">
        <f t="shared" si="2"/>
        <v>168</v>
      </c>
    </row>
    <row r="170" spans="1:2" x14ac:dyDescent="0.25">
      <c r="A170">
        <f t="shared" si="2"/>
        <v>169</v>
      </c>
    </row>
    <row r="171" spans="1:2" x14ac:dyDescent="0.25">
      <c r="A171">
        <f t="shared" si="2"/>
        <v>170</v>
      </c>
    </row>
    <row r="172" spans="1:2" x14ac:dyDescent="0.25">
      <c r="A172">
        <f t="shared" si="2"/>
        <v>171</v>
      </c>
    </row>
    <row r="173" spans="1:2" x14ac:dyDescent="0.25">
      <c r="A173">
        <f t="shared" si="2"/>
        <v>172</v>
      </c>
    </row>
    <row r="174" spans="1:2" x14ac:dyDescent="0.25">
      <c r="A174">
        <f t="shared" si="2"/>
        <v>173</v>
      </c>
    </row>
    <row r="175" spans="1:2" x14ac:dyDescent="0.25">
      <c r="A175">
        <f t="shared" si="2"/>
        <v>174</v>
      </c>
    </row>
    <row r="176" spans="1:2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si="2"/>
        <v>180</v>
      </c>
    </row>
    <row r="182" spans="1:1" x14ac:dyDescent="0.25">
      <c r="A182">
        <f t="shared" si="2"/>
        <v>181</v>
      </c>
    </row>
    <row r="183" spans="1:1" x14ac:dyDescent="0.25">
      <c r="A183">
        <f t="shared" si="2"/>
        <v>182</v>
      </c>
    </row>
    <row r="184" spans="1:1" x14ac:dyDescent="0.25">
      <c r="A184">
        <f t="shared" si="2"/>
        <v>183</v>
      </c>
    </row>
    <row r="185" spans="1:1" x14ac:dyDescent="0.25">
      <c r="A185">
        <f t="shared" si="2"/>
        <v>184</v>
      </c>
    </row>
    <row r="186" spans="1:1" x14ac:dyDescent="0.25">
      <c r="A186">
        <f t="shared" si="2"/>
        <v>185</v>
      </c>
    </row>
    <row r="187" spans="1:1" x14ac:dyDescent="0.25">
      <c r="A187">
        <f t="shared" si="2"/>
        <v>186</v>
      </c>
    </row>
    <row r="188" spans="1:1" x14ac:dyDescent="0.25">
      <c r="A188">
        <f t="shared" si="2"/>
        <v>187</v>
      </c>
    </row>
    <row r="189" spans="1:1" x14ac:dyDescent="0.25">
      <c r="A189">
        <f t="shared" si="2"/>
        <v>188</v>
      </c>
    </row>
    <row r="190" spans="1:1" x14ac:dyDescent="0.25">
      <c r="A190">
        <f t="shared" si="2"/>
        <v>189</v>
      </c>
    </row>
    <row r="191" spans="1:1" x14ac:dyDescent="0.25">
      <c r="A191">
        <f t="shared" si="2"/>
        <v>190</v>
      </c>
    </row>
    <row r="192" spans="1:1" x14ac:dyDescent="0.25">
      <c r="A192">
        <f t="shared" si="2"/>
        <v>191</v>
      </c>
    </row>
    <row r="193" spans="1:1" x14ac:dyDescent="0.25">
      <c r="A193">
        <f t="shared" si="2"/>
        <v>192</v>
      </c>
    </row>
    <row r="194" spans="1:1" x14ac:dyDescent="0.25">
      <c r="A194">
        <f t="shared" si="2"/>
        <v>193</v>
      </c>
    </row>
    <row r="195" spans="1:1" x14ac:dyDescent="0.25">
      <c r="A195">
        <f t="shared" si="2"/>
        <v>194</v>
      </c>
    </row>
  </sheetData>
  <sortState xmlns:xlrd2="http://schemas.microsoft.com/office/spreadsheetml/2017/richdata2" ref="B2:B774">
    <sortCondition ref="B2:B774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57235-FD85-4CE0-B651-B09BBBF3C95D}">
  <dimension ref="A1:B149"/>
  <sheetViews>
    <sheetView tabSelected="1" workbookViewId="0">
      <selection activeCell="B2" sqref="B2"/>
    </sheetView>
  </sheetViews>
  <sheetFormatPr defaultRowHeight="15" x14ac:dyDescent="0.25"/>
  <cols>
    <col min="2" max="2" width="21.42578125" bestFit="1" customWidth="1"/>
  </cols>
  <sheetData>
    <row r="1" spans="1:2" x14ac:dyDescent="0.25">
      <c r="A1" s="82" t="s">
        <v>457</v>
      </c>
      <c r="B1" s="82" t="s">
        <v>440</v>
      </c>
    </row>
    <row r="2" spans="1:2" x14ac:dyDescent="0.25">
      <c r="A2">
        <v>1</v>
      </c>
      <c r="B2">
        <v>7715841135</v>
      </c>
    </row>
    <row r="3" spans="1:2" x14ac:dyDescent="0.25">
      <c r="A3">
        <f>A2+1</f>
        <v>2</v>
      </c>
      <c r="B3" t="s">
        <v>658</v>
      </c>
    </row>
    <row r="4" spans="1:2" x14ac:dyDescent="0.25">
      <c r="A4">
        <f t="shared" ref="A4:A67" si="0">A3+1</f>
        <v>3</v>
      </c>
      <c r="B4" t="s">
        <v>612</v>
      </c>
    </row>
    <row r="5" spans="1:2" x14ac:dyDescent="0.25">
      <c r="A5">
        <f t="shared" si="0"/>
        <v>4</v>
      </c>
      <c r="B5" t="s">
        <v>679</v>
      </c>
    </row>
    <row r="6" spans="1:2" x14ac:dyDescent="0.25">
      <c r="A6">
        <f t="shared" si="0"/>
        <v>5</v>
      </c>
      <c r="B6" t="s">
        <v>641</v>
      </c>
    </row>
    <row r="7" spans="1:2" x14ac:dyDescent="0.25">
      <c r="A7">
        <f t="shared" si="0"/>
        <v>6</v>
      </c>
      <c r="B7" t="s">
        <v>675</v>
      </c>
    </row>
    <row r="8" spans="1:2" x14ac:dyDescent="0.25">
      <c r="A8">
        <f t="shared" si="0"/>
        <v>7</v>
      </c>
      <c r="B8" t="s">
        <v>697</v>
      </c>
    </row>
    <row r="9" spans="1:2" x14ac:dyDescent="0.25">
      <c r="A9">
        <f>A8+1</f>
        <v>8</v>
      </c>
      <c r="B9" t="s">
        <v>115</v>
      </c>
    </row>
    <row r="10" spans="1:2" x14ac:dyDescent="0.25">
      <c r="A10">
        <f t="shared" si="0"/>
        <v>9</v>
      </c>
      <c r="B10" t="s">
        <v>681</v>
      </c>
    </row>
    <row r="11" spans="1:2" x14ac:dyDescent="0.25">
      <c r="A11">
        <f t="shared" si="0"/>
        <v>10</v>
      </c>
      <c r="B11" t="s">
        <v>684</v>
      </c>
    </row>
    <row r="12" spans="1:2" x14ac:dyDescent="0.25">
      <c r="A12">
        <f t="shared" si="0"/>
        <v>11</v>
      </c>
      <c r="B12" t="s">
        <v>611</v>
      </c>
    </row>
    <row r="13" spans="1:2" x14ac:dyDescent="0.25">
      <c r="A13">
        <f t="shared" si="0"/>
        <v>12</v>
      </c>
      <c r="B13" t="s">
        <v>623</v>
      </c>
    </row>
    <row r="14" spans="1:2" x14ac:dyDescent="0.25">
      <c r="A14">
        <f t="shared" si="0"/>
        <v>13</v>
      </c>
      <c r="B14" t="s">
        <v>319</v>
      </c>
    </row>
    <row r="15" spans="1:2" x14ac:dyDescent="0.25">
      <c r="A15">
        <f t="shared" si="0"/>
        <v>14</v>
      </c>
      <c r="B15" t="s">
        <v>639</v>
      </c>
    </row>
    <row r="16" spans="1:2" x14ac:dyDescent="0.25">
      <c r="A16">
        <f t="shared" si="0"/>
        <v>15</v>
      </c>
      <c r="B16" t="s">
        <v>683</v>
      </c>
    </row>
    <row r="17" spans="1:2" x14ac:dyDescent="0.25">
      <c r="A17">
        <f t="shared" si="0"/>
        <v>16</v>
      </c>
      <c r="B17" t="s">
        <v>691</v>
      </c>
    </row>
    <row r="18" spans="1:2" x14ac:dyDescent="0.25">
      <c r="A18">
        <f t="shared" si="0"/>
        <v>17</v>
      </c>
      <c r="B18" t="s">
        <v>616</v>
      </c>
    </row>
    <row r="19" spans="1:2" x14ac:dyDescent="0.25">
      <c r="A19">
        <f t="shared" si="0"/>
        <v>18</v>
      </c>
      <c r="B19" t="s">
        <v>696</v>
      </c>
    </row>
    <row r="20" spans="1:2" x14ac:dyDescent="0.25">
      <c r="A20">
        <f t="shared" si="0"/>
        <v>19</v>
      </c>
      <c r="B20" t="s">
        <v>687</v>
      </c>
    </row>
    <row r="21" spans="1:2" x14ac:dyDescent="0.25">
      <c r="A21">
        <f t="shared" si="0"/>
        <v>20</v>
      </c>
      <c r="B21" t="s">
        <v>660</v>
      </c>
    </row>
    <row r="22" spans="1:2" x14ac:dyDescent="0.25">
      <c r="A22">
        <f t="shared" si="0"/>
        <v>21</v>
      </c>
      <c r="B22" t="s">
        <v>669</v>
      </c>
    </row>
    <row r="23" spans="1:2" x14ac:dyDescent="0.25">
      <c r="A23">
        <f t="shared" si="0"/>
        <v>22</v>
      </c>
      <c r="B23" t="s">
        <v>86</v>
      </c>
    </row>
    <row r="24" spans="1:2" x14ac:dyDescent="0.25">
      <c r="A24">
        <f t="shared" si="0"/>
        <v>23</v>
      </c>
      <c r="B24" t="s">
        <v>390</v>
      </c>
    </row>
    <row r="25" spans="1:2" x14ac:dyDescent="0.25">
      <c r="A25">
        <f t="shared" si="0"/>
        <v>24</v>
      </c>
      <c r="B25" t="s">
        <v>274</v>
      </c>
    </row>
    <row r="26" spans="1:2" x14ac:dyDescent="0.25">
      <c r="A26">
        <f t="shared" si="0"/>
        <v>25</v>
      </c>
      <c r="B26" t="s">
        <v>672</v>
      </c>
    </row>
    <row r="27" spans="1:2" x14ac:dyDescent="0.25">
      <c r="A27">
        <f t="shared" si="0"/>
        <v>26</v>
      </c>
      <c r="B27" t="s">
        <v>331</v>
      </c>
    </row>
    <row r="28" spans="1:2" x14ac:dyDescent="0.25">
      <c r="A28">
        <f t="shared" si="0"/>
        <v>27</v>
      </c>
      <c r="B28" t="s">
        <v>615</v>
      </c>
    </row>
    <row r="29" spans="1:2" x14ac:dyDescent="0.25">
      <c r="A29">
        <f t="shared" si="0"/>
        <v>28</v>
      </c>
      <c r="B29" t="s">
        <v>650</v>
      </c>
    </row>
    <row r="30" spans="1:2" x14ac:dyDescent="0.25">
      <c r="A30">
        <f t="shared" si="0"/>
        <v>29</v>
      </c>
      <c r="B30" t="s">
        <v>606</v>
      </c>
    </row>
    <row r="31" spans="1:2" x14ac:dyDescent="0.25">
      <c r="A31">
        <f t="shared" si="0"/>
        <v>30</v>
      </c>
      <c r="B31" t="s">
        <v>633</v>
      </c>
    </row>
    <row r="32" spans="1:2" x14ac:dyDescent="0.25">
      <c r="A32">
        <f t="shared" si="0"/>
        <v>31</v>
      </c>
      <c r="B32" t="s">
        <v>604</v>
      </c>
    </row>
    <row r="33" spans="1:2" x14ac:dyDescent="0.25">
      <c r="A33">
        <f t="shared" si="0"/>
        <v>32</v>
      </c>
      <c r="B33" t="s">
        <v>678</v>
      </c>
    </row>
    <row r="34" spans="1:2" x14ac:dyDescent="0.25">
      <c r="A34">
        <f t="shared" si="0"/>
        <v>33</v>
      </c>
      <c r="B34" t="s">
        <v>664</v>
      </c>
    </row>
    <row r="35" spans="1:2" x14ac:dyDescent="0.25">
      <c r="A35">
        <f t="shared" si="0"/>
        <v>34</v>
      </c>
      <c r="B35" t="s">
        <v>482</v>
      </c>
    </row>
    <row r="36" spans="1:2" x14ac:dyDescent="0.25">
      <c r="A36">
        <f t="shared" si="0"/>
        <v>35</v>
      </c>
      <c r="B36" t="s">
        <v>93</v>
      </c>
    </row>
    <row r="37" spans="1:2" x14ac:dyDescent="0.25">
      <c r="A37">
        <f t="shared" si="0"/>
        <v>36</v>
      </c>
      <c r="B37" t="s">
        <v>688</v>
      </c>
    </row>
    <row r="38" spans="1:2" x14ac:dyDescent="0.25">
      <c r="A38">
        <f t="shared" si="0"/>
        <v>37</v>
      </c>
      <c r="B38" t="s">
        <v>292</v>
      </c>
    </row>
    <row r="39" spans="1:2" x14ac:dyDescent="0.25">
      <c r="A39">
        <f t="shared" si="0"/>
        <v>38</v>
      </c>
      <c r="B39" t="s">
        <v>73</v>
      </c>
    </row>
    <row r="40" spans="1:2" x14ac:dyDescent="0.25">
      <c r="A40">
        <f t="shared" si="0"/>
        <v>39</v>
      </c>
      <c r="B40" t="s">
        <v>685</v>
      </c>
    </row>
    <row r="41" spans="1:2" x14ac:dyDescent="0.25">
      <c r="A41">
        <f t="shared" si="0"/>
        <v>40</v>
      </c>
      <c r="B41" t="s">
        <v>417</v>
      </c>
    </row>
    <row r="42" spans="1:2" x14ac:dyDescent="0.25">
      <c r="A42">
        <f t="shared" si="0"/>
        <v>41</v>
      </c>
      <c r="B42" t="s">
        <v>598</v>
      </c>
    </row>
    <row r="43" spans="1:2" x14ac:dyDescent="0.25">
      <c r="A43">
        <f t="shared" si="0"/>
        <v>42</v>
      </c>
      <c r="B43" t="s">
        <v>676</v>
      </c>
    </row>
    <row r="44" spans="1:2" x14ac:dyDescent="0.25">
      <c r="A44">
        <f t="shared" si="0"/>
        <v>43</v>
      </c>
      <c r="B44" t="s">
        <v>610</v>
      </c>
    </row>
    <row r="45" spans="1:2" x14ac:dyDescent="0.25">
      <c r="A45">
        <f t="shared" si="0"/>
        <v>44</v>
      </c>
      <c r="B45" t="s">
        <v>686</v>
      </c>
    </row>
    <row r="46" spans="1:2" x14ac:dyDescent="0.25">
      <c r="A46">
        <f t="shared" si="0"/>
        <v>45</v>
      </c>
      <c r="B46" t="s">
        <v>388</v>
      </c>
    </row>
    <row r="47" spans="1:2" x14ac:dyDescent="0.25">
      <c r="A47">
        <f t="shared" si="0"/>
        <v>46</v>
      </c>
      <c r="B47" t="s">
        <v>638</v>
      </c>
    </row>
    <row r="48" spans="1:2" x14ac:dyDescent="0.25">
      <c r="A48">
        <f t="shared" si="0"/>
        <v>47</v>
      </c>
      <c r="B48" t="s">
        <v>118</v>
      </c>
    </row>
    <row r="49" spans="1:2" x14ac:dyDescent="0.25">
      <c r="A49">
        <f t="shared" si="0"/>
        <v>48</v>
      </c>
      <c r="B49" t="s">
        <v>601</v>
      </c>
    </row>
    <row r="50" spans="1:2" x14ac:dyDescent="0.25">
      <c r="A50">
        <f t="shared" si="0"/>
        <v>49</v>
      </c>
      <c r="B50" t="s">
        <v>318</v>
      </c>
    </row>
    <row r="51" spans="1:2" x14ac:dyDescent="0.25">
      <c r="A51">
        <f t="shared" si="0"/>
        <v>50</v>
      </c>
      <c r="B51" t="s">
        <v>85</v>
      </c>
    </row>
    <row r="52" spans="1:2" x14ac:dyDescent="0.25">
      <c r="A52">
        <f t="shared" si="0"/>
        <v>51</v>
      </c>
      <c r="B52" t="s">
        <v>628</v>
      </c>
    </row>
    <row r="53" spans="1:2" x14ac:dyDescent="0.25">
      <c r="A53">
        <f t="shared" si="0"/>
        <v>52</v>
      </c>
      <c r="B53" t="s">
        <v>630</v>
      </c>
    </row>
    <row r="54" spans="1:2" x14ac:dyDescent="0.25">
      <c r="A54">
        <f t="shared" si="0"/>
        <v>53</v>
      </c>
      <c r="B54" t="s">
        <v>333</v>
      </c>
    </row>
    <row r="55" spans="1:2" x14ac:dyDescent="0.25">
      <c r="A55">
        <f t="shared" si="0"/>
        <v>54</v>
      </c>
      <c r="B55" t="s">
        <v>66</v>
      </c>
    </row>
    <row r="56" spans="1:2" x14ac:dyDescent="0.25">
      <c r="A56">
        <f t="shared" si="0"/>
        <v>55</v>
      </c>
      <c r="B56" t="s">
        <v>367</v>
      </c>
    </row>
    <row r="57" spans="1:2" x14ac:dyDescent="0.25">
      <c r="A57">
        <f t="shared" si="0"/>
        <v>56</v>
      </c>
      <c r="B57" t="s">
        <v>348</v>
      </c>
    </row>
    <row r="58" spans="1:2" x14ac:dyDescent="0.25">
      <c r="A58">
        <f t="shared" si="0"/>
        <v>57</v>
      </c>
      <c r="B58" t="s">
        <v>621</v>
      </c>
    </row>
    <row r="59" spans="1:2" x14ac:dyDescent="0.25">
      <c r="A59">
        <f t="shared" si="0"/>
        <v>58</v>
      </c>
      <c r="B59" t="s">
        <v>663</v>
      </c>
    </row>
    <row r="60" spans="1:2" x14ac:dyDescent="0.25">
      <c r="A60">
        <f t="shared" si="0"/>
        <v>59</v>
      </c>
      <c r="B60" t="s">
        <v>321</v>
      </c>
    </row>
    <row r="61" spans="1:2" x14ac:dyDescent="0.25">
      <c r="A61">
        <f t="shared" si="0"/>
        <v>60</v>
      </c>
      <c r="B61" t="s">
        <v>172</v>
      </c>
    </row>
    <row r="62" spans="1:2" x14ac:dyDescent="0.25">
      <c r="A62">
        <f t="shared" si="0"/>
        <v>61</v>
      </c>
      <c r="B62" t="s">
        <v>373</v>
      </c>
    </row>
    <row r="63" spans="1:2" x14ac:dyDescent="0.25">
      <c r="A63">
        <f t="shared" si="0"/>
        <v>62</v>
      </c>
      <c r="B63" t="s">
        <v>613</v>
      </c>
    </row>
    <row r="64" spans="1:2" x14ac:dyDescent="0.25">
      <c r="A64">
        <f t="shared" si="0"/>
        <v>63</v>
      </c>
      <c r="B64" t="s">
        <v>393</v>
      </c>
    </row>
    <row r="65" spans="1:2" x14ac:dyDescent="0.25">
      <c r="A65">
        <f t="shared" si="0"/>
        <v>64</v>
      </c>
      <c r="B65" t="s">
        <v>343</v>
      </c>
    </row>
    <row r="66" spans="1:2" x14ac:dyDescent="0.25">
      <c r="A66">
        <f t="shared" si="0"/>
        <v>65</v>
      </c>
      <c r="B66" t="s">
        <v>647</v>
      </c>
    </row>
    <row r="67" spans="1:2" x14ac:dyDescent="0.25">
      <c r="A67">
        <f t="shared" si="0"/>
        <v>66</v>
      </c>
      <c r="B67" t="s">
        <v>682</v>
      </c>
    </row>
    <row r="68" spans="1:2" x14ac:dyDescent="0.25">
      <c r="A68">
        <f t="shared" ref="A68:A131" si="1">A67+1</f>
        <v>67</v>
      </c>
      <c r="B68" t="s">
        <v>637</v>
      </c>
    </row>
    <row r="69" spans="1:2" x14ac:dyDescent="0.25">
      <c r="A69">
        <f t="shared" si="1"/>
        <v>68</v>
      </c>
      <c r="B69" t="s">
        <v>642</v>
      </c>
    </row>
    <row r="70" spans="1:2" x14ac:dyDescent="0.25">
      <c r="A70">
        <f t="shared" si="1"/>
        <v>69</v>
      </c>
      <c r="B70" t="s">
        <v>673</v>
      </c>
    </row>
    <row r="71" spans="1:2" x14ac:dyDescent="0.25">
      <c r="A71">
        <f t="shared" si="1"/>
        <v>70</v>
      </c>
      <c r="B71" t="s">
        <v>625</v>
      </c>
    </row>
    <row r="72" spans="1:2" x14ac:dyDescent="0.25">
      <c r="A72">
        <f t="shared" si="1"/>
        <v>71</v>
      </c>
      <c r="B72" t="s">
        <v>608</v>
      </c>
    </row>
    <row r="73" spans="1:2" x14ac:dyDescent="0.25">
      <c r="A73">
        <f t="shared" si="1"/>
        <v>72</v>
      </c>
      <c r="B73" t="s">
        <v>671</v>
      </c>
    </row>
    <row r="74" spans="1:2" x14ac:dyDescent="0.25">
      <c r="A74">
        <f t="shared" si="1"/>
        <v>73</v>
      </c>
      <c r="B74" t="s">
        <v>645</v>
      </c>
    </row>
    <row r="75" spans="1:2" x14ac:dyDescent="0.25">
      <c r="A75">
        <f t="shared" si="1"/>
        <v>74</v>
      </c>
      <c r="B75" t="s">
        <v>619</v>
      </c>
    </row>
    <row r="76" spans="1:2" x14ac:dyDescent="0.25">
      <c r="A76">
        <f t="shared" si="1"/>
        <v>75</v>
      </c>
      <c r="B76" t="s">
        <v>596</v>
      </c>
    </row>
    <row r="77" spans="1:2" x14ac:dyDescent="0.25">
      <c r="A77">
        <f t="shared" si="1"/>
        <v>76</v>
      </c>
      <c r="B77" t="s">
        <v>644</v>
      </c>
    </row>
    <row r="78" spans="1:2" x14ac:dyDescent="0.25">
      <c r="A78">
        <f t="shared" si="1"/>
        <v>77</v>
      </c>
      <c r="B78" t="s">
        <v>668</v>
      </c>
    </row>
    <row r="79" spans="1:2" x14ac:dyDescent="0.25">
      <c r="A79">
        <f t="shared" si="1"/>
        <v>78</v>
      </c>
      <c r="B79" t="s">
        <v>418</v>
      </c>
    </row>
    <row r="80" spans="1:2" x14ac:dyDescent="0.25">
      <c r="A80">
        <f t="shared" si="1"/>
        <v>79</v>
      </c>
      <c r="B80" t="s">
        <v>622</v>
      </c>
    </row>
    <row r="81" spans="1:2" x14ac:dyDescent="0.25">
      <c r="A81">
        <f t="shared" si="1"/>
        <v>80</v>
      </c>
      <c r="B81" t="s">
        <v>659</v>
      </c>
    </row>
    <row r="82" spans="1:2" x14ac:dyDescent="0.25">
      <c r="A82">
        <f t="shared" si="1"/>
        <v>81</v>
      </c>
      <c r="B82" t="s">
        <v>634</v>
      </c>
    </row>
    <row r="83" spans="1:2" x14ac:dyDescent="0.25">
      <c r="A83">
        <f t="shared" si="1"/>
        <v>82</v>
      </c>
      <c r="B83" t="s">
        <v>670</v>
      </c>
    </row>
    <row r="84" spans="1:2" x14ac:dyDescent="0.25">
      <c r="A84">
        <f t="shared" si="1"/>
        <v>83</v>
      </c>
      <c r="B84" t="s">
        <v>545</v>
      </c>
    </row>
    <row r="85" spans="1:2" x14ac:dyDescent="0.25">
      <c r="A85">
        <f t="shared" si="1"/>
        <v>84</v>
      </c>
      <c r="B85" t="s">
        <v>627</v>
      </c>
    </row>
    <row r="86" spans="1:2" x14ac:dyDescent="0.25">
      <c r="A86">
        <f t="shared" si="1"/>
        <v>85</v>
      </c>
      <c r="B86" t="s">
        <v>629</v>
      </c>
    </row>
    <row r="87" spans="1:2" x14ac:dyDescent="0.25">
      <c r="A87">
        <f t="shared" si="1"/>
        <v>86</v>
      </c>
      <c r="B87" t="s">
        <v>207</v>
      </c>
    </row>
    <row r="88" spans="1:2" x14ac:dyDescent="0.25">
      <c r="A88">
        <f t="shared" si="1"/>
        <v>87</v>
      </c>
      <c r="B88" t="s">
        <v>603</v>
      </c>
    </row>
    <row r="89" spans="1:2" x14ac:dyDescent="0.25">
      <c r="A89">
        <f t="shared" si="1"/>
        <v>88</v>
      </c>
      <c r="B89" t="s">
        <v>555</v>
      </c>
    </row>
    <row r="90" spans="1:2" x14ac:dyDescent="0.25">
      <c r="A90">
        <f t="shared" si="1"/>
        <v>89</v>
      </c>
      <c r="B90" t="s">
        <v>605</v>
      </c>
    </row>
    <row r="91" spans="1:2" x14ac:dyDescent="0.25">
      <c r="A91">
        <f t="shared" si="1"/>
        <v>90</v>
      </c>
      <c r="B91" t="s">
        <v>78</v>
      </c>
    </row>
    <row r="92" spans="1:2" x14ac:dyDescent="0.25">
      <c r="A92">
        <f t="shared" si="1"/>
        <v>91</v>
      </c>
      <c r="B92" t="s">
        <v>600</v>
      </c>
    </row>
    <row r="93" spans="1:2" x14ac:dyDescent="0.25">
      <c r="A93">
        <f t="shared" si="1"/>
        <v>92</v>
      </c>
      <c r="B93" t="s">
        <v>635</v>
      </c>
    </row>
    <row r="94" spans="1:2" x14ac:dyDescent="0.25">
      <c r="A94">
        <f t="shared" si="1"/>
        <v>93</v>
      </c>
      <c r="B94" t="s">
        <v>430</v>
      </c>
    </row>
    <row r="95" spans="1:2" x14ac:dyDescent="0.25">
      <c r="A95">
        <f t="shared" si="1"/>
        <v>94</v>
      </c>
      <c r="B95" t="s">
        <v>597</v>
      </c>
    </row>
    <row r="96" spans="1:2" x14ac:dyDescent="0.25">
      <c r="A96">
        <f t="shared" si="1"/>
        <v>95</v>
      </c>
      <c r="B96" t="s">
        <v>693</v>
      </c>
    </row>
    <row r="97" spans="1:2" x14ac:dyDescent="0.25">
      <c r="A97">
        <f t="shared" si="1"/>
        <v>96</v>
      </c>
      <c r="B97" t="s">
        <v>661</v>
      </c>
    </row>
    <row r="98" spans="1:2" x14ac:dyDescent="0.25">
      <c r="A98">
        <f t="shared" si="1"/>
        <v>97</v>
      </c>
      <c r="B98" t="s">
        <v>132</v>
      </c>
    </row>
    <row r="99" spans="1:2" x14ac:dyDescent="0.25">
      <c r="A99">
        <f t="shared" si="1"/>
        <v>98</v>
      </c>
      <c r="B99" t="s">
        <v>652</v>
      </c>
    </row>
    <row r="100" spans="1:2" x14ac:dyDescent="0.25">
      <c r="A100">
        <f t="shared" si="1"/>
        <v>99</v>
      </c>
      <c r="B100" t="s">
        <v>105</v>
      </c>
    </row>
    <row r="101" spans="1:2" x14ac:dyDescent="0.25">
      <c r="A101">
        <f t="shared" si="1"/>
        <v>100</v>
      </c>
      <c r="B101" t="s">
        <v>153</v>
      </c>
    </row>
    <row r="102" spans="1:2" x14ac:dyDescent="0.25">
      <c r="A102">
        <f t="shared" si="1"/>
        <v>101</v>
      </c>
      <c r="B102" t="s">
        <v>646</v>
      </c>
    </row>
    <row r="103" spans="1:2" x14ac:dyDescent="0.25">
      <c r="A103">
        <f t="shared" si="1"/>
        <v>102</v>
      </c>
      <c r="B103" t="s">
        <v>657</v>
      </c>
    </row>
    <row r="104" spans="1:2" x14ac:dyDescent="0.25">
      <c r="A104">
        <f t="shared" si="1"/>
        <v>103</v>
      </c>
      <c r="B104" t="s">
        <v>648</v>
      </c>
    </row>
    <row r="105" spans="1:2" x14ac:dyDescent="0.25">
      <c r="A105">
        <f t="shared" si="1"/>
        <v>104</v>
      </c>
      <c r="B105" t="s">
        <v>617</v>
      </c>
    </row>
    <row r="106" spans="1:2" x14ac:dyDescent="0.25">
      <c r="A106">
        <f t="shared" si="1"/>
        <v>105</v>
      </c>
      <c r="B106" t="s">
        <v>126</v>
      </c>
    </row>
    <row r="107" spans="1:2" x14ac:dyDescent="0.25">
      <c r="A107">
        <f t="shared" si="1"/>
        <v>106</v>
      </c>
      <c r="B107" t="s">
        <v>643</v>
      </c>
    </row>
    <row r="108" spans="1:2" x14ac:dyDescent="0.25">
      <c r="A108">
        <f t="shared" si="1"/>
        <v>107</v>
      </c>
      <c r="B108" t="s">
        <v>651</v>
      </c>
    </row>
    <row r="109" spans="1:2" x14ac:dyDescent="0.25">
      <c r="A109">
        <f t="shared" si="1"/>
        <v>108</v>
      </c>
      <c r="B109" t="s">
        <v>667</v>
      </c>
    </row>
    <row r="110" spans="1:2" x14ac:dyDescent="0.25">
      <c r="A110">
        <f t="shared" si="1"/>
        <v>109</v>
      </c>
      <c r="B110" t="s">
        <v>632</v>
      </c>
    </row>
    <row r="111" spans="1:2" x14ac:dyDescent="0.25">
      <c r="A111">
        <f t="shared" si="1"/>
        <v>110</v>
      </c>
      <c r="B111" t="s">
        <v>428</v>
      </c>
    </row>
    <row r="112" spans="1:2" x14ac:dyDescent="0.25">
      <c r="A112">
        <f t="shared" si="1"/>
        <v>111</v>
      </c>
      <c r="B112" t="s">
        <v>662</v>
      </c>
    </row>
    <row r="113" spans="1:2" x14ac:dyDescent="0.25">
      <c r="A113">
        <f t="shared" si="1"/>
        <v>112</v>
      </c>
      <c r="B113" t="s">
        <v>695</v>
      </c>
    </row>
    <row r="114" spans="1:2" x14ac:dyDescent="0.25">
      <c r="A114">
        <f t="shared" si="1"/>
        <v>113</v>
      </c>
      <c r="B114" t="s">
        <v>656</v>
      </c>
    </row>
    <row r="115" spans="1:2" x14ac:dyDescent="0.25">
      <c r="A115">
        <f t="shared" si="1"/>
        <v>114</v>
      </c>
      <c r="B115" t="s">
        <v>624</v>
      </c>
    </row>
    <row r="116" spans="1:2" x14ac:dyDescent="0.25">
      <c r="A116">
        <f t="shared" si="1"/>
        <v>115</v>
      </c>
      <c r="B116" t="s">
        <v>602</v>
      </c>
    </row>
    <row r="117" spans="1:2" x14ac:dyDescent="0.25">
      <c r="A117">
        <f t="shared" si="1"/>
        <v>116</v>
      </c>
      <c r="B117" t="s">
        <v>296</v>
      </c>
    </row>
    <row r="118" spans="1:2" x14ac:dyDescent="0.25">
      <c r="A118">
        <f t="shared" si="1"/>
        <v>117</v>
      </c>
      <c r="B118" t="s">
        <v>636</v>
      </c>
    </row>
    <row r="119" spans="1:2" x14ac:dyDescent="0.25">
      <c r="A119">
        <f t="shared" si="1"/>
        <v>118</v>
      </c>
      <c r="B119" t="s">
        <v>689</v>
      </c>
    </row>
    <row r="120" spans="1:2" x14ac:dyDescent="0.25">
      <c r="A120">
        <f t="shared" si="1"/>
        <v>119</v>
      </c>
      <c r="B120" t="s">
        <v>429</v>
      </c>
    </row>
    <row r="121" spans="1:2" x14ac:dyDescent="0.25">
      <c r="A121">
        <f t="shared" si="1"/>
        <v>120</v>
      </c>
      <c r="B121" t="s">
        <v>649</v>
      </c>
    </row>
    <row r="122" spans="1:2" x14ac:dyDescent="0.25">
      <c r="A122">
        <f t="shared" si="1"/>
        <v>121</v>
      </c>
      <c r="B122" t="s">
        <v>599</v>
      </c>
    </row>
    <row r="123" spans="1:2" x14ac:dyDescent="0.25">
      <c r="A123">
        <f t="shared" si="1"/>
        <v>122</v>
      </c>
      <c r="B123" t="s">
        <v>218</v>
      </c>
    </row>
    <row r="124" spans="1:2" x14ac:dyDescent="0.25">
      <c r="A124">
        <f t="shared" si="1"/>
        <v>123</v>
      </c>
      <c r="B124" t="s">
        <v>614</v>
      </c>
    </row>
    <row r="125" spans="1:2" x14ac:dyDescent="0.25">
      <c r="A125">
        <f t="shared" si="1"/>
        <v>124</v>
      </c>
      <c r="B125" t="s">
        <v>640</v>
      </c>
    </row>
    <row r="126" spans="1:2" x14ac:dyDescent="0.25">
      <c r="A126">
        <f t="shared" si="1"/>
        <v>125</v>
      </c>
      <c r="B126" t="s">
        <v>626</v>
      </c>
    </row>
    <row r="127" spans="1:2" x14ac:dyDescent="0.25">
      <c r="A127">
        <f t="shared" si="1"/>
        <v>126</v>
      </c>
      <c r="B127" t="s">
        <v>677</v>
      </c>
    </row>
    <row r="128" spans="1:2" x14ac:dyDescent="0.25">
      <c r="A128">
        <f t="shared" si="1"/>
        <v>127</v>
      </c>
      <c r="B128" t="s">
        <v>579</v>
      </c>
    </row>
    <row r="129" spans="1:2" x14ac:dyDescent="0.25">
      <c r="A129">
        <f t="shared" si="1"/>
        <v>128</v>
      </c>
      <c r="B129" t="s">
        <v>580</v>
      </c>
    </row>
    <row r="130" spans="1:2" x14ac:dyDescent="0.25">
      <c r="A130">
        <f t="shared" si="1"/>
        <v>129</v>
      </c>
      <c r="B130" t="s">
        <v>674</v>
      </c>
    </row>
    <row r="131" spans="1:2" x14ac:dyDescent="0.25">
      <c r="A131">
        <f t="shared" si="1"/>
        <v>130</v>
      </c>
      <c r="B131" t="s">
        <v>607</v>
      </c>
    </row>
    <row r="132" spans="1:2" x14ac:dyDescent="0.25">
      <c r="A132">
        <f t="shared" ref="A132:A149" si="2">A131+1</f>
        <v>131</v>
      </c>
      <c r="B132" t="s">
        <v>620</v>
      </c>
    </row>
    <row r="133" spans="1:2" x14ac:dyDescent="0.25">
      <c r="A133">
        <f t="shared" si="2"/>
        <v>132</v>
      </c>
      <c r="B133" t="s">
        <v>631</v>
      </c>
    </row>
    <row r="134" spans="1:2" x14ac:dyDescent="0.25">
      <c r="A134">
        <f t="shared" si="2"/>
        <v>133</v>
      </c>
      <c r="B134" t="s">
        <v>341</v>
      </c>
    </row>
    <row r="135" spans="1:2" x14ac:dyDescent="0.25">
      <c r="A135">
        <f t="shared" si="2"/>
        <v>134</v>
      </c>
      <c r="B135" t="s">
        <v>305</v>
      </c>
    </row>
    <row r="136" spans="1:2" x14ac:dyDescent="0.25">
      <c r="A136">
        <f t="shared" si="2"/>
        <v>135</v>
      </c>
      <c r="B136" t="s">
        <v>690</v>
      </c>
    </row>
    <row r="137" spans="1:2" x14ac:dyDescent="0.25">
      <c r="A137">
        <f t="shared" si="2"/>
        <v>136</v>
      </c>
      <c r="B137" t="s">
        <v>655</v>
      </c>
    </row>
    <row r="138" spans="1:2" x14ac:dyDescent="0.25">
      <c r="A138">
        <f t="shared" si="2"/>
        <v>137</v>
      </c>
      <c r="B138" t="s">
        <v>694</v>
      </c>
    </row>
    <row r="139" spans="1:2" x14ac:dyDescent="0.25">
      <c r="A139">
        <f t="shared" si="2"/>
        <v>138</v>
      </c>
      <c r="B139" t="s">
        <v>665</v>
      </c>
    </row>
    <row r="140" spans="1:2" x14ac:dyDescent="0.25">
      <c r="A140">
        <f t="shared" si="2"/>
        <v>139</v>
      </c>
      <c r="B140" t="s">
        <v>398</v>
      </c>
    </row>
    <row r="141" spans="1:2" x14ac:dyDescent="0.25">
      <c r="A141">
        <f t="shared" si="2"/>
        <v>140</v>
      </c>
      <c r="B141" t="s">
        <v>123</v>
      </c>
    </row>
    <row r="142" spans="1:2" x14ac:dyDescent="0.25">
      <c r="A142">
        <f t="shared" si="2"/>
        <v>141</v>
      </c>
      <c r="B142" t="s">
        <v>407</v>
      </c>
    </row>
    <row r="143" spans="1:2" x14ac:dyDescent="0.25">
      <c r="A143">
        <f t="shared" si="2"/>
        <v>142</v>
      </c>
      <c r="B143" t="s">
        <v>680</v>
      </c>
    </row>
    <row r="144" spans="1:2" x14ac:dyDescent="0.25">
      <c r="A144">
        <f t="shared" si="2"/>
        <v>143</v>
      </c>
      <c r="B144" t="s">
        <v>692</v>
      </c>
    </row>
    <row r="145" spans="1:2" x14ac:dyDescent="0.25">
      <c r="A145">
        <f t="shared" si="2"/>
        <v>144</v>
      </c>
      <c r="B145" t="s">
        <v>609</v>
      </c>
    </row>
    <row r="146" spans="1:2" x14ac:dyDescent="0.25">
      <c r="A146">
        <f t="shared" si="2"/>
        <v>145</v>
      </c>
      <c r="B146" t="s">
        <v>654</v>
      </c>
    </row>
    <row r="147" spans="1:2" x14ac:dyDescent="0.25">
      <c r="A147">
        <f t="shared" si="2"/>
        <v>146</v>
      </c>
      <c r="B147" t="s">
        <v>666</v>
      </c>
    </row>
    <row r="148" spans="1:2" x14ac:dyDescent="0.25">
      <c r="A148">
        <f t="shared" si="2"/>
        <v>147</v>
      </c>
      <c r="B148" t="s">
        <v>618</v>
      </c>
    </row>
    <row r="149" spans="1:2" x14ac:dyDescent="0.25">
      <c r="A149">
        <f t="shared" si="2"/>
        <v>148</v>
      </c>
      <c r="B149" t="s">
        <v>653</v>
      </c>
    </row>
  </sheetData>
  <sortState xmlns:xlrd2="http://schemas.microsoft.com/office/spreadsheetml/2017/richdata2" ref="B2:B773">
    <sortCondition ref="B2:B7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W26"/>
  <sheetViews>
    <sheetView showGridLines="0" workbookViewId="0">
      <selection activeCell="A8" sqref="A8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7.42578125" style="11" bestFit="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19"/>
      <c r="D1" s="73" t="s">
        <v>8</v>
      </c>
      <c r="E1" s="73"/>
      <c r="F1" s="73"/>
      <c r="G1" s="19"/>
      <c r="H1" s="19"/>
      <c r="I1" s="19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/>
      <c r="B2" s="33"/>
      <c r="C2" s="19"/>
      <c r="D2" s="73"/>
      <c r="E2" s="73"/>
      <c r="F2" s="73"/>
      <c r="G2" s="19"/>
      <c r="H2" s="19"/>
      <c r="I2" s="19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19"/>
      <c r="D3" s="19"/>
      <c r="E3" s="19"/>
      <c r="F3" s="19"/>
      <c r="G3" s="19"/>
      <c r="H3" s="19"/>
      <c r="I3" s="19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SUM(Jan[#All])</f>
        <v>0</v>
      </c>
      <c r="E4" s="74"/>
      <c r="F4" s="74"/>
      <c r="G4" s="26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27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SUM(Jan[[#All],[Column1]])</f>
        <v>0</v>
      </c>
      <c r="C7" s="13">
        <f>SUM(Jan[[#All],[Travelling]])</f>
        <v>0</v>
      </c>
      <c r="D7" s="13">
        <f>SUM(Jan[[#All],[Electric Bill]])</f>
        <v>0</v>
      </c>
      <c r="E7" s="13">
        <f>SUM(Jan[[#All],[Mobile/Internet]])</f>
        <v>0</v>
      </c>
      <c r="F7" s="13">
        <f>SUM(Jan[[#All],[Shopping]])</f>
        <v>0</v>
      </c>
      <c r="G7" s="13">
        <f>SUM(Jan[[#All],[Office Food]])</f>
        <v>0</v>
      </c>
      <c r="H7" s="13">
        <f>SUM(Jan[[#All],[Office Extras]])</f>
        <v>0</v>
      </c>
      <c r="I7" s="13">
        <f>SUM(Jan[[#All],[Home]])</f>
        <v>0</v>
      </c>
      <c r="J7" s="13">
        <f>SUM(Jan[[#All],[Savings]])</f>
        <v>0</v>
      </c>
      <c r="K7" s="13">
        <f>SUM(Jan[[#All],[Pesonal Care]])</f>
        <v>0</v>
      </c>
      <c r="L7" s="13">
        <f>SUM(Jan[[#All],[Groceries]])</f>
        <v>0</v>
      </c>
      <c r="M7" s="13">
        <f>SUM(Jan[[#All],[Other]])</f>
        <v>0</v>
      </c>
      <c r="N7" s="13">
        <f>SUM(Jan[[#All],[Column13]])</f>
        <v>0</v>
      </c>
      <c r="O7" s="13">
        <f>SUM(Jan[[#All],[Column14]])</f>
        <v>0</v>
      </c>
      <c r="P7" s="13">
        <f>SUM(Jan[[#All],[Column15]])</f>
        <v>0</v>
      </c>
      <c r="Q7" s="13">
        <f>SUM(Jan[[#All],[Column16]])</f>
        <v>0</v>
      </c>
      <c r="R7" s="13">
        <f>SUM(Jan[[#All],[Column17]])</f>
        <v>0</v>
      </c>
      <c r="S7" s="13">
        <f>SUM(Jan[[#All],[Column18]])</f>
        <v>0</v>
      </c>
      <c r="T7" s="13">
        <f>SUM(Jan[[#All],[Column19]])</f>
        <v>0</v>
      </c>
      <c r="U7" s="13">
        <f>SUM(Jan[[#All],[Column20]])</f>
        <v>0</v>
      </c>
      <c r="V7" s="13">
        <f>SUM(Jan[[#All],[Column21]])</f>
        <v>0</v>
      </c>
      <c r="W7" s="13">
        <f>SUM(Jan[[#All],[Column22]])</f>
        <v>0</v>
      </c>
    </row>
    <row r="8" spans="1:23" ht="24" customHeight="1" thickBot="1" x14ac:dyDescent="0.3">
      <c r="A8" s="40"/>
      <c r="B8" s="49" t="s">
        <v>64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26"/>
  <sheetViews>
    <sheetView showGridLines="0" workbookViewId="0">
      <selection sqref="A1:B1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7.42578125" style="11" bestFit="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9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SUM(feb[])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SUM(feb[[#All],[Weekend Exp]])</f>
        <v>0</v>
      </c>
      <c r="C7" s="13">
        <f>SUM(feb[[#All],[Travelling]])</f>
        <v>0</v>
      </c>
      <c r="D7" s="13">
        <f>SUM(feb[[#All],[Electric Bill]])</f>
        <v>0</v>
      </c>
      <c r="E7" s="13">
        <f>SUM(feb[[#All],[Mobile/Internet]])</f>
        <v>0</v>
      </c>
      <c r="F7" s="13">
        <f>SUM(feb[[#All],[Shopping]])</f>
        <v>0</v>
      </c>
      <c r="G7" s="13">
        <f>SUM(feb[[#All],[Office Food]])</f>
        <v>0</v>
      </c>
      <c r="H7" s="13">
        <f>SUM(feb[[#All],[Office Extras]])</f>
        <v>0</v>
      </c>
      <c r="I7" s="13">
        <f>SUM(feb[[#All],[Home]])</f>
        <v>0</v>
      </c>
      <c r="J7" s="13">
        <f>SUM(feb[[#All],[Savings]])</f>
        <v>0</v>
      </c>
      <c r="K7" s="13">
        <f>SUM(feb[[#All],[Pesonal Care]])</f>
        <v>0</v>
      </c>
      <c r="L7" s="13">
        <f>SUM(feb[[#All],[Groceries]])</f>
        <v>0</v>
      </c>
      <c r="M7" s="13">
        <f>SUM(feb[[#All],[Other]])</f>
        <v>0</v>
      </c>
      <c r="N7" s="13">
        <f>SUM(feb[[#All],[Column13]])</f>
        <v>0</v>
      </c>
      <c r="O7" s="13">
        <f>SUM(feb[[#All],[Column14]])</f>
        <v>0</v>
      </c>
      <c r="P7" s="13">
        <f>SUM(feb[[#All],[Column15]])</f>
        <v>0</v>
      </c>
      <c r="Q7" s="13">
        <f>SUM(feb[[#All],[Column16]])</f>
        <v>0</v>
      </c>
      <c r="R7" s="13">
        <f>SUM(feb[[#All],[Column17]])</f>
        <v>0</v>
      </c>
      <c r="S7" s="13">
        <f>SUM(feb[[#All],[Column18]])</f>
        <v>0</v>
      </c>
      <c r="T7" s="13">
        <f>SUM(feb[[#All],[Column19]])</f>
        <v>0</v>
      </c>
      <c r="U7" s="13">
        <f>SUM(feb[[#All],[Column20]])</f>
        <v>0</v>
      </c>
      <c r="V7" s="13">
        <f>SUM(feb[[#All],[Column21]])</f>
        <v>0</v>
      </c>
      <c r="W7" s="13">
        <f>SUM(feb[[#All],[Column22]])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W26"/>
  <sheetViews>
    <sheetView showGridLines="0" workbookViewId="0">
      <selection activeCell="A9" sqref="A9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6" width="11.140625" style="11" customWidth="1"/>
    <col min="7" max="7" width="13.7109375" style="11" bestFit="1" customWidth="1"/>
    <col min="8" max="8" width="12.140625" style="11" customWidth="1"/>
    <col min="9" max="9" width="11.5703125" style="11" customWidth="1"/>
    <col min="10" max="10" width="13.5703125" style="11" customWidth="1"/>
    <col min="11" max="11" width="11.140625" style="1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10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SUM(mar[])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SUM(mar[[#All],[Weekend Exp]])</f>
        <v>0</v>
      </c>
      <c r="C7" s="13">
        <f>SUM(mar[[#All],[Travelling]])</f>
        <v>0</v>
      </c>
      <c r="D7" s="13">
        <f>SUM(mar[[#All],[Electric Bill]])</f>
        <v>0</v>
      </c>
      <c r="E7" s="13">
        <f>SUM(mar[[#All],[Mobile/Internet]])</f>
        <v>0</v>
      </c>
      <c r="F7" s="13">
        <f>SUM(mar[[#All],[Shopping]])</f>
        <v>0</v>
      </c>
      <c r="G7" s="13">
        <f>SUM(mar[[#All],[Office Food]])</f>
        <v>0</v>
      </c>
      <c r="H7" s="13">
        <f>SUM(mar[[#All],[Office Extras]])</f>
        <v>0</v>
      </c>
      <c r="I7" s="13">
        <f>SUM(mar[[#All],[Home]])</f>
        <v>0</v>
      </c>
      <c r="J7" s="13">
        <f>SUM(mar[[#All],[Savings]])</f>
        <v>0</v>
      </c>
      <c r="K7" s="13">
        <f>SUM(mar[[#All],[Pesonal Care]])</f>
        <v>0</v>
      </c>
      <c r="L7" s="13">
        <f>SUM(mar[[#All],[Groceries]])</f>
        <v>0</v>
      </c>
      <c r="M7" s="13">
        <f>SUM(mar[[#All],[Other]])</f>
        <v>0</v>
      </c>
      <c r="N7" s="13">
        <f>SUM(mar[[#All],[Column13]])</f>
        <v>0</v>
      </c>
      <c r="O7" s="13">
        <f>SUM(mar[[#All],[Column14]])</f>
        <v>0</v>
      </c>
      <c r="P7" s="13">
        <f>SUM(mar[[#All],[Column15]])</f>
        <v>0</v>
      </c>
      <c r="Q7" s="13">
        <f>SUM(mar[[#All],[Column16]])</f>
        <v>0</v>
      </c>
      <c r="R7" s="13">
        <f>SUM(mar[[#All],[Column17]])</f>
        <v>0</v>
      </c>
      <c r="S7" s="13">
        <f>SUM(mar[[#All],[Column18]])</f>
        <v>0</v>
      </c>
      <c r="T7" s="13">
        <f>SUM(mar[[#All],[Column19]])</f>
        <v>0</v>
      </c>
      <c r="U7" s="13">
        <f>SUM(mar[[#All],[Column20]])</f>
        <v>0</v>
      </c>
      <c r="V7" s="13">
        <f>SUM(mar[[#All],[Column21]])</f>
        <v>0</v>
      </c>
      <c r="W7" s="13">
        <f>SUM(mar[[#All],[Column22]])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W26"/>
  <sheetViews>
    <sheetView showGridLines="0" workbookViewId="0">
      <selection activeCell="A9" sqref="A9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6" width="11.140625" style="11" customWidth="1"/>
    <col min="7" max="7" width="13.7109375" style="11" bestFit="1" customWidth="1"/>
    <col min="8" max="8" width="12.140625" style="11" customWidth="1"/>
    <col min="9" max="9" width="11.5703125" style="11" customWidth="1"/>
    <col min="10" max="10" width="13.5703125" style="11" customWidth="1"/>
    <col min="11" max="11" width="11.140625" style="1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11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SUM(apr[])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SUM(apr[[#All],[Weekend Exp]])</f>
        <v>0</v>
      </c>
      <c r="C7" s="13">
        <f>SUM(apr[[#All],[Travelling]])</f>
        <v>0</v>
      </c>
      <c r="D7" s="13">
        <f>SUM(apr[[#All],[Electric Bill]])</f>
        <v>0</v>
      </c>
      <c r="E7" s="13">
        <f>SUM(apr[[#All],[Mobile/Internet]])</f>
        <v>0</v>
      </c>
      <c r="F7" s="13">
        <f>SUM(apr[[#All],[Shopping]])</f>
        <v>0</v>
      </c>
      <c r="G7" s="13">
        <f>SUM(apr[[#All],[Office Food]])</f>
        <v>0</v>
      </c>
      <c r="H7" s="13">
        <f>SUM(apr[[#All],[Office Extras]])</f>
        <v>0</v>
      </c>
      <c r="I7" s="13">
        <f>SUM(apr[[#All],[Home]])</f>
        <v>0</v>
      </c>
      <c r="J7" s="13">
        <f>SUM(apr[[#All],[Savings]])</f>
        <v>0</v>
      </c>
      <c r="K7" s="13">
        <f>SUM(apr[[#All],[Pesonal Care]])</f>
        <v>0</v>
      </c>
      <c r="L7" s="13">
        <f>SUM(apr[[#All],[Groceries]])</f>
        <v>0</v>
      </c>
      <c r="M7" s="13">
        <f>SUM(apr[[#All],[Other]])</f>
        <v>0</v>
      </c>
      <c r="N7" s="13">
        <f>SUM(apr[[#All],[Column13]])</f>
        <v>0</v>
      </c>
      <c r="O7" s="13">
        <f>SUM(apr[[#All],[Column14]])</f>
        <v>0</v>
      </c>
      <c r="P7" s="13">
        <f>SUM(apr[[#All],[Column15]])</f>
        <v>0</v>
      </c>
      <c r="Q7" s="13">
        <f>SUM(apr[[#All],[Column16]])</f>
        <v>0</v>
      </c>
      <c r="R7" s="13">
        <f>SUM(apr[[#All],[Column17]])</f>
        <v>0</v>
      </c>
      <c r="S7" s="13">
        <f>SUM(apr[[#All],[Column18]])</f>
        <v>0</v>
      </c>
      <c r="T7" s="13">
        <f>SUM(apr[[#All],[Column19]])</f>
        <v>0</v>
      </c>
      <c r="U7" s="13">
        <f>SUM(apr[[#All],[Column20]])</f>
        <v>0</v>
      </c>
      <c r="V7" s="13">
        <f>SUM(apr[[#All],[Column21]])</f>
        <v>0</v>
      </c>
      <c r="W7" s="13">
        <f>SUM(apr[[#All],[Column22]])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W26"/>
  <sheetViews>
    <sheetView showGridLines="0" workbookViewId="0">
      <selection activeCell="A9" sqref="A9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3" width="13.28515625" style="11" customWidth="1"/>
    <col min="4" max="4" width="12.140625" style="11" bestFit="1" customWidth="1"/>
    <col min="5" max="5" width="17.42578125" style="11" bestFit="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0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SUM(may[])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SUM(may[[#All],[Weekend Exp]])</f>
        <v>0</v>
      </c>
      <c r="C7" s="13">
        <f>SUM(may[[#All],[Travelling]])</f>
        <v>0</v>
      </c>
      <c r="D7" s="13">
        <f>SUM(may[[#All],[Electric Bill]])</f>
        <v>0</v>
      </c>
      <c r="E7" s="13">
        <f>SUM(may[[#All],[Mobile/Internet]])</f>
        <v>0</v>
      </c>
      <c r="F7" s="13">
        <f>SUM(may[[#All],[Shopping]])</f>
        <v>0</v>
      </c>
      <c r="G7" s="13">
        <f>SUM(may[[#All],[Office Food]])</f>
        <v>0</v>
      </c>
      <c r="H7" s="13">
        <f>SUM(may[[#All],[Office Extras]])</f>
        <v>0</v>
      </c>
      <c r="I7" s="13">
        <f>SUM(may[[#All],[Home]])</f>
        <v>0</v>
      </c>
      <c r="J7" s="13">
        <f>SUM(may[[#All],[Savings]])</f>
        <v>0</v>
      </c>
      <c r="K7" s="13">
        <f>SUM(may[[#All],[Pesonal Care]])</f>
        <v>0</v>
      </c>
      <c r="L7" s="13">
        <f>SUM(may[[#All],[Groceries]])</f>
        <v>0</v>
      </c>
      <c r="M7" s="13">
        <f>SUM(may[[#All],[Other]])</f>
        <v>0</v>
      </c>
      <c r="N7" s="13">
        <f>SUM(may[[#All],[Column13]])</f>
        <v>0</v>
      </c>
      <c r="O7" s="13">
        <f>SUM(may[[#All],[Column14]])</f>
        <v>0</v>
      </c>
      <c r="P7" s="13">
        <f>SUM(may[[#All],[Column15]])</f>
        <v>0</v>
      </c>
      <c r="Q7" s="13">
        <f>SUM(may[[#All],[Column16]])</f>
        <v>0</v>
      </c>
      <c r="R7" s="13">
        <f>SUM(may[[#All],[Column17]])</f>
        <v>0</v>
      </c>
      <c r="S7" s="13">
        <f>SUM(may[[#All],[Column18]])</f>
        <v>0</v>
      </c>
      <c r="T7" s="13">
        <f>SUM(may[[#All],[Column19]])</f>
        <v>0</v>
      </c>
      <c r="U7" s="13">
        <f>SUM(may[[#All],[Column20]])</f>
        <v>0</v>
      </c>
      <c r="V7" s="13">
        <f>SUM(may[[#All],[Column21]])</f>
        <v>0</v>
      </c>
      <c r="W7" s="13">
        <f>SUM(may[[#All],[Column22]])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W26"/>
  <sheetViews>
    <sheetView showGridLines="0" workbookViewId="0">
      <selection activeCell="B10" sqref="B10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7.42578125" style="11" bestFit="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12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/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SUM(Jun[])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SUM(Jun[[#All],[Column4]])</f>
        <v>0</v>
      </c>
      <c r="C7" s="13">
        <f>SUM(Jun[[#All],[Column5]])</f>
        <v>0</v>
      </c>
      <c r="D7" s="13">
        <f>SUM(Jun[[#All],[Column6]])</f>
        <v>0</v>
      </c>
      <c r="E7" s="13">
        <f>SUM(Jun[[#All],[Column7]])</f>
        <v>0</v>
      </c>
      <c r="F7" s="13">
        <f>SUM(Jun[[#All],[Column8]])</f>
        <v>0</v>
      </c>
      <c r="G7" s="13">
        <f>SUM(Jun[[#All],[Column9]])</f>
        <v>0</v>
      </c>
      <c r="H7" s="13">
        <f>SUM(Jun[[#All],[Column10]])</f>
        <v>0</v>
      </c>
      <c r="I7" s="13">
        <f>SUM(Jun[[#All],[Column11]])</f>
        <v>0</v>
      </c>
      <c r="J7" s="13">
        <f>SUM(Jun[[#All],[Column12]])</f>
        <v>0</v>
      </c>
      <c r="K7" s="13">
        <f>SUM(Jun[[#All],[Column3]])</f>
        <v>0</v>
      </c>
      <c r="L7" s="13">
        <f>SUM(Jun[[#All],[Column2]])</f>
        <v>0</v>
      </c>
      <c r="M7" s="13">
        <f>SUM(Jun[[#All],[Column1]])</f>
        <v>0</v>
      </c>
      <c r="N7" s="13">
        <f>SUM(Jun[[#All],[Column13]])</f>
        <v>0</v>
      </c>
      <c r="O7" s="13">
        <f>SUM(Jun[[#All],[Column14]])</f>
        <v>0</v>
      </c>
      <c r="P7" s="13">
        <f>SUM(Jun[[#All],[Column15]])</f>
        <v>0</v>
      </c>
      <c r="Q7" s="13">
        <f>SUM(Jun[[#All],[Column16]])</f>
        <v>0</v>
      </c>
      <c r="R7" s="13">
        <f>SUM(Jun[[#All],[Column17]])</f>
        <v>0</v>
      </c>
      <c r="S7" s="13">
        <f>SUM(Jun[[#All],[Column18]])</f>
        <v>0</v>
      </c>
      <c r="T7" s="13">
        <f>SUM(Jun[[#All],[Column19]])</f>
        <v>0</v>
      </c>
      <c r="U7" s="13">
        <f>SUM(Jun[[#All],[Column20]])</f>
        <v>0</v>
      </c>
      <c r="V7" s="13">
        <f>SUM(Jun[[#All],[Column21]])</f>
        <v>0</v>
      </c>
      <c r="W7" s="13">
        <f>SUM(Jun[[#All],[Column22]])</f>
        <v>0</v>
      </c>
    </row>
    <row r="8" spans="1:23" ht="24" customHeight="1" thickBot="1" x14ac:dyDescent="0.3">
      <c r="A8" s="40" t="s">
        <v>445</v>
      </c>
      <c r="B8" s="49" t="s">
        <v>448</v>
      </c>
      <c r="C8" s="37" t="s">
        <v>449</v>
      </c>
      <c r="D8" s="49" t="s">
        <v>450</v>
      </c>
      <c r="E8" s="50" t="s">
        <v>451</v>
      </c>
      <c r="F8" s="37" t="s">
        <v>452</v>
      </c>
      <c r="G8" s="49" t="s">
        <v>453</v>
      </c>
      <c r="H8" s="49" t="s">
        <v>454</v>
      </c>
      <c r="I8" s="50" t="s">
        <v>455</v>
      </c>
      <c r="J8" s="49" t="s">
        <v>456</v>
      </c>
      <c r="K8" s="49" t="s">
        <v>447</v>
      </c>
      <c r="L8" s="49" t="s">
        <v>446</v>
      </c>
      <c r="M8" s="49" t="s">
        <v>64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W26"/>
  <sheetViews>
    <sheetView showGridLines="0" topLeftCell="A4" workbookViewId="0">
      <selection activeCell="A12" sqref="A12"/>
    </sheetView>
  </sheetViews>
  <sheetFormatPr defaultRowHeight="15" x14ac:dyDescent="0.25"/>
  <cols>
    <col min="1" max="1" width="22.42578125" style="11" bestFit="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7.42578125" style="11" bestFit="1" customWidth="1"/>
    <col min="6" max="6" width="11.140625" style="11" customWidth="1"/>
    <col min="7" max="8" width="13.7109375" style="11" bestFit="1" customWidth="1"/>
    <col min="9" max="9" width="11.5703125" style="11" customWidth="1"/>
    <col min="10" max="10" width="13.5703125" style="11" customWidth="1"/>
    <col min="11" max="11" width="14" style="11" bestFit="1" customWidth="1"/>
    <col min="12" max="12" width="15.140625" style="11" bestFit="1" customWidth="1"/>
    <col min="13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13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33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33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34"/>
      <c r="C4" s="16"/>
      <c r="D4" s="74">
        <f>SUM(Jul[])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34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13">
        <f>SUM(Jul[[#All],[Weekend Exp]])</f>
        <v>0</v>
      </c>
      <c r="C7" s="13">
        <f>SUM(Jul[[#All],[Travelling]])</f>
        <v>0</v>
      </c>
      <c r="D7" s="13">
        <f>SUM(Jul[[#All],[Electric Bill]])</f>
        <v>0</v>
      </c>
      <c r="E7" s="13">
        <f>SUM(Jul[[#All],[Mobile/Internet]])</f>
        <v>0</v>
      </c>
      <c r="F7" s="13">
        <f>SUM(Jul[[#All],[Shopping]])</f>
        <v>0</v>
      </c>
      <c r="G7" s="13">
        <f>SUM(Jul[[#All],[Office Food]])</f>
        <v>0</v>
      </c>
      <c r="H7" s="13">
        <f>SUM(Jul[[#All],[Office Extras]])</f>
        <v>0</v>
      </c>
      <c r="I7" s="13">
        <f>SUM(Jul[[#All],[Home]])</f>
        <v>0</v>
      </c>
      <c r="J7" s="13">
        <f>SUM(Jul[[#All],[Savings]])</f>
        <v>0</v>
      </c>
      <c r="K7" s="13">
        <f>SUM(Jul[[#All],[Pesonal Care]])</f>
        <v>0</v>
      </c>
      <c r="L7" s="13">
        <f>SUM(Jul[[#All],[Groceries]])</f>
        <v>0</v>
      </c>
      <c r="M7" s="13">
        <f>SUM(Jul[[#All],[Other]])</f>
        <v>0</v>
      </c>
      <c r="N7" s="13">
        <f>SUM(Jul[[#All],[Column13]])</f>
        <v>0</v>
      </c>
      <c r="O7" s="13">
        <f>SUM(Jul[[#All],[Column14]])</f>
        <v>0</v>
      </c>
      <c r="P7" s="13">
        <f>SUM(Jul[[#All],[Column15]])</f>
        <v>0</v>
      </c>
      <c r="Q7" s="13">
        <f>SUM(Jul[[#All],[Column16]])</f>
        <v>0</v>
      </c>
      <c r="R7" s="13">
        <f>SUM(Jul[[#All],[Column17]])</f>
        <v>0</v>
      </c>
      <c r="S7" s="13">
        <f>SUM(Jul[[#All],[Column18]])</f>
        <v>0</v>
      </c>
      <c r="T7" s="13">
        <f>SUM(Jul[[#All],[Column19]])</f>
        <v>0</v>
      </c>
      <c r="U7" s="13">
        <f>SUM(Jul[[#All],[Column20]])</f>
        <v>0</v>
      </c>
      <c r="V7" s="13">
        <f>SUM(Jul[[#All],[Column21]])</f>
        <v>0</v>
      </c>
      <c r="W7" s="13">
        <f>SUM(Jul[[#All],[Column22]])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11" t="s">
        <v>24</v>
      </c>
      <c r="O8" s="11" t="s">
        <v>25</v>
      </c>
      <c r="P8" s="11" t="s">
        <v>26</v>
      </c>
      <c r="Q8" s="11" t="s">
        <v>27</v>
      </c>
      <c r="R8" s="11" t="s">
        <v>28</v>
      </c>
      <c r="S8" s="11" t="s">
        <v>29</v>
      </c>
      <c r="T8" s="11" t="s">
        <v>30</v>
      </c>
      <c r="U8" s="11" t="s">
        <v>31</v>
      </c>
      <c r="V8" s="11" t="s">
        <v>32</v>
      </c>
      <c r="W8" s="11" t="s">
        <v>33</v>
      </c>
    </row>
    <row r="9" spans="1:23" x14ac:dyDescent="0.25">
      <c r="A9" s="41"/>
    </row>
    <row r="10" spans="1:23" x14ac:dyDescent="0.25">
      <c r="A10" s="41"/>
    </row>
    <row r="11" spans="1:23" x14ac:dyDescent="0.25">
      <c r="A11" s="41"/>
    </row>
    <row r="12" spans="1:23" x14ac:dyDescent="0.25">
      <c r="A12" s="41"/>
    </row>
    <row r="13" spans="1:23" x14ac:dyDescent="0.25">
      <c r="A13" s="41"/>
    </row>
    <row r="14" spans="1:23" x14ac:dyDescent="0.25">
      <c r="A14" s="41"/>
    </row>
    <row r="15" spans="1:23" x14ac:dyDescent="0.25">
      <c r="A15" s="41"/>
    </row>
    <row r="16" spans="1:23" x14ac:dyDescent="0.25">
      <c r="A16" s="41"/>
    </row>
    <row r="17" spans="1:23" x14ac:dyDescent="0.25">
      <c r="A17" s="41"/>
    </row>
    <row r="18" spans="1:23" x14ac:dyDescent="0.25">
      <c r="A18" s="41"/>
    </row>
    <row r="19" spans="1:23" x14ac:dyDescent="0.25">
      <c r="A19" s="41"/>
    </row>
    <row r="20" spans="1:23" x14ac:dyDescent="0.25">
      <c r="A20" s="41"/>
    </row>
    <row r="21" spans="1:23" x14ac:dyDescent="0.25">
      <c r="A21" s="41"/>
    </row>
    <row r="22" spans="1:23" x14ac:dyDescent="0.25">
      <c r="A22" s="41"/>
    </row>
    <row r="23" spans="1:23" x14ac:dyDescent="0.25">
      <c r="A23" s="41"/>
    </row>
    <row r="24" spans="1:23" x14ac:dyDescent="0.25">
      <c r="A24" s="41"/>
    </row>
    <row r="25" spans="1:23" x14ac:dyDescent="0.25">
      <c r="A25" s="41"/>
    </row>
    <row r="26" spans="1:23" x14ac:dyDescent="0.25">
      <c r="A26" s="4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legacy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W29"/>
  <sheetViews>
    <sheetView showGridLines="0" workbookViewId="0">
      <selection activeCell="I12" sqref="I12"/>
    </sheetView>
  </sheetViews>
  <sheetFormatPr defaultRowHeight="15" x14ac:dyDescent="0.25"/>
  <cols>
    <col min="1" max="1" width="24.28515625" style="11" customWidth="1"/>
    <col min="2" max="2" width="15.28515625" style="11" customWidth="1"/>
    <col min="3" max="3" width="11.140625" style="11" customWidth="1"/>
    <col min="4" max="4" width="12.140625" style="11" bestFit="1" customWidth="1"/>
    <col min="5" max="5" width="15.42578125" style="11" customWidth="1"/>
    <col min="6" max="6" width="11.140625" style="11" customWidth="1"/>
    <col min="7" max="8" width="13.7109375" style="11" bestFit="1" customWidth="1"/>
    <col min="9" max="9" width="11.42578125" style="11" customWidth="1"/>
    <col min="10" max="10" width="13.5703125" style="11" customWidth="1"/>
    <col min="11" max="11" width="14" style="11" bestFit="1" customWidth="1"/>
    <col min="12" max="12" width="12.42578125" style="11" customWidth="1"/>
    <col min="13" max="13" width="11.5703125" style="11" bestFit="1" customWidth="1"/>
    <col min="14" max="15" width="11.140625" style="11" customWidth="1"/>
    <col min="16" max="16" width="12.7109375" style="11" customWidth="1"/>
    <col min="17" max="17" width="11.140625" style="11" customWidth="1"/>
    <col min="18" max="18" width="18.28515625" style="11" customWidth="1"/>
    <col min="19" max="19" width="11.140625" style="11" customWidth="1"/>
    <col min="20" max="20" width="17.28515625" style="11" customWidth="1"/>
    <col min="21" max="21" width="11.140625" style="11" customWidth="1"/>
    <col min="22" max="23" width="11" style="11" customWidth="1"/>
    <col min="24" max="16384" width="9.140625" style="10"/>
  </cols>
  <sheetData>
    <row r="1" spans="1:23" ht="18" customHeight="1" x14ac:dyDescent="0.25">
      <c r="A1" s="75" t="s">
        <v>23</v>
      </c>
      <c r="B1" s="76"/>
      <c r="C1" s="20"/>
      <c r="D1" s="77" t="s">
        <v>14</v>
      </c>
      <c r="E1" s="77"/>
      <c r="F1" s="77"/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8" customHeight="1" x14ac:dyDescent="0.25">
      <c r="A2" s="33" t="s">
        <v>34</v>
      </c>
      <c r="B2" s="57"/>
      <c r="C2" s="20"/>
      <c r="D2" s="77"/>
      <c r="E2" s="77"/>
      <c r="F2" s="77"/>
      <c r="G2" s="20"/>
      <c r="H2" s="20"/>
      <c r="I2" s="20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</row>
    <row r="3" spans="1:23" ht="18" customHeight="1" x14ac:dyDescent="0.25">
      <c r="A3" s="33"/>
      <c r="B3" s="57"/>
      <c r="C3" s="20"/>
      <c r="D3" s="20"/>
      <c r="E3" s="20"/>
      <c r="F3" s="20"/>
      <c r="G3" s="20"/>
      <c r="H3" s="20"/>
      <c r="I3" s="20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</row>
    <row r="4" spans="1:23" ht="18" customHeight="1" x14ac:dyDescent="0.35">
      <c r="A4" s="34"/>
      <c r="B4" s="58"/>
      <c r="C4" s="16"/>
      <c r="D4" s="74">
        <f>SUM(Aug[])</f>
        <v>0</v>
      </c>
      <c r="E4" s="74"/>
      <c r="F4" s="74"/>
      <c r="G4" s="30" t="s">
        <v>21</v>
      </c>
      <c r="H4" s="24"/>
      <c r="I4" s="16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8" customHeight="1" x14ac:dyDescent="0.35">
      <c r="A5" s="34"/>
      <c r="B5" s="58"/>
      <c r="C5" s="16"/>
      <c r="D5" s="72">
        <f>SUM(B2:B5)</f>
        <v>0</v>
      </c>
      <c r="E5" s="72"/>
      <c r="F5" s="72"/>
      <c r="G5" s="31" t="s">
        <v>22</v>
      </c>
      <c r="H5" s="16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x14ac:dyDescent="0.25">
      <c r="A6" s="16"/>
      <c r="B6" s="16"/>
      <c r="C6" s="16"/>
      <c r="D6" s="16"/>
      <c r="E6" s="16"/>
      <c r="F6" s="16"/>
      <c r="G6" s="16"/>
      <c r="H6" s="16"/>
      <c r="I6" s="16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x14ac:dyDescent="0.25">
      <c r="B7" s="48">
        <f>SUM(Aug[[#All],[Weekend Exp]])</f>
        <v>0</v>
      </c>
      <c r="C7" s="48">
        <f>SUM(Aug[[#All],[Travelling]])</f>
        <v>0</v>
      </c>
      <c r="D7" s="48">
        <f>SUM(Aug[[#All],[Electric Bill]])</f>
        <v>0</v>
      </c>
      <c r="E7" s="48">
        <f>SUM(Aug[[#All],[Mobile/Internet]])</f>
        <v>0</v>
      </c>
      <c r="F7" s="48">
        <f>SUM(Aug[[#All],[Shopping]])</f>
        <v>0</v>
      </c>
      <c r="G7" s="48">
        <f>SUM(Aug[[#All],[Office Food]])</f>
        <v>0</v>
      </c>
      <c r="H7" s="48">
        <f>SUM(Aug[[#All],[Office Extras]])</f>
        <v>0</v>
      </c>
      <c r="I7" s="48">
        <f>SUM(Aug[[#All],[Home]])</f>
        <v>0</v>
      </c>
      <c r="J7" s="48">
        <f>SUM(Aug[[#All],[Savings]])</f>
        <v>0</v>
      </c>
      <c r="K7" s="48">
        <f>SUM(Aug[[#All],[Pesonal Care]])</f>
        <v>0</v>
      </c>
      <c r="L7" s="48">
        <f>SUM(Aug[[#All],[Groceries]])</f>
        <v>0</v>
      </c>
      <c r="M7" s="48">
        <f>SUM(Aug[[#All],[Other]])</f>
        <v>0</v>
      </c>
      <c r="N7" s="48">
        <f>SUM(Aug[[#All],[Column13]])</f>
        <v>0</v>
      </c>
      <c r="O7" s="48">
        <f>SUM(Aug[[#All],[Column14]])</f>
        <v>0</v>
      </c>
      <c r="P7" s="48">
        <f>SUM(Aug[[#All],[Column15]])</f>
        <v>0</v>
      </c>
      <c r="Q7" s="48">
        <f>SUM(Aug[[#All],[Column16]])</f>
        <v>0</v>
      </c>
      <c r="R7" s="48">
        <f>SUM(Aug[[#All],[Column17]])</f>
        <v>0</v>
      </c>
      <c r="S7" s="48">
        <f>SUM(Aug[[#All],[Column18]])</f>
        <v>0</v>
      </c>
      <c r="T7" s="48">
        <f>SUM(Aug[[#All],[Column19]])</f>
        <v>0</v>
      </c>
      <c r="U7" s="48">
        <f>SUM(Aug[[#All],[Column20]])</f>
        <v>0</v>
      </c>
      <c r="V7" s="48">
        <f>SUM(Aug[[#All],[Column21]])</f>
        <v>0</v>
      </c>
      <c r="W7" s="48">
        <f>SUM(Aug[[#All],[Column22]])</f>
        <v>0</v>
      </c>
    </row>
    <row r="8" spans="1:23" ht="24" customHeight="1" thickBot="1" x14ac:dyDescent="0.3">
      <c r="A8" s="40" t="s">
        <v>42</v>
      </c>
      <c r="B8" s="49" t="s">
        <v>35</v>
      </c>
      <c r="C8" s="37" t="s">
        <v>47</v>
      </c>
      <c r="D8" s="49" t="s">
        <v>36</v>
      </c>
      <c r="E8" s="50" t="s">
        <v>45</v>
      </c>
      <c r="F8" s="37" t="s">
        <v>46</v>
      </c>
      <c r="G8" s="49" t="s">
        <v>37</v>
      </c>
      <c r="H8" s="49" t="s">
        <v>38</v>
      </c>
      <c r="I8" s="50" t="s">
        <v>39</v>
      </c>
      <c r="J8" s="49" t="s">
        <v>6</v>
      </c>
      <c r="K8" s="49" t="s">
        <v>40</v>
      </c>
      <c r="L8" s="49" t="s">
        <v>7</v>
      </c>
      <c r="M8" s="49" t="s">
        <v>20</v>
      </c>
      <c r="N8" s="49" t="s">
        <v>24</v>
      </c>
      <c r="O8" s="49" t="s">
        <v>25</v>
      </c>
      <c r="P8" s="49" t="s">
        <v>26</v>
      </c>
      <c r="Q8" s="49" t="s">
        <v>27</v>
      </c>
      <c r="R8" s="49" t="s">
        <v>28</v>
      </c>
      <c r="S8" s="49" t="s">
        <v>29</v>
      </c>
      <c r="T8" s="49" t="s">
        <v>30</v>
      </c>
      <c r="U8" s="49" t="s">
        <v>31</v>
      </c>
      <c r="V8" s="49" t="s">
        <v>32</v>
      </c>
      <c r="W8" s="49" t="s">
        <v>33</v>
      </c>
    </row>
    <row r="9" spans="1:23" x14ac:dyDescent="0.25">
      <c r="A9" s="41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</row>
    <row r="10" spans="1:23" x14ac:dyDescent="0.25">
      <c r="A10" s="65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</row>
    <row r="11" spans="1:23" x14ac:dyDescent="0.25">
      <c r="A11" s="41"/>
      <c r="B11" s="64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</row>
    <row r="12" spans="1:23" x14ac:dyDescent="0.25">
      <c r="A12" s="65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</row>
    <row r="13" spans="1:23" x14ac:dyDescent="0.25">
      <c r="A13" s="41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</row>
    <row r="14" spans="1:23" x14ac:dyDescent="0.25">
      <c r="A14" s="6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</row>
    <row r="15" spans="1:23" x14ac:dyDescent="0.25">
      <c r="A15" s="41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</row>
    <row r="16" spans="1:23" x14ac:dyDescent="0.25">
      <c r="A16" s="65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</row>
    <row r="17" spans="1:23" customFormat="1" x14ac:dyDescent="0.25">
      <c r="A17" s="41"/>
    </row>
    <row r="18" spans="1:23" x14ac:dyDescent="0.25">
      <c r="A18" s="65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</row>
    <row r="19" spans="1:23" x14ac:dyDescent="0.25">
      <c r="A19" s="61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</row>
    <row r="20" spans="1:23" x14ac:dyDescent="0.25">
      <c r="A20" s="62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</row>
    <row r="21" spans="1:23" x14ac:dyDescent="0.25">
      <c r="A21" s="61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</row>
    <row r="22" spans="1:23" x14ac:dyDescent="0.25">
      <c r="A22" s="62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</row>
    <row r="23" spans="1:23" x14ac:dyDescent="0.25">
      <c r="A23" s="61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</row>
    <row r="24" spans="1:23" x14ac:dyDescent="0.25">
      <c r="A24" s="62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</row>
    <row r="25" spans="1:23" x14ac:dyDescent="0.25">
      <c r="A25" s="61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</row>
    <row r="26" spans="1:23" x14ac:dyDescent="0.25">
      <c r="A26" s="62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</row>
    <row r="27" spans="1:23" x14ac:dyDescent="0.25">
      <c r="A27" s="61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</row>
    <row r="28" spans="1:23" x14ac:dyDescent="0.25">
      <c r="A28" s="62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</row>
    <row r="29" spans="1:23" x14ac:dyDescent="0.25">
      <c r="A29" s="6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</row>
  </sheetData>
  <sheetProtection formatCells="0" formatColumns="0" formatRows="0" insertColumns="0" insertRows="0" insertHyperlinks="0" deleteColumns="0" deleteRows="0"/>
  <mergeCells count="4">
    <mergeCell ref="D5:F5"/>
    <mergeCell ref="D1:F2"/>
    <mergeCell ref="D4:F4"/>
    <mergeCell ref="A1:B1"/>
  </mergeCells>
  <pageMargins left="0.7" right="0.7" top="0.75" bottom="0.75" header="0.3" footer="0.3"/>
  <pageSetup paperSize="0" orientation="portrait" horizontalDpi="0" verticalDpi="0" copies="0"/>
  <legacy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77DCFEE-D51A-4F97-8512-D426464605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 Summary</vt:lpstr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  <vt:lpstr>Checking</vt:lpstr>
      <vt:lpstr>RUN WORKSHEET</vt:lpstr>
      <vt:lpstr>Consignee</vt:lpstr>
      <vt:lpstr>Consigner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Family Expenses and Checking Account</dc:title>
  <dc:creator>Steve Chase</dc:creator>
  <cp:keywords>Excel;Budget;Checking Account</cp:keywords>
  <cp:lastModifiedBy>Sohail Khan</cp:lastModifiedBy>
  <cp:lastPrinted>2010-01-01T03:09:41Z</cp:lastPrinted>
  <dcterms:created xsi:type="dcterms:W3CDTF">2012-03-08T11:44:21Z</dcterms:created>
  <dcterms:modified xsi:type="dcterms:W3CDTF">2020-08-11T15:51:44Z</dcterms:modified>
  <cp:category>budget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TC020203909991</vt:lpwstr>
  </property>
</Properties>
</file>