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0c0kug/Documents/personnal_repos/SoFTEAM/Random_Data_Dumps/"/>
    </mc:Choice>
  </mc:AlternateContent>
  <xr:revisionPtr revIDLastSave="0" documentId="13_ncr:1_{B3F253A9-ADE8-F648-A27D-AAA1C35E85A1}" xr6:coauthVersionLast="47" xr6:coauthVersionMax="47" xr10:uidLastSave="{00000000-0000-0000-0000-000000000000}"/>
  <bookViews>
    <workbookView xWindow="0" yWindow="740" windowWidth="30240" windowHeight="18900" activeTab="3" xr2:uid="{4CCFBB44-29B3-1C4F-B906-914A903D7B44}"/>
  </bookViews>
  <sheets>
    <sheet name="Assumptions" sheetId="5" r:id="rId1"/>
    <sheet name="Balance Sheet" sheetId="4" r:id="rId2"/>
    <sheet name="PnL" sheetId="1" r:id="rId3"/>
    <sheet name="Cash Flow Actual" sheetId="14" r:id="rId4"/>
    <sheet name="Cash Flow" sheetId="6" r:id="rId5"/>
    <sheet name="Asset Schedule" sheetId="7" r:id="rId6"/>
    <sheet name="Debt Schedule" sheetId="10" r:id="rId7"/>
    <sheet name="Reserves Schedule" sheetId="11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6" l="1"/>
  <c r="G54" i="6"/>
  <c r="H54" i="6"/>
  <c r="I54" i="6"/>
  <c r="J54" i="6"/>
  <c r="K54" i="6"/>
  <c r="L54" i="6"/>
  <c r="M54" i="6"/>
  <c r="N54" i="6"/>
  <c r="E54" i="6"/>
  <c r="G9" i="6"/>
  <c r="H9" i="6"/>
  <c r="I9" i="6"/>
  <c r="J9" i="6"/>
  <c r="K9" i="6"/>
  <c r="L9" i="6"/>
  <c r="M9" i="6"/>
  <c r="N9" i="6"/>
  <c r="O9" i="6"/>
  <c r="P9" i="6"/>
  <c r="Q9" i="6"/>
  <c r="R9" i="6"/>
  <c r="S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E53" i="6"/>
  <c r="F51" i="6" s="1"/>
  <c r="F39" i="6"/>
  <c r="F38" i="6"/>
  <c r="F14" i="6"/>
  <c r="F41" i="6"/>
  <c r="F40" i="6"/>
  <c r="F37" i="6"/>
  <c r="F36" i="6"/>
  <c r="F35" i="6"/>
  <c r="F34" i="6"/>
  <c r="F28" i="6"/>
  <c r="F27" i="6"/>
  <c r="F26" i="6"/>
  <c r="F25" i="6"/>
  <c r="F24" i="6"/>
  <c r="F23" i="6"/>
  <c r="F22" i="6"/>
  <c r="G6" i="7"/>
  <c r="H6" i="7"/>
  <c r="I6" i="7"/>
  <c r="J6" i="7"/>
  <c r="K6" i="7"/>
  <c r="L6" i="7"/>
  <c r="M6" i="7"/>
  <c r="N6" i="7"/>
  <c r="F6" i="7"/>
  <c r="F21" i="6"/>
  <c r="F15" i="6"/>
  <c r="F13" i="6"/>
  <c r="F12" i="6"/>
  <c r="F11" i="6"/>
  <c r="F10" i="6"/>
  <c r="F9" i="6"/>
  <c r="G6" i="6"/>
  <c r="H6" i="6"/>
  <c r="I6" i="6"/>
  <c r="J6" i="6"/>
  <c r="K6" i="6"/>
  <c r="L6" i="6"/>
  <c r="M6" i="6"/>
  <c r="N6" i="6"/>
  <c r="O6" i="6"/>
  <c r="P6" i="6"/>
  <c r="Q6" i="6"/>
  <c r="R6" i="6"/>
  <c r="S6" i="6"/>
  <c r="F6" i="6"/>
  <c r="G5" i="6"/>
  <c r="H5" i="6"/>
  <c r="I5" i="6"/>
  <c r="J5" i="6"/>
  <c r="K5" i="6"/>
  <c r="L5" i="6"/>
  <c r="M5" i="6"/>
  <c r="N5" i="6"/>
  <c r="O5" i="6"/>
  <c r="P5" i="6"/>
  <c r="Q5" i="6"/>
  <c r="R5" i="6"/>
  <c r="S5" i="6"/>
  <c r="F5" i="6"/>
  <c r="M16" i="6" l="1"/>
  <c r="P46" i="6"/>
  <c r="F46" i="6"/>
  <c r="J30" i="6"/>
  <c r="M30" i="6"/>
  <c r="P30" i="6"/>
  <c r="H16" i="6"/>
  <c r="H18" i="6" s="1"/>
  <c r="K46" i="6"/>
  <c r="K48" i="6" s="1"/>
  <c r="K52" i="6" s="1"/>
  <c r="N46" i="6"/>
  <c r="N48" i="6" s="1"/>
  <c r="N52" i="6" s="1"/>
  <c r="G46" i="6"/>
  <c r="Q46" i="6"/>
  <c r="S30" i="6"/>
  <c r="I30" i="6"/>
  <c r="R16" i="6"/>
  <c r="R18" i="6" s="1"/>
  <c r="K16" i="6"/>
  <c r="K18" i="6" s="1"/>
  <c r="R30" i="6"/>
  <c r="H30" i="6"/>
  <c r="Q16" i="6"/>
  <c r="Q18" i="6" s="1"/>
  <c r="G16" i="6"/>
  <c r="G18" i="6" s="1"/>
  <c r="J16" i="6"/>
  <c r="J18" i="6" s="1"/>
  <c r="O46" i="6"/>
  <c r="L46" i="6"/>
  <c r="L30" i="6"/>
  <c r="O30" i="6"/>
  <c r="K30" i="6"/>
  <c r="N30" i="6"/>
  <c r="Q30" i="6"/>
  <c r="G30" i="6"/>
  <c r="R46" i="6"/>
  <c r="R48" i="6" s="1"/>
  <c r="R52" i="6" s="1"/>
  <c r="M46" i="6"/>
  <c r="M48" i="6" s="1"/>
  <c r="M52" i="6" s="1"/>
  <c r="S46" i="6"/>
  <c r="I46" i="6"/>
  <c r="P16" i="6"/>
  <c r="P18" i="6" s="1"/>
  <c r="J46" i="6"/>
  <c r="O16" i="6"/>
  <c r="O18" i="6" s="1"/>
  <c r="N16" i="6"/>
  <c r="N18" i="6" s="1"/>
  <c r="M18" i="6"/>
  <c r="H46" i="6"/>
  <c r="H48" i="6" s="1"/>
  <c r="H52" i="6" s="1"/>
  <c r="S16" i="6"/>
  <c r="S18" i="6" s="1"/>
  <c r="I16" i="6"/>
  <c r="I18" i="6" s="1"/>
  <c r="L16" i="6"/>
  <c r="L18" i="6" s="1"/>
  <c r="F30" i="6"/>
  <c r="F16" i="6"/>
  <c r="F18" i="6" s="1"/>
  <c r="O48" i="6" l="1"/>
  <c r="O52" i="6" s="1"/>
  <c r="L48" i="6"/>
  <c r="L52" i="6" s="1"/>
  <c r="P48" i="6"/>
  <c r="P52" i="6" s="1"/>
  <c r="F48" i="6"/>
  <c r="F52" i="6" s="1"/>
  <c r="F53" i="6" s="1"/>
  <c r="G51" i="6" s="1"/>
  <c r="G48" i="6"/>
  <c r="G52" i="6" s="1"/>
  <c r="Q48" i="6"/>
  <c r="Q52" i="6" s="1"/>
  <c r="J48" i="6"/>
  <c r="J52" i="6" s="1"/>
  <c r="G53" i="6"/>
  <c r="H51" i="6" s="1"/>
  <c r="H53" i="6" s="1"/>
  <c r="I51" i="6" s="1"/>
  <c r="I48" i="6"/>
  <c r="I52" i="6" s="1"/>
  <c r="S48" i="6"/>
  <c r="S52" i="6" s="1"/>
  <c r="O9" i="5"/>
  <c r="O11" i="5"/>
  <c r="O13" i="5"/>
  <c r="O15" i="5"/>
  <c r="O17" i="5"/>
  <c r="P17" i="5" s="1"/>
  <c r="O19" i="5"/>
  <c r="P19" i="5" s="1"/>
  <c r="O21" i="5"/>
  <c r="O23" i="5"/>
  <c r="O25" i="5"/>
  <c r="P9" i="5"/>
  <c r="Q9" i="5" s="1"/>
  <c r="P11" i="5"/>
  <c r="Q11" i="5"/>
  <c r="R11" i="5"/>
  <c r="S11" i="5"/>
  <c r="P13" i="5"/>
  <c r="Q13" i="5"/>
  <c r="P15" i="5"/>
  <c r="Q15" i="5"/>
  <c r="O29" i="5"/>
  <c r="P29" i="5" s="1"/>
  <c r="O31" i="5"/>
  <c r="P31" i="5"/>
  <c r="O33" i="5"/>
  <c r="P33" i="5" s="1"/>
  <c r="O35" i="5"/>
  <c r="P35" i="5"/>
  <c r="Q35" i="5"/>
  <c r="R35" i="5"/>
  <c r="S35" i="5"/>
  <c r="O37" i="5"/>
  <c r="P37" i="5" s="1"/>
  <c r="O39" i="5"/>
  <c r="P39" i="5"/>
  <c r="Q39" i="5"/>
  <c r="R39" i="5"/>
  <c r="S39" i="5"/>
  <c r="O41" i="5"/>
  <c r="P41" i="5" s="1"/>
  <c r="O43" i="5"/>
  <c r="P43" i="5"/>
  <c r="Q43" i="5"/>
  <c r="R43" i="5"/>
  <c r="S43" i="5"/>
  <c r="O45" i="5"/>
  <c r="P45" i="5" s="1"/>
  <c r="O47" i="5"/>
  <c r="P47" i="5"/>
  <c r="Q47" i="5"/>
  <c r="R47" i="5"/>
  <c r="S47" i="5"/>
  <c r="O49" i="5"/>
  <c r="Q49" i="5" s="1"/>
  <c r="P49" i="5"/>
  <c r="O31" i="4"/>
  <c r="O30" i="4"/>
  <c r="P12" i="4"/>
  <c r="Q12" i="4"/>
  <c r="P13" i="4"/>
  <c r="Q13" i="4" s="1"/>
  <c r="O13" i="4"/>
  <c r="O12" i="4"/>
  <c r="O11" i="4"/>
  <c r="P11" i="4" s="1"/>
  <c r="O7" i="4"/>
  <c r="P7" i="4" s="1"/>
  <c r="O9" i="4"/>
  <c r="P9" i="4" s="1"/>
  <c r="Q9" i="4" s="1"/>
  <c r="P19" i="4"/>
  <c r="Q19" i="4" s="1"/>
  <c r="O19" i="4"/>
  <c r="O23" i="4"/>
  <c r="P23" i="4" s="1"/>
  <c r="Q23" i="4" s="1"/>
  <c r="R23" i="4" s="1"/>
  <c r="S23" i="4" s="1"/>
  <c r="F19" i="5"/>
  <c r="F17" i="5"/>
  <c r="F49" i="5"/>
  <c r="I49" i="5"/>
  <c r="J49" i="5"/>
  <c r="K49" i="5"/>
  <c r="L49" i="5"/>
  <c r="G36" i="1"/>
  <c r="H49" i="5" s="1"/>
  <c r="H36" i="1"/>
  <c r="I36" i="1"/>
  <c r="J36" i="1"/>
  <c r="K36" i="1"/>
  <c r="L36" i="1"/>
  <c r="M49" i="5" s="1"/>
  <c r="M36" i="1"/>
  <c r="N49" i="5" s="1"/>
  <c r="N36" i="1"/>
  <c r="F36" i="1"/>
  <c r="G49" i="5" s="1"/>
  <c r="H47" i="5"/>
  <c r="I47" i="5"/>
  <c r="J47" i="5"/>
  <c r="K47" i="5"/>
  <c r="L47" i="5"/>
  <c r="M47" i="5"/>
  <c r="N47" i="5"/>
  <c r="F47" i="5"/>
  <c r="G47" i="5"/>
  <c r="G45" i="5"/>
  <c r="H45" i="5"/>
  <c r="I45" i="5"/>
  <c r="J45" i="5"/>
  <c r="K45" i="5"/>
  <c r="L45" i="5"/>
  <c r="M45" i="5"/>
  <c r="N45" i="5"/>
  <c r="F45" i="5"/>
  <c r="G43" i="5"/>
  <c r="H43" i="5"/>
  <c r="I43" i="5"/>
  <c r="J43" i="5"/>
  <c r="K43" i="5"/>
  <c r="L43" i="5"/>
  <c r="M43" i="5"/>
  <c r="N43" i="5"/>
  <c r="F43" i="5"/>
  <c r="G17" i="5"/>
  <c r="H17" i="5"/>
  <c r="I17" i="5"/>
  <c r="J17" i="5"/>
  <c r="K17" i="5"/>
  <c r="L17" i="5"/>
  <c r="M17" i="5"/>
  <c r="N17" i="5"/>
  <c r="G11" i="5"/>
  <c r="H11" i="5"/>
  <c r="I11" i="5"/>
  <c r="J11" i="5"/>
  <c r="K11" i="5"/>
  <c r="L11" i="5"/>
  <c r="M11" i="5"/>
  <c r="N11" i="5"/>
  <c r="F11" i="5"/>
  <c r="G10" i="11"/>
  <c r="G11" i="11" s="1"/>
  <c r="H10" i="11"/>
  <c r="H11" i="11" s="1"/>
  <c r="I10" i="11"/>
  <c r="I11" i="11" s="1"/>
  <c r="J10" i="11"/>
  <c r="J11" i="11" s="1"/>
  <c r="K10" i="11"/>
  <c r="K11" i="11" s="1"/>
  <c r="L10" i="11"/>
  <c r="L11" i="11" s="1"/>
  <c r="M10" i="11"/>
  <c r="M11" i="11" s="1"/>
  <c r="N10" i="11"/>
  <c r="N11" i="11" s="1"/>
  <c r="F10" i="11"/>
  <c r="F13" i="11"/>
  <c r="G13" i="11"/>
  <c r="H9" i="11" s="1"/>
  <c r="H13" i="11"/>
  <c r="I9" i="11" s="1"/>
  <c r="I13" i="11"/>
  <c r="J9" i="11" s="1"/>
  <c r="J13" i="11"/>
  <c r="K9" i="11" s="1"/>
  <c r="K13" i="11"/>
  <c r="L9" i="11" s="1"/>
  <c r="L13" i="11"/>
  <c r="M9" i="11" s="1"/>
  <c r="M13" i="11"/>
  <c r="N13" i="11"/>
  <c r="O9" i="11" s="1"/>
  <c r="E13" i="11"/>
  <c r="F9" i="11" s="1"/>
  <c r="G5" i="11"/>
  <c r="H5" i="11"/>
  <c r="I5" i="11"/>
  <c r="J5" i="11"/>
  <c r="K5" i="11"/>
  <c r="L5" i="11"/>
  <c r="M5" i="11"/>
  <c r="N5" i="11"/>
  <c r="F5" i="11"/>
  <c r="L11" i="10"/>
  <c r="L12" i="10" s="1"/>
  <c r="M11" i="10"/>
  <c r="M12" i="10" s="1"/>
  <c r="F14" i="10"/>
  <c r="G11" i="10" s="1"/>
  <c r="G12" i="10" s="1"/>
  <c r="G14" i="10"/>
  <c r="H11" i="10" s="1"/>
  <c r="H14" i="10"/>
  <c r="I11" i="10" s="1"/>
  <c r="I14" i="10"/>
  <c r="J14" i="10"/>
  <c r="K11" i="10" s="1"/>
  <c r="K14" i="10"/>
  <c r="L14" i="10"/>
  <c r="L13" i="10" s="1"/>
  <c r="M14" i="10"/>
  <c r="N11" i="10" s="1"/>
  <c r="N14" i="10"/>
  <c r="N13" i="10" s="1"/>
  <c r="E14" i="10"/>
  <c r="F11" i="10" s="1"/>
  <c r="F8" i="10"/>
  <c r="G5" i="10" s="1"/>
  <c r="G8" i="10"/>
  <c r="H5" i="10" s="1"/>
  <c r="H8" i="10"/>
  <c r="I5" i="10" s="1"/>
  <c r="I8" i="10"/>
  <c r="J5" i="10" s="1"/>
  <c r="J8" i="10"/>
  <c r="K5" i="10" s="1"/>
  <c r="K8" i="10"/>
  <c r="L5" i="10" s="1"/>
  <c r="L8" i="10"/>
  <c r="L6" i="10" s="1"/>
  <c r="M8" i="10"/>
  <c r="N8" i="10"/>
  <c r="O5" i="10" s="1"/>
  <c r="E8" i="10"/>
  <c r="F5" i="10" s="1"/>
  <c r="F7" i="10" s="1"/>
  <c r="F31" i="5"/>
  <c r="F33" i="5"/>
  <c r="F35" i="5"/>
  <c r="F37" i="5"/>
  <c r="F39" i="5"/>
  <c r="F41" i="5"/>
  <c r="F29" i="5"/>
  <c r="G15" i="7"/>
  <c r="G12" i="7"/>
  <c r="H12" i="7"/>
  <c r="I12" i="7"/>
  <c r="J12" i="7"/>
  <c r="K12" i="7"/>
  <c r="L12" i="7"/>
  <c r="M12" i="7"/>
  <c r="N12" i="7"/>
  <c r="F12" i="7"/>
  <c r="H35" i="5"/>
  <c r="I35" i="5"/>
  <c r="J35" i="5"/>
  <c r="K35" i="5"/>
  <c r="L35" i="5"/>
  <c r="M35" i="5"/>
  <c r="N35" i="5"/>
  <c r="H37" i="5"/>
  <c r="I37" i="5"/>
  <c r="J37" i="5"/>
  <c r="K37" i="5"/>
  <c r="L37" i="5"/>
  <c r="M37" i="5"/>
  <c r="N37" i="5"/>
  <c r="H39" i="5"/>
  <c r="I39" i="5"/>
  <c r="J39" i="5"/>
  <c r="K39" i="5"/>
  <c r="L39" i="5"/>
  <c r="M39" i="5"/>
  <c r="N39" i="5"/>
  <c r="H41" i="5"/>
  <c r="I41" i="5"/>
  <c r="J41" i="5"/>
  <c r="K41" i="5"/>
  <c r="L41" i="5"/>
  <c r="M41" i="5"/>
  <c r="N41" i="5"/>
  <c r="G41" i="5"/>
  <c r="G39" i="5"/>
  <c r="G37" i="5"/>
  <c r="G35" i="5"/>
  <c r="N33" i="5"/>
  <c r="M33" i="5"/>
  <c r="L33" i="5"/>
  <c r="K33" i="5"/>
  <c r="J33" i="5"/>
  <c r="I33" i="5"/>
  <c r="H33" i="5"/>
  <c r="G33" i="5"/>
  <c r="N31" i="5"/>
  <c r="M31" i="5"/>
  <c r="L31" i="5"/>
  <c r="K31" i="5"/>
  <c r="J31" i="5"/>
  <c r="I31" i="5"/>
  <c r="H31" i="5"/>
  <c r="G31" i="5"/>
  <c r="N29" i="5"/>
  <c r="M29" i="5"/>
  <c r="L29" i="5"/>
  <c r="K29" i="5"/>
  <c r="J29" i="5"/>
  <c r="I29" i="5"/>
  <c r="H29" i="5"/>
  <c r="G29" i="5"/>
  <c r="G21" i="5"/>
  <c r="H21" i="5"/>
  <c r="I21" i="5"/>
  <c r="J21" i="5"/>
  <c r="K21" i="5"/>
  <c r="L21" i="5"/>
  <c r="M21" i="5"/>
  <c r="N21" i="5"/>
  <c r="F21" i="5"/>
  <c r="G19" i="5"/>
  <c r="H19" i="5"/>
  <c r="I19" i="5"/>
  <c r="J19" i="5"/>
  <c r="K19" i="5"/>
  <c r="L19" i="5"/>
  <c r="M19" i="5"/>
  <c r="N19" i="5"/>
  <c r="N15" i="7"/>
  <c r="M15" i="7"/>
  <c r="L15" i="7"/>
  <c r="K15" i="7"/>
  <c r="J15" i="7"/>
  <c r="I15" i="7"/>
  <c r="H15" i="7"/>
  <c r="F15" i="7"/>
  <c r="E15" i="7"/>
  <c r="E14" i="7"/>
  <c r="E17" i="7" s="1"/>
  <c r="G4" i="7"/>
  <c r="N4" i="7"/>
  <c r="F7" i="7"/>
  <c r="G7" i="7"/>
  <c r="H4" i="7" s="1"/>
  <c r="H7" i="7"/>
  <c r="I4" i="7" s="1"/>
  <c r="I7" i="7"/>
  <c r="J7" i="7"/>
  <c r="K4" i="7" s="1"/>
  <c r="K7" i="7"/>
  <c r="L4" i="7" s="1"/>
  <c r="L7" i="7"/>
  <c r="M7" i="7"/>
  <c r="N7" i="7"/>
  <c r="O4" i="7" s="1"/>
  <c r="E7" i="7"/>
  <c r="F4" i="7" s="1"/>
  <c r="F13" i="5"/>
  <c r="G13" i="5"/>
  <c r="H13" i="5"/>
  <c r="I13" i="5"/>
  <c r="J13" i="5"/>
  <c r="K13" i="5"/>
  <c r="L13" i="5"/>
  <c r="M13" i="5"/>
  <c r="N13" i="5"/>
  <c r="G23" i="5"/>
  <c r="H23" i="5"/>
  <c r="I23" i="5"/>
  <c r="J23" i="5"/>
  <c r="K23" i="5"/>
  <c r="L23" i="5"/>
  <c r="M23" i="5"/>
  <c r="N23" i="5"/>
  <c r="F23" i="5"/>
  <c r="G25" i="5"/>
  <c r="H25" i="5"/>
  <c r="I25" i="5"/>
  <c r="J25" i="5"/>
  <c r="K25" i="5"/>
  <c r="L25" i="5"/>
  <c r="M25" i="5"/>
  <c r="N25" i="5"/>
  <c r="F25" i="5"/>
  <c r="G15" i="5"/>
  <c r="H15" i="5"/>
  <c r="I15" i="5"/>
  <c r="J15" i="5"/>
  <c r="K15" i="5"/>
  <c r="L15" i="5"/>
  <c r="M15" i="5"/>
  <c r="N15" i="5"/>
  <c r="F15" i="5"/>
  <c r="G9" i="5"/>
  <c r="H9" i="5"/>
  <c r="I9" i="5"/>
  <c r="J9" i="5"/>
  <c r="K9" i="5"/>
  <c r="L9" i="5"/>
  <c r="M9" i="5"/>
  <c r="N9" i="5"/>
  <c r="F9" i="5"/>
  <c r="I53" i="6" l="1"/>
  <c r="J51" i="6" s="1"/>
  <c r="J53" i="6" s="1"/>
  <c r="K51" i="6" s="1"/>
  <c r="K53" i="6" s="1"/>
  <c r="L51" i="6" s="1"/>
  <c r="L53" i="6" s="1"/>
  <c r="M51" i="6" s="1"/>
  <c r="M53" i="6" s="1"/>
  <c r="N51" i="6" s="1"/>
  <c r="N53" i="6" s="1"/>
  <c r="O51" i="6" s="1"/>
  <c r="O53" i="6" s="1"/>
  <c r="P51" i="6" s="1"/>
  <c r="P53" i="6" s="1"/>
  <c r="Q51" i="6" s="1"/>
  <c r="Q53" i="6" s="1"/>
  <c r="R51" i="6" s="1"/>
  <c r="R53" i="6" s="1"/>
  <c r="S51" i="6" s="1"/>
  <c r="S53" i="6" s="1"/>
  <c r="R9" i="5"/>
  <c r="S9" i="5"/>
  <c r="Q25" i="5"/>
  <c r="R25" i="5" s="1"/>
  <c r="Q21" i="5"/>
  <c r="R15" i="5"/>
  <c r="Q19" i="5"/>
  <c r="R19" i="5" s="1"/>
  <c r="P25" i="5"/>
  <c r="S25" i="5" s="1"/>
  <c r="P23" i="5"/>
  <c r="P21" i="5"/>
  <c r="R21" i="5" s="1"/>
  <c r="S21" i="5" s="1"/>
  <c r="R13" i="5"/>
  <c r="Q17" i="5"/>
  <c r="R17" i="5" s="1"/>
  <c r="S17" i="5" s="1"/>
  <c r="S15" i="5"/>
  <c r="S13" i="5"/>
  <c r="R37" i="5"/>
  <c r="R49" i="5"/>
  <c r="S49" i="5" s="1"/>
  <c r="R41" i="5"/>
  <c r="R45" i="5"/>
  <c r="S45" i="5" s="1"/>
  <c r="Q45" i="5"/>
  <c r="Q41" i="5"/>
  <c r="S41" i="5" s="1"/>
  <c r="Q37" i="5"/>
  <c r="S37" i="5" s="1"/>
  <c r="Q33" i="5"/>
  <c r="R33" i="5" s="1"/>
  <c r="S33" i="5" s="1"/>
  <c r="Q29" i="5"/>
  <c r="R29" i="5" s="1"/>
  <c r="R31" i="5"/>
  <c r="Q31" i="5"/>
  <c r="S31" i="5" s="1"/>
  <c r="Q11" i="4"/>
  <c r="R11" i="4" s="1"/>
  <c r="S11" i="4" s="1"/>
  <c r="R19" i="4"/>
  <c r="S19" i="4" s="1"/>
  <c r="O11" i="10"/>
  <c r="O14" i="10" s="1"/>
  <c r="P11" i="10" s="1"/>
  <c r="P14" i="10" s="1"/>
  <c r="R13" i="4"/>
  <c r="R12" i="4"/>
  <c r="S12" i="4" s="1"/>
  <c r="M13" i="10"/>
  <c r="I12" i="10"/>
  <c r="N5" i="7"/>
  <c r="G7" i="10"/>
  <c r="H5" i="7"/>
  <c r="P30" i="4"/>
  <c r="P31" i="4"/>
  <c r="S13" i="4"/>
  <c r="Q7" i="4"/>
  <c r="R9" i="4"/>
  <c r="S9" i="4" s="1"/>
  <c r="L5" i="7"/>
  <c r="F11" i="7"/>
  <c r="F13" i="7" s="1"/>
  <c r="F14" i="7" s="1"/>
  <c r="I13" i="10"/>
  <c r="I5" i="7"/>
  <c r="K5" i="7"/>
  <c r="J13" i="10"/>
  <c r="F5" i="7"/>
  <c r="N12" i="10"/>
  <c r="J11" i="10"/>
  <c r="J12" i="10" s="1"/>
  <c r="H16" i="10"/>
  <c r="H17" i="10" s="1"/>
  <c r="H7" i="10"/>
  <c r="O8" i="10"/>
  <c r="O16" i="10" s="1"/>
  <c r="L16" i="10"/>
  <c r="L17" i="10" s="1"/>
  <c r="L7" i="10"/>
  <c r="K12" i="10"/>
  <c r="K13" i="10"/>
  <c r="H13" i="10"/>
  <c r="H12" i="10"/>
  <c r="K16" i="10"/>
  <c r="K17" i="10" s="1"/>
  <c r="K7" i="10"/>
  <c r="I16" i="10"/>
  <c r="I17" i="10" s="1"/>
  <c r="I7" i="10"/>
  <c r="F13" i="10"/>
  <c r="F12" i="10"/>
  <c r="I6" i="10"/>
  <c r="F6" i="10"/>
  <c r="G16" i="10"/>
  <c r="G17" i="10" s="1"/>
  <c r="I12" i="11"/>
  <c r="H12" i="11"/>
  <c r="F16" i="10"/>
  <c r="F17" i="10" s="1"/>
  <c r="M5" i="10"/>
  <c r="M6" i="10" s="1"/>
  <c r="K6" i="10"/>
  <c r="J6" i="10"/>
  <c r="G5" i="7"/>
  <c r="M4" i="7"/>
  <c r="N5" i="10"/>
  <c r="J7" i="10"/>
  <c r="H6" i="10"/>
  <c r="G6" i="10"/>
  <c r="G13" i="10"/>
  <c r="J4" i="7"/>
  <c r="F11" i="11"/>
  <c r="F12" i="11" s="1"/>
  <c r="J12" i="11"/>
  <c r="L12" i="11"/>
  <c r="M12" i="11"/>
  <c r="K12" i="11"/>
  <c r="N9" i="11"/>
  <c r="N12" i="11" s="1"/>
  <c r="G9" i="11"/>
  <c r="G12" i="11" s="1"/>
  <c r="O5" i="1"/>
  <c r="O36" i="1" s="1"/>
  <c r="S19" i="5" l="1"/>
  <c r="Q23" i="5"/>
  <c r="S29" i="5"/>
  <c r="O28" i="4"/>
  <c r="Q31" i="4"/>
  <c r="Q30" i="4"/>
  <c r="R30" i="4" s="1"/>
  <c r="R7" i="4"/>
  <c r="J16" i="10"/>
  <c r="J17" i="10" s="1"/>
  <c r="O16" i="4"/>
  <c r="O20" i="4"/>
  <c r="O12" i="11"/>
  <c r="P12" i="11" s="1"/>
  <c r="Q12" i="11" s="1"/>
  <c r="R12" i="11" s="1"/>
  <c r="S12" i="11" s="1"/>
  <c r="N16" i="10"/>
  <c r="N17" i="10" s="1"/>
  <c r="N7" i="10"/>
  <c r="M5" i="7"/>
  <c r="N6" i="10"/>
  <c r="Q11" i="10"/>
  <c r="Q14" i="10" s="1"/>
  <c r="P28" i="4"/>
  <c r="O27" i="4"/>
  <c r="P5" i="10"/>
  <c r="J5" i="7"/>
  <c r="M16" i="10"/>
  <c r="M17" i="10" s="1"/>
  <c r="M7" i="10"/>
  <c r="O12" i="1"/>
  <c r="O14" i="1"/>
  <c r="O13" i="1"/>
  <c r="O8" i="1"/>
  <c r="O15" i="4" s="1"/>
  <c r="O15" i="1"/>
  <c r="O17" i="1"/>
  <c r="O10" i="1"/>
  <c r="O11" i="1"/>
  <c r="O7" i="1"/>
  <c r="G11" i="7"/>
  <c r="G13" i="7" s="1"/>
  <c r="G14" i="7" s="1"/>
  <c r="F17" i="7"/>
  <c r="O25" i="1"/>
  <c r="R23" i="5" l="1"/>
  <c r="S23" i="5" s="1"/>
  <c r="O5" i="7"/>
  <c r="P5" i="7" s="1"/>
  <c r="Q5" i="7" s="1"/>
  <c r="S30" i="4"/>
  <c r="R31" i="4"/>
  <c r="S31" i="4" s="1"/>
  <c r="S7" i="4"/>
  <c r="P16" i="4"/>
  <c r="R11" i="10"/>
  <c r="R14" i="10" s="1"/>
  <c r="Q28" i="4"/>
  <c r="P20" i="4"/>
  <c r="O17" i="10"/>
  <c r="P8" i="10"/>
  <c r="H11" i="7"/>
  <c r="H13" i="7" s="1"/>
  <c r="H14" i="7" s="1"/>
  <c r="G17" i="7"/>
  <c r="O9" i="1"/>
  <c r="O6" i="1" s="1"/>
  <c r="O16" i="1" s="1"/>
  <c r="P5" i="1"/>
  <c r="P36" i="1" s="1"/>
  <c r="R5" i="7" l="1"/>
  <c r="S5" i="7" s="1"/>
  <c r="P27" i="4"/>
  <c r="Q5" i="10"/>
  <c r="P16" i="10"/>
  <c r="O19" i="1"/>
  <c r="S11" i="10"/>
  <c r="S14" i="10" s="1"/>
  <c r="S28" i="4" s="1"/>
  <c r="R28" i="4"/>
  <c r="P17" i="10"/>
  <c r="O18" i="1"/>
  <c r="P15" i="1"/>
  <c r="P13" i="1"/>
  <c r="P11" i="1"/>
  <c r="P25" i="1"/>
  <c r="P10" i="1"/>
  <c r="P7" i="1"/>
  <c r="P14" i="1"/>
  <c r="Q5" i="1"/>
  <c r="Q36" i="1" s="1"/>
  <c r="P8" i="1"/>
  <c r="P15" i="4" s="1"/>
  <c r="P12" i="1"/>
  <c r="P17" i="1"/>
  <c r="I11" i="7"/>
  <c r="H17" i="7"/>
  <c r="Q20" i="4" l="1"/>
  <c r="Q16" i="4"/>
  <c r="P19" i="1"/>
  <c r="Q17" i="10"/>
  <c r="R17" i="10" s="1"/>
  <c r="S17" i="10"/>
  <c r="Q8" i="10"/>
  <c r="Q16" i="10" s="1"/>
  <c r="Q19" i="1" s="1"/>
  <c r="Q10" i="1"/>
  <c r="P9" i="1"/>
  <c r="P6" i="1" s="1"/>
  <c r="P16" i="1" s="1"/>
  <c r="Q15" i="1"/>
  <c r="Q8" i="1"/>
  <c r="Q15" i="4" s="1"/>
  <c r="Q17" i="1"/>
  <c r="Q14" i="1"/>
  <c r="Q25" i="1"/>
  <c r="Q13" i="1"/>
  <c r="Q7" i="1"/>
  <c r="Q12" i="1"/>
  <c r="Q11" i="1"/>
  <c r="R5" i="1"/>
  <c r="R36" i="1" s="1"/>
  <c r="I13" i="7"/>
  <c r="I14" i="7" s="1"/>
  <c r="R20" i="4" l="1"/>
  <c r="R16" i="4"/>
  <c r="R5" i="10"/>
  <c r="Q27" i="4"/>
  <c r="P18" i="1"/>
  <c r="J11" i="7"/>
  <c r="J13" i="7" s="1"/>
  <c r="J14" i="7" s="1"/>
  <c r="I17" i="7"/>
  <c r="Q9" i="1"/>
  <c r="R15" i="1"/>
  <c r="R7" i="1"/>
  <c r="R12" i="1"/>
  <c r="R10" i="1"/>
  <c r="R13" i="1"/>
  <c r="S5" i="1"/>
  <c r="R14" i="1"/>
  <c r="R25" i="1"/>
  <c r="R8" i="1"/>
  <c r="R15" i="4" s="1"/>
  <c r="R17" i="1"/>
  <c r="R11" i="1"/>
  <c r="Q6" i="1"/>
  <c r="Q16" i="1" s="1"/>
  <c r="S36" i="1" l="1"/>
  <c r="S16" i="4"/>
  <c r="S20" i="4"/>
  <c r="R8" i="10"/>
  <c r="R16" i="10"/>
  <c r="R19" i="1" s="1"/>
  <c r="Q18" i="1"/>
  <c r="R9" i="1"/>
  <c r="R6" i="1" s="1"/>
  <c r="R16" i="1" s="1"/>
  <c r="S10" i="1"/>
  <c r="S15" i="1"/>
  <c r="S7" i="1"/>
  <c r="S12" i="1"/>
  <c r="S25" i="1"/>
  <c r="S11" i="1"/>
  <c r="S13" i="1"/>
  <c r="S8" i="1"/>
  <c r="S15" i="4" s="1"/>
  <c r="S14" i="1"/>
  <c r="S17" i="1"/>
  <c r="K11" i="7"/>
  <c r="J17" i="7"/>
  <c r="S5" i="10" l="1"/>
  <c r="R27" i="4"/>
  <c r="R18" i="1"/>
  <c r="K13" i="7"/>
  <c r="K14" i="7" s="1"/>
  <c r="S9" i="1"/>
  <c r="S6" i="1" s="1"/>
  <c r="S16" i="1" s="1"/>
  <c r="O7" i="7"/>
  <c r="O5" i="4" s="1"/>
  <c r="O10" i="4" l="1"/>
  <c r="O37" i="4"/>
  <c r="O33" i="4"/>
  <c r="O35" i="4"/>
  <c r="O34" i="4"/>
  <c r="O17" i="4"/>
  <c r="S8" i="10"/>
  <c r="S27" i="4" s="1"/>
  <c r="S18" i="1"/>
  <c r="L11" i="7"/>
  <c r="L13" i="7" s="1"/>
  <c r="L14" i="7" s="1"/>
  <c r="K17" i="7"/>
  <c r="O21" i="1"/>
  <c r="O24" i="1" s="1"/>
  <c r="P4" i="7"/>
  <c r="P7" i="7" s="1"/>
  <c r="S16" i="10" l="1"/>
  <c r="S19" i="1" s="1"/>
  <c r="O32" i="4"/>
  <c r="O20" i="1"/>
  <c r="O22" i="1"/>
  <c r="O29" i="1"/>
  <c r="M11" i="7"/>
  <c r="M13" i="7" s="1"/>
  <c r="M14" i="7" s="1"/>
  <c r="L17" i="7"/>
  <c r="Q4" i="7"/>
  <c r="Q7" i="7" s="1"/>
  <c r="P5" i="4"/>
  <c r="O12" i="7"/>
  <c r="P10" i="4" l="1"/>
  <c r="P37" i="4"/>
  <c r="P34" i="4"/>
  <c r="P35" i="4"/>
  <c r="P17" i="4"/>
  <c r="O33" i="1"/>
  <c r="O10" i="11"/>
  <c r="O35" i="1"/>
  <c r="P21" i="1"/>
  <c r="P24" i="1" s="1"/>
  <c r="P29" i="1" s="1"/>
  <c r="P33" i="4"/>
  <c r="N11" i="7"/>
  <c r="N13" i="7" s="1"/>
  <c r="N14" i="7" s="1"/>
  <c r="M17" i="7"/>
  <c r="R4" i="7"/>
  <c r="R7" i="7" s="1"/>
  <c r="Q5" i="4"/>
  <c r="Q10" i="4" l="1"/>
  <c r="P32" i="4"/>
  <c r="P20" i="1"/>
  <c r="P33" i="1"/>
  <c r="P10" i="11"/>
  <c r="P35" i="1"/>
  <c r="P12" i="7"/>
  <c r="Q21" i="1"/>
  <c r="Q24" i="1" s="1"/>
  <c r="Q29" i="1" s="1"/>
  <c r="Q37" i="4"/>
  <c r="Q17" i="4"/>
  <c r="Q33" i="4"/>
  <c r="Q34" i="4"/>
  <c r="O11" i="11"/>
  <c r="O13" i="11" s="1"/>
  <c r="Q35" i="4"/>
  <c r="P22" i="1"/>
  <c r="O11" i="7"/>
  <c r="O14" i="7" s="1"/>
  <c r="N17" i="7"/>
  <c r="S4" i="7"/>
  <c r="S7" i="7" s="1"/>
  <c r="S5" i="4" s="1"/>
  <c r="R5" i="4"/>
  <c r="Q12" i="7" l="1"/>
  <c r="R10" i="4"/>
  <c r="S10" i="4"/>
  <c r="Q20" i="1"/>
  <c r="P9" i="11"/>
  <c r="O25" i="4"/>
  <c r="O22" i="4" s="1"/>
  <c r="Q33" i="1"/>
  <c r="Q10" i="11"/>
  <c r="Q35" i="1"/>
  <c r="Q22" i="1"/>
  <c r="S37" i="4"/>
  <c r="S17" i="4"/>
  <c r="P11" i="11"/>
  <c r="Q32" i="4"/>
  <c r="R21" i="1"/>
  <c r="R24" i="1" s="1"/>
  <c r="R22" i="1" s="1"/>
  <c r="R37" i="4"/>
  <c r="R17" i="4"/>
  <c r="R34" i="4"/>
  <c r="R35" i="4"/>
  <c r="R33" i="4"/>
  <c r="O17" i="7"/>
  <c r="P11" i="7"/>
  <c r="P14" i="7" s="1"/>
  <c r="O6" i="4"/>
  <c r="O8" i="4" s="1"/>
  <c r="O4" i="4" s="1"/>
  <c r="S33" i="4" l="1"/>
  <c r="R12" i="7"/>
  <c r="R20" i="1"/>
  <c r="S34" i="4"/>
  <c r="S21" i="1"/>
  <c r="S24" i="1" s="1"/>
  <c r="R29" i="1"/>
  <c r="R35" i="1" s="1"/>
  <c r="R10" i="11"/>
  <c r="Q11" i="11"/>
  <c r="S35" i="4"/>
  <c r="R32" i="4"/>
  <c r="P13" i="11"/>
  <c r="O29" i="4"/>
  <c r="O26" i="4" s="1"/>
  <c r="O21" i="4" s="1"/>
  <c r="P17" i="7"/>
  <c r="P6" i="4"/>
  <c r="P8" i="4" s="1"/>
  <c r="P4" i="4" s="1"/>
  <c r="Q11" i="7"/>
  <c r="Q14" i="7" s="1"/>
  <c r="S32" i="4" l="1"/>
  <c r="R33" i="1"/>
  <c r="S12" i="7"/>
  <c r="P25" i="4"/>
  <c r="P22" i="4" s="1"/>
  <c r="Q9" i="11"/>
  <c r="Q13" i="11" s="1"/>
  <c r="R11" i="11"/>
  <c r="S20" i="1"/>
  <c r="S22" i="1"/>
  <c r="S29" i="1"/>
  <c r="P29" i="4"/>
  <c r="P26" i="4" s="1"/>
  <c r="Q17" i="7"/>
  <c r="Q6" i="4"/>
  <c r="Q8" i="4" s="1"/>
  <c r="Q4" i="4" s="1"/>
  <c r="R11" i="7"/>
  <c r="R14" i="7" s="1"/>
  <c r="P21" i="4" l="1"/>
  <c r="S33" i="1"/>
  <c r="S10" i="11"/>
  <c r="S35" i="1"/>
  <c r="R9" i="11"/>
  <c r="R13" i="11" s="1"/>
  <c r="Q25" i="4"/>
  <c r="Q22" i="4" s="1"/>
  <c r="Q29" i="4"/>
  <c r="Q26" i="4" s="1"/>
  <c r="R17" i="7"/>
  <c r="S11" i="7"/>
  <c r="S14" i="7" s="1"/>
  <c r="R6" i="4"/>
  <c r="R8" i="4" s="1"/>
  <c r="R4" i="4" s="1"/>
  <c r="Q21" i="4" l="1"/>
  <c r="S9" i="11"/>
  <c r="R25" i="4"/>
  <c r="R22" i="4" s="1"/>
  <c r="S11" i="11"/>
  <c r="R29" i="4"/>
  <c r="R26" i="4" s="1"/>
  <c r="S6" i="4"/>
  <c r="S8" i="4" s="1"/>
  <c r="S4" i="4" s="1"/>
  <c r="S17" i="7"/>
  <c r="R21" i="4" l="1"/>
  <c r="S13" i="11"/>
  <c r="S25" i="4" s="1"/>
  <c r="S22" i="4" s="1"/>
  <c r="S29" i="4"/>
  <c r="S26" i="4" s="1"/>
  <c r="S21" i="4" l="1"/>
  <c r="S14" i="4"/>
  <c r="S3" i="4" s="1"/>
  <c r="X18" i="4" s="1"/>
  <c r="R14" i="4"/>
  <c r="R3" i="4" s="1"/>
  <c r="W18" i="4" s="1"/>
  <c r="O14" i="4"/>
  <c r="O3" i="4" s="1"/>
  <c r="T18" i="4" s="1"/>
  <c r="Q14" i="4"/>
  <c r="Q3" i="4" s="1"/>
  <c r="V18" i="4" s="1"/>
  <c r="P14" i="4"/>
  <c r="P3" i="4" s="1"/>
  <c r="U18" i="4" s="1"/>
</calcChain>
</file>

<file path=xl/sharedStrings.xml><?xml version="1.0" encoding="utf-8"?>
<sst xmlns="http://schemas.openxmlformats.org/spreadsheetml/2006/main" count="337" uniqueCount="203">
  <si>
    <t>Profit &amp; Loss Statement</t>
  </si>
  <si>
    <t>(All figures in Rs. CR unless mentioned otherwise)</t>
  </si>
  <si>
    <t>Balance Sheet</t>
  </si>
  <si>
    <t>Assets</t>
  </si>
  <si>
    <t>Non Current Assets</t>
  </si>
  <si>
    <t>Gross Block</t>
  </si>
  <si>
    <t>Less: Accumulated Depreciation</t>
  </si>
  <si>
    <t>Less: Impairment of Assets</t>
  </si>
  <si>
    <t>Net Block</t>
  </si>
  <si>
    <t>Lease Adjustment A/c</t>
  </si>
  <si>
    <t>Capital Work in Progress</t>
  </si>
  <si>
    <t>Long Term Investments</t>
  </si>
  <si>
    <t>Long Term Loans &amp; Advances</t>
  </si>
  <si>
    <t>Other Non Current Assets</t>
  </si>
  <si>
    <t>Current Assets</t>
  </si>
  <si>
    <t>Inventory</t>
  </si>
  <si>
    <t>Accounts Receivable</t>
  </si>
  <si>
    <t>Short Term Investments</t>
  </si>
  <si>
    <t>Cash &amp; Bank Balances</t>
  </si>
  <si>
    <t>Other Current Assets</t>
  </si>
  <si>
    <t>Short Term Loans and Advances</t>
  </si>
  <si>
    <t>Liabilities</t>
  </si>
  <si>
    <t>Shareholders Funds</t>
  </si>
  <si>
    <t>Share Capital</t>
  </si>
  <si>
    <t>Share Warrants</t>
  </si>
  <si>
    <t>Reserves</t>
  </si>
  <si>
    <t>Non Current Liabilities</t>
  </si>
  <si>
    <t>Secured Loans</t>
  </si>
  <si>
    <t>Unsecured Loans</t>
  </si>
  <si>
    <t>Deferred Tax Assets/Liabilities</t>
  </si>
  <si>
    <t>Other Long Term Liabilities</t>
  </si>
  <si>
    <t>Long Term Provisions</t>
  </si>
  <si>
    <t>Current Liabilities</t>
  </si>
  <si>
    <t>Accounts Payable</t>
  </si>
  <si>
    <t>Short Term Loans</t>
  </si>
  <si>
    <t>Other Current Liabilities</t>
  </si>
  <si>
    <t>Share Application Money</t>
  </si>
  <si>
    <t>Short Term Provisions</t>
  </si>
  <si>
    <t>Profit Before Taxation &amp; Exceptional Items</t>
  </si>
  <si>
    <t>Gross Sales</t>
  </si>
  <si>
    <t>Less: Excise Duty</t>
  </si>
  <si>
    <t>Net Sales</t>
  </si>
  <si>
    <t>Operating Expenses</t>
  </si>
  <si>
    <t>Increase/Decrease in Stock</t>
  </si>
  <si>
    <t>Raw Material</t>
  </si>
  <si>
    <t>Material Cost (%)</t>
  </si>
  <si>
    <t>Other Manufacturing Expenses</t>
  </si>
  <si>
    <t>Employee Cost</t>
  </si>
  <si>
    <t>Selling and Distribution Expenses</t>
  </si>
  <si>
    <t>Power &amp; Fuel Cost</t>
  </si>
  <si>
    <t>General and Administration Expenses</t>
  </si>
  <si>
    <t>Miscellaneous Expenses</t>
  </si>
  <si>
    <t>Operating Profit</t>
  </si>
  <si>
    <t>Other Income</t>
  </si>
  <si>
    <t>OPM (%)</t>
  </si>
  <si>
    <t>Interest</t>
  </si>
  <si>
    <t>PBDT</t>
  </si>
  <si>
    <t>Depreciation and Amortization</t>
  </si>
  <si>
    <t>Exceptional Income / Expenses</t>
  </si>
  <si>
    <t>Profit Before Tax</t>
  </si>
  <si>
    <t>Provision for Taxs</t>
  </si>
  <si>
    <t>Current Income Tax</t>
  </si>
  <si>
    <t>Deferred Tax</t>
  </si>
  <si>
    <t>Other taxes</t>
  </si>
  <si>
    <t>Profit After Tax</t>
  </si>
  <si>
    <t>Extra items</t>
  </si>
  <si>
    <t>Minority Interest</t>
  </si>
  <si>
    <t>Share of Associate</t>
  </si>
  <si>
    <t>Net Profit</t>
  </si>
  <si>
    <t>Number of shares(Crs)</t>
  </si>
  <si>
    <t>Dividend Payout Ratio(%)</t>
  </si>
  <si>
    <t>Assumption Sheet</t>
  </si>
  <si>
    <t>Balance Sheet Assumptions</t>
  </si>
  <si>
    <t>Liabilites as a % of Gross Block</t>
  </si>
  <si>
    <t>Provisions as a % of Gross Block</t>
  </si>
  <si>
    <t>Deferred tax growth rate</t>
  </si>
  <si>
    <t>Deferred tax as a % of depriciation</t>
  </si>
  <si>
    <t>Inventory # of days</t>
  </si>
  <si>
    <t>Loans and advances as % of net sales</t>
  </si>
  <si>
    <t>Investments as % of gross block</t>
  </si>
  <si>
    <t>Acc receivable # of days</t>
  </si>
  <si>
    <t>PnL Sheet Assumptions</t>
  </si>
  <si>
    <t>Net Sales Growth Rate</t>
  </si>
  <si>
    <t>Other income as % of Net Sales</t>
  </si>
  <si>
    <t>Increase in stock as % of Net Sales</t>
  </si>
  <si>
    <t>Material consumed as % of net sales</t>
  </si>
  <si>
    <t xml:space="preserve">Payment and employee benefits growth rate </t>
  </si>
  <si>
    <t>Manufacturing, selling and other expenses as % of Net Sales</t>
  </si>
  <si>
    <t>Duties and taxes as % of net sales</t>
  </si>
  <si>
    <t>Cash Flow Statement</t>
  </si>
  <si>
    <t>Cash from Operating Activity</t>
  </si>
  <si>
    <t>Adjustments</t>
  </si>
  <si>
    <t>OCF Before Working Capital</t>
  </si>
  <si>
    <t>Working Capital Changes</t>
  </si>
  <si>
    <t>Taxes Paid</t>
  </si>
  <si>
    <t>Cash from Investing Activity</t>
  </si>
  <si>
    <t>Net Fixed Assets Purchased</t>
  </si>
  <si>
    <t>Fixed Assets Purchased</t>
  </si>
  <si>
    <t>Fixed Assets Sold</t>
  </si>
  <si>
    <t>Investment Purchased</t>
  </si>
  <si>
    <t>Investment Sold</t>
  </si>
  <si>
    <t>Interest Recieved</t>
  </si>
  <si>
    <t>Dividends Recieved</t>
  </si>
  <si>
    <t>Subsidiary Investments</t>
  </si>
  <si>
    <t>Cash from Financing Activity</t>
  </si>
  <si>
    <t>Proceeds From Shares</t>
  </si>
  <si>
    <t>Net Long Term Borrowings</t>
  </si>
  <si>
    <t>Proceeds From Borrowings</t>
  </si>
  <si>
    <t>Repayment From Borrowings</t>
  </si>
  <si>
    <t>Interest Paid</t>
  </si>
  <si>
    <t>Dividend Paid</t>
  </si>
  <si>
    <t>Net Cash Flow</t>
  </si>
  <si>
    <t>Opening Cash &amp; Cash Equivalents</t>
  </si>
  <si>
    <t>Effect of FX</t>
  </si>
  <si>
    <t>Closing Cash &amp; Cash Equivalents</t>
  </si>
  <si>
    <t>Net Capex (est)</t>
  </si>
  <si>
    <t>Free Cash Flow (est)</t>
  </si>
  <si>
    <t>Asset Schedule</t>
  </si>
  <si>
    <t>Operating Gross Block</t>
  </si>
  <si>
    <t>Add : CAPEX</t>
  </si>
  <si>
    <t>Less : Disposal Of Assets</t>
  </si>
  <si>
    <t>Closing Gross Block</t>
  </si>
  <si>
    <t>Accumulated Depriciation</t>
  </si>
  <si>
    <t>Opening Balance</t>
  </si>
  <si>
    <t>Add : Current Year Depreciation</t>
  </si>
  <si>
    <t>Less : Depreciation Non Expense</t>
  </si>
  <si>
    <t>Closing Balance</t>
  </si>
  <si>
    <t>Closing Balance as per Balance Sheet</t>
  </si>
  <si>
    <t>Debt Schedule</t>
  </si>
  <si>
    <t>Secured Loan</t>
  </si>
  <si>
    <t>Add : New Issue</t>
  </si>
  <si>
    <t>Less : Repayments</t>
  </si>
  <si>
    <t>Unsecured Loan</t>
  </si>
  <si>
    <t>Average Loan Outstanding</t>
  </si>
  <si>
    <t>Interest Rate in %</t>
  </si>
  <si>
    <t>Y1A</t>
  </si>
  <si>
    <t>Y2A</t>
  </si>
  <si>
    <t>Y3A</t>
  </si>
  <si>
    <t>Y4A</t>
  </si>
  <si>
    <t>Y5A</t>
  </si>
  <si>
    <t>Y6A</t>
  </si>
  <si>
    <t>Y7A</t>
  </si>
  <si>
    <t>Y8A</t>
  </si>
  <si>
    <t>Y9A</t>
  </si>
  <si>
    <t>Y10A</t>
  </si>
  <si>
    <t>Y11P</t>
  </si>
  <si>
    <t>Y12P</t>
  </si>
  <si>
    <t>Y13P</t>
  </si>
  <si>
    <t>Y14P</t>
  </si>
  <si>
    <t>Y15P</t>
  </si>
  <si>
    <t>ACTUALS UPTO FY 24</t>
  </si>
  <si>
    <t>Reserves Schedule</t>
  </si>
  <si>
    <t xml:space="preserve">Equity Share </t>
  </si>
  <si>
    <t>Opening balance</t>
  </si>
  <si>
    <t>Closing Balance (A)</t>
  </si>
  <si>
    <t>Add : PAT from PnL</t>
  </si>
  <si>
    <t>Less : Dividends</t>
  </si>
  <si>
    <t>Add : Other adjustments</t>
  </si>
  <si>
    <t>Selling and Distribution Expenses as % of net sales</t>
  </si>
  <si>
    <t>General and Administration Expenses as % of net sales</t>
  </si>
  <si>
    <t>Miscellaneous Expenses as % of net sales</t>
  </si>
  <si>
    <t>Dividend</t>
  </si>
  <si>
    <t>Dividend paid as % of net sales</t>
  </si>
  <si>
    <t>Capital WIP as % of Gross Block</t>
  </si>
  <si>
    <t>CashFlow from Operations</t>
  </si>
  <si>
    <t>PAT</t>
  </si>
  <si>
    <t>Add : Depretiation</t>
  </si>
  <si>
    <t>Net Change in Working capital</t>
  </si>
  <si>
    <t>Less : Increase in Inventory</t>
  </si>
  <si>
    <t>Less : Increase in Accounts Receivable</t>
  </si>
  <si>
    <t>Less : Increase in Short Term Investments</t>
  </si>
  <si>
    <t>Less : Increase in Other Current Assets</t>
  </si>
  <si>
    <t>Less : Increase in Short Term Loans and Advances</t>
  </si>
  <si>
    <t>Add : Increase in Accounts Payable</t>
  </si>
  <si>
    <t>Add : Increase in Short Term Loans</t>
  </si>
  <si>
    <t>Add : Increase in Other Current Liabilities</t>
  </si>
  <si>
    <t>Add : Increase in Share Application Money</t>
  </si>
  <si>
    <t>Less : Increase in Short Term Provisions</t>
  </si>
  <si>
    <t>Net Change in Working Capital</t>
  </si>
  <si>
    <t>Cashflow from Operations</t>
  </si>
  <si>
    <t>Cashflow from Investing Activities</t>
  </si>
  <si>
    <t>Less : CapEX</t>
  </si>
  <si>
    <t>Add : Disposal of Assets</t>
  </si>
  <si>
    <t>Less : Increase in Capital Work in Progress</t>
  </si>
  <si>
    <t>Less : Increase in Long Term Investments</t>
  </si>
  <si>
    <t>Less : Increase in Long Term Loans &amp; Advances</t>
  </si>
  <si>
    <t>Less : Increase in Other Non Current Assets</t>
  </si>
  <si>
    <t>Cashflow from Investing Activiteis</t>
  </si>
  <si>
    <t>Cashflow from Finance Activities</t>
  </si>
  <si>
    <t>Add : Increase in Share Capital</t>
  </si>
  <si>
    <t>Add : Increase in Share Warrants</t>
  </si>
  <si>
    <t>Add : Increase in Secured Loans</t>
  </si>
  <si>
    <t>Add : Increase in Unsecured Loans</t>
  </si>
  <si>
    <t>Add : Increase in Deferred Tax Assets/Liabilities</t>
  </si>
  <si>
    <t>Add : Increase in Other Long Term Liabilities</t>
  </si>
  <si>
    <t>Less : Increase in Long Term Provisions</t>
  </si>
  <si>
    <t>Cash Balance</t>
  </si>
  <si>
    <t>Opening  balance</t>
  </si>
  <si>
    <t>Closing balance</t>
  </si>
  <si>
    <t>Actual Values</t>
  </si>
  <si>
    <t xml:space="preserve">Less: Past Service Cost of Employee Benefits </t>
  </si>
  <si>
    <t>Less: Utilised of Issue of Bonus Shares</t>
  </si>
  <si>
    <t>Less : Dividends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</si>
</sst>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8"/>
      <name val="Helvetica"/>
      <family val="2"/>
    </font>
    <font>
      <sz val="12"/>
      <color theme="8"/>
      <name val="Aptos Narrow"/>
      <family val="2"/>
      <scheme val="minor"/>
    </font>
    <font>
      <sz val="12"/>
      <color rgb="FFFF0000"/>
      <name val="Aptos Narrow"/>
      <scheme val="minor"/>
    </font>
    <font>
      <sz val="12"/>
      <color theme="1"/>
      <name val="Aptos Narrow"/>
      <scheme val="minor"/>
    </font>
    <font>
      <b/>
      <sz val="14"/>
      <name val="Aptos Narrow"/>
      <scheme val="minor"/>
    </font>
    <font>
      <sz val="12"/>
      <name val="Aptos Narrow"/>
      <family val="2"/>
      <scheme val="minor"/>
    </font>
    <font>
      <i/>
      <sz val="12"/>
      <name val="Aptos Narrow"/>
      <scheme val="minor"/>
    </font>
    <font>
      <b/>
      <sz val="12"/>
      <name val="Aptos Narrow"/>
      <scheme val="minor"/>
    </font>
    <font>
      <sz val="12"/>
      <name val="Helvetica"/>
      <family val="2"/>
    </font>
    <font>
      <sz val="12"/>
      <name val="Aptos Narrow"/>
      <scheme val="minor"/>
    </font>
    <font>
      <sz val="11"/>
      <color theme="1"/>
      <name val="Aptos Narrow"/>
      <family val="2"/>
      <scheme val="minor"/>
    </font>
    <font>
      <sz val="13"/>
      <color theme="1"/>
      <name val="Var(--jp-content-font-family)"/>
    </font>
    <font>
      <sz val="12"/>
      <color theme="1"/>
      <name val="Var(--jp-content-font-family)"/>
    </font>
    <font>
      <sz val="10"/>
      <color theme="1"/>
      <name val="Var(--jp-code-font-family)"/>
    </font>
    <font>
      <b/>
      <sz val="12"/>
      <color theme="1"/>
      <name val="Var(--jp-content-font-family)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4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2" fontId="3" fillId="0" borderId="0" xfId="0" applyNumberFormat="1" applyFont="1"/>
    <xf numFmtId="10" fontId="0" fillId="0" borderId="0" xfId="0" applyNumberFormat="1"/>
    <xf numFmtId="2" fontId="0" fillId="0" borderId="0" xfId="0" applyNumberFormat="1" applyFill="1"/>
    <xf numFmtId="2" fontId="3" fillId="0" borderId="0" xfId="0" applyNumberFormat="1" applyFont="1" applyFill="1"/>
    <xf numFmtId="2" fontId="7" fillId="0" borderId="0" xfId="0" applyNumberFormat="1" applyFont="1"/>
    <xf numFmtId="2" fontId="8" fillId="0" borderId="0" xfId="0" applyNumberFormat="1" applyFont="1"/>
    <xf numFmtId="2" fontId="6" fillId="0" borderId="0" xfId="0" applyNumberFormat="1" applyFont="1"/>
    <xf numFmtId="2" fontId="9" fillId="0" borderId="0" xfId="0" applyNumberFormat="1" applyFont="1"/>
    <xf numFmtId="2" fontId="1" fillId="0" borderId="0" xfId="0" applyNumberFormat="1" applyFont="1"/>
    <xf numFmtId="2" fontId="10" fillId="0" borderId="0" xfId="0" applyNumberFormat="1" applyFont="1" applyFill="1"/>
    <xf numFmtId="10" fontId="10" fillId="0" borderId="0" xfId="0" applyNumberFormat="1" applyFont="1" applyFill="1"/>
    <xf numFmtId="2" fontId="11" fillId="0" borderId="0" xfId="0" applyNumberFormat="1" applyFont="1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1" fillId="0" borderId="0" xfId="0" applyNumberFormat="1" applyFont="1" applyFill="1"/>
    <xf numFmtId="2" fontId="1" fillId="0" borderId="0" xfId="0" applyNumberFormat="1" applyFont="1" applyFill="1"/>
    <xf numFmtId="0" fontId="0" fillId="0" borderId="0" xfId="0" applyNumberForma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/>
    <xf numFmtId="2" fontId="16" fillId="0" borderId="0" xfId="0" applyNumberFormat="1" applyFont="1"/>
    <xf numFmtId="0" fontId="15" fillId="0" borderId="0" xfId="0" applyFont="1"/>
    <xf numFmtId="2" fontId="13" fillId="0" borderId="0" xfId="0" applyNumberFormat="1" applyFont="1"/>
    <xf numFmtId="0" fontId="17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/>
    <xf numFmtId="0" fontId="22" fillId="0" borderId="0" xfId="0" applyFont="1"/>
    <xf numFmtId="17" fontId="22" fillId="0" borderId="0" xfId="0" applyNumberFormat="1" applyFont="1"/>
    <xf numFmtId="0" fontId="23" fillId="0" borderId="0" xfId="0" applyFont="1"/>
  </cellXfs>
  <cellStyles count="2">
    <cellStyle name="Normal" xfId="0" builtinId="0"/>
    <cellStyle name="Normal 2" xfId="1" xr:uid="{D18EE270-4563-9841-B164-64B0B2F2DC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71D0-1B13-D04D-8C7D-408209DD3558}">
  <dimension ref="A1:T49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F17" sqref="F17:J17"/>
    </sheetView>
  </sheetViews>
  <sheetFormatPr baseColWidth="10" defaultRowHeight="16"/>
  <cols>
    <col min="1" max="1" width="5" style="6" customWidth="1"/>
    <col min="2" max="2" width="4.6640625" style="6" customWidth="1"/>
    <col min="3" max="3" width="44.33203125" style="6" customWidth="1"/>
    <col min="4" max="4" width="6" style="6" customWidth="1"/>
    <col min="5" max="5" width="11.1640625" style="6" customWidth="1"/>
    <col min="6" max="14" width="10.83203125" style="6"/>
    <col min="15" max="15" width="10.83203125" style="10"/>
    <col min="16" max="20" width="10.83203125" style="17"/>
    <col min="21" max="16384" width="10.83203125" style="6"/>
  </cols>
  <sheetData>
    <row r="1" spans="1:20" ht="19">
      <c r="A1" s="5" t="s">
        <v>71</v>
      </c>
      <c r="I1" s="2" t="s">
        <v>150</v>
      </c>
      <c r="P1" s="19"/>
      <c r="Q1" s="19"/>
      <c r="R1" s="19"/>
      <c r="S1" s="19"/>
      <c r="T1" s="19"/>
    </row>
    <row r="2" spans="1:20">
      <c r="A2" s="7" t="s">
        <v>1</v>
      </c>
      <c r="E2" s="21" t="s">
        <v>135</v>
      </c>
      <c r="F2" s="21" t="s">
        <v>136</v>
      </c>
      <c r="G2" s="21" t="s">
        <v>137</v>
      </c>
      <c r="H2" s="21" t="s">
        <v>138</v>
      </c>
      <c r="I2" s="21" t="s">
        <v>139</v>
      </c>
      <c r="J2" s="21" t="s">
        <v>140</v>
      </c>
      <c r="K2" s="21" t="s">
        <v>141</v>
      </c>
      <c r="L2" s="21" t="s">
        <v>142</v>
      </c>
      <c r="M2" s="21" t="s">
        <v>143</v>
      </c>
      <c r="N2" s="21" t="s">
        <v>144</v>
      </c>
      <c r="O2" s="21" t="s">
        <v>145</v>
      </c>
      <c r="P2" s="21" t="s">
        <v>146</v>
      </c>
      <c r="Q2" s="21" t="s">
        <v>147</v>
      </c>
      <c r="R2" s="21" t="s">
        <v>148</v>
      </c>
      <c r="S2" s="21" t="s">
        <v>149</v>
      </c>
      <c r="T2" s="11"/>
    </row>
    <row r="7" spans="1:20">
      <c r="A7" s="8" t="s">
        <v>72</v>
      </c>
    </row>
    <row r="8" spans="1:20">
      <c r="A8" s="8"/>
    </row>
    <row r="9" spans="1:20" s="9" customFormat="1">
      <c r="B9" s="9" t="s">
        <v>73</v>
      </c>
      <c r="F9" s="9">
        <f>SUM('Balance Sheet'!F33:F35)/'Balance Sheet'!F5</f>
        <v>1.7258320560543026</v>
      </c>
      <c r="G9" s="9">
        <f>SUM('Balance Sheet'!G33:G35)/'Balance Sheet'!G5</f>
        <v>1.6394976985166592</v>
      </c>
      <c r="H9" s="9">
        <f>SUM('Balance Sheet'!H33:H35)/'Balance Sheet'!H5</f>
        <v>1.1064668618782416</v>
      </c>
      <c r="I9" s="9">
        <f>SUM('Balance Sheet'!I33:I35)/'Balance Sheet'!I5</f>
        <v>1.3611512402710118</v>
      </c>
      <c r="J9" s="9">
        <f>SUM('Balance Sheet'!J33:J35)/'Balance Sheet'!J5</f>
        <v>0.90309623592949995</v>
      </c>
      <c r="K9" s="9">
        <f>SUM('Balance Sheet'!K33:K35)/'Balance Sheet'!K5</f>
        <v>0.7272275907042921</v>
      </c>
      <c r="L9" s="9">
        <f>SUM('Balance Sheet'!L33:L35)/'Balance Sheet'!L5</f>
        <v>0.63704156158541836</v>
      </c>
      <c r="M9" s="9">
        <f>SUM('Balance Sheet'!M33:M35)/'Balance Sheet'!M5</f>
        <v>0.79003264954105834</v>
      </c>
      <c r="N9" s="9">
        <f>SUM('Balance Sheet'!N33:N35)/'Balance Sheet'!N5</f>
        <v>0.96350886376896949</v>
      </c>
      <c r="O9" s="23">
        <f>AVERAGE(J9:N9)</f>
        <v>0.80418138030584763</v>
      </c>
      <c r="P9" s="18">
        <f t="shared" ref="P9:S9" si="0">AVERAGE(K9:O9)</f>
        <v>0.78439840918111714</v>
      </c>
      <c r="Q9" s="18">
        <f t="shared" si="0"/>
        <v>0.79583257287648212</v>
      </c>
      <c r="R9" s="18">
        <f t="shared" si="0"/>
        <v>0.82759077513469492</v>
      </c>
      <c r="S9" s="18">
        <f t="shared" si="0"/>
        <v>0.83510240025342219</v>
      </c>
      <c r="T9" s="18"/>
    </row>
    <row r="10" spans="1:20" s="9" customFormat="1">
      <c r="O10" s="23"/>
      <c r="P10" s="18"/>
      <c r="Q10" s="18"/>
      <c r="R10" s="18"/>
      <c r="S10" s="18"/>
      <c r="T10" s="18"/>
    </row>
    <row r="11" spans="1:20" s="9" customFormat="1">
      <c r="B11" s="9" t="s">
        <v>74</v>
      </c>
      <c r="F11" s="9">
        <f>'Balance Sheet'!F37/'Balance Sheet'!F5</f>
        <v>2.7625720750310199E-2</v>
      </c>
      <c r="G11" s="9">
        <f>'Balance Sheet'!G37/'Balance Sheet'!G5</f>
        <v>4.3761114078930997E-2</v>
      </c>
      <c r="H11" s="9">
        <f>'Balance Sheet'!H37/'Balance Sheet'!H5</f>
        <v>7.6559938246795925E-2</v>
      </c>
      <c r="I11" s="9">
        <f>'Balance Sheet'!I37/'Balance Sheet'!I5</f>
        <v>0.10530264852455344</v>
      </c>
      <c r="J11" s="9">
        <f>'Balance Sheet'!J37/'Balance Sheet'!J5</f>
        <v>6.9174111247689185E-2</v>
      </c>
      <c r="K11" s="9">
        <f>'Balance Sheet'!K37/'Balance Sheet'!K5</f>
        <v>1.9219083471662318E-2</v>
      </c>
      <c r="L11" s="9">
        <f>'Balance Sheet'!L37/'Balance Sheet'!L5</f>
        <v>1.5487695657224654E-2</v>
      </c>
      <c r="M11" s="9">
        <f>'Balance Sheet'!M37/'Balance Sheet'!M5</f>
        <v>1.711636789256453E-2</v>
      </c>
      <c r="N11" s="9">
        <f>'Balance Sheet'!N37/'Balance Sheet'!N5</f>
        <v>1.1993761826083639E-2</v>
      </c>
      <c r="O11" s="23">
        <f>AVERAGE(J11:N11)</f>
        <v>2.659820401904487E-2</v>
      </c>
      <c r="P11" s="18">
        <f t="shared" ref="P11:S11" si="1">AVERAGE(K11:O11)</f>
        <v>1.8083022573316003E-2</v>
      </c>
      <c r="Q11" s="18">
        <f t="shared" si="1"/>
        <v>1.7855810393646736E-2</v>
      </c>
      <c r="R11" s="18">
        <f t="shared" si="1"/>
        <v>1.8329433340931157E-2</v>
      </c>
      <c r="S11" s="18">
        <f t="shared" si="1"/>
        <v>1.8572046430604484E-2</v>
      </c>
      <c r="T11" s="18"/>
    </row>
    <row r="12" spans="1:20" s="9" customFormat="1">
      <c r="O12" s="23"/>
      <c r="P12" s="18"/>
      <c r="Q12" s="18"/>
      <c r="R12" s="18"/>
      <c r="S12" s="18"/>
      <c r="T12" s="18"/>
    </row>
    <row r="13" spans="1:20" s="9" customFormat="1">
      <c r="B13" s="9" t="s">
        <v>75</v>
      </c>
      <c r="F13" s="9">
        <f>(('Balance Sheet'!F29/'Balance Sheet'!E29)-1)</f>
        <v>0.2287047841306884</v>
      </c>
      <c r="G13" s="9">
        <f>(('Balance Sheet'!G29/'Balance Sheet'!F29)-1)</f>
        <v>2.1182336182336186</v>
      </c>
      <c r="H13" s="9">
        <f>(('Balance Sheet'!H29/'Balance Sheet'!G29)-1)</f>
        <v>-0.15730165981422262</v>
      </c>
      <c r="I13" s="9">
        <f>(('Balance Sheet'!I29/'Balance Sheet'!H29)-1)</f>
        <v>-0.58258041199855437</v>
      </c>
      <c r="J13" s="9">
        <f>(('Balance Sheet'!J29/'Balance Sheet'!I29)-1)</f>
        <v>-0.2865800865800866</v>
      </c>
      <c r="K13" s="9">
        <f>(('Balance Sheet'!K29/'Balance Sheet'!J29)-1)</f>
        <v>1.5364077669902909</v>
      </c>
      <c r="L13" s="9">
        <f>(('Balance Sheet'!L29/'Balance Sheet'!K29)-1)</f>
        <v>-0.34976076555023916</v>
      </c>
      <c r="M13" s="9">
        <f>(('Balance Sheet'!M29/'Balance Sheet'!L29)-1)</f>
        <v>0.50551876379690963</v>
      </c>
      <c r="N13" s="9">
        <f>(('Balance Sheet'!N29/'Balance Sheet'!M29)-1)</f>
        <v>1.4173998044965774E-2</v>
      </c>
      <c r="O13" s="23">
        <f>AVERAGE(J13:N13)</f>
        <v>0.28395193534036817</v>
      </c>
      <c r="P13" s="18">
        <f t="shared" ref="P13:S13" si="2">AVERAGE(K13:O13)</f>
        <v>0.39805833972445909</v>
      </c>
      <c r="Q13" s="18">
        <f t="shared" si="2"/>
        <v>0.17038845427129271</v>
      </c>
      <c r="R13" s="18">
        <f t="shared" si="2"/>
        <v>0.27441829823559905</v>
      </c>
      <c r="S13" s="18">
        <f t="shared" si="2"/>
        <v>0.22819820512333697</v>
      </c>
      <c r="T13" s="18"/>
    </row>
    <row r="14" spans="1:20" s="9" customFormat="1">
      <c r="O14" s="23"/>
      <c r="P14" s="18"/>
      <c r="Q14" s="18"/>
      <c r="R14" s="18"/>
      <c r="S14" s="18"/>
      <c r="T14" s="18"/>
    </row>
    <row r="15" spans="1:20" s="9" customFormat="1">
      <c r="B15" s="9" t="s">
        <v>76</v>
      </c>
      <c r="F15" s="9">
        <f>'Balance Sheet'!F29/'Balance Sheet'!F6</f>
        <v>0.18964430436740207</v>
      </c>
      <c r="G15" s="9">
        <f>'Balance Sheet'!G29/'Balance Sheet'!G6</f>
        <v>0.27578531832689401</v>
      </c>
      <c r="H15" s="9">
        <f>'Balance Sheet'!H29/'Balance Sheet'!H6</f>
        <v>0.14940604751619871</v>
      </c>
      <c r="I15" s="9">
        <f>'Balance Sheet'!I29/'Balance Sheet'!I6</f>
        <v>4.5265715629409002E-2</v>
      </c>
      <c r="J15" s="9">
        <f>'Balance Sheet'!J29/'Balance Sheet'!J6</f>
        <v>2.5575765100254517E-2</v>
      </c>
      <c r="K15" s="9">
        <f>'Balance Sheet'!K29/'Balance Sheet'!K6</f>
        <v>5.0405170750530581E-2</v>
      </c>
      <c r="L15" s="9">
        <f>'Balance Sheet'!L29/'Balance Sheet'!L6</f>
        <v>2.735920277819719E-2</v>
      </c>
      <c r="M15" s="9">
        <f>'Balance Sheet'!M29/'Balance Sheet'!M6</f>
        <v>3.4687960937897361E-2</v>
      </c>
      <c r="N15" s="9">
        <f>'Balance Sheet'!N29/'Balance Sheet'!N6</f>
        <v>2.9505446065466543E-2</v>
      </c>
      <c r="O15" s="23">
        <f t="shared" ref="O15:O41" si="3">AVERAGE(J15:N15)</f>
        <v>3.3506709126469233E-2</v>
      </c>
      <c r="P15" s="18">
        <f t="shared" ref="P15:P41" si="4">AVERAGE(K15:O15)</f>
        <v>3.5092897931712184E-2</v>
      </c>
      <c r="Q15" s="18">
        <f t="shared" ref="Q15:Q41" si="5">AVERAGE(L15:P15)</f>
        <v>3.2030443367948504E-2</v>
      </c>
      <c r="R15" s="18">
        <f t="shared" ref="R15:R41" si="6">AVERAGE(M15:Q15)</f>
        <v>3.2964691485898763E-2</v>
      </c>
      <c r="S15" s="18">
        <f t="shared" ref="S15:S41" si="7">AVERAGE(N15:R15)</f>
        <v>3.2620037595499043E-2</v>
      </c>
      <c r="T15" s="18"/>
    </row>
    <row r="16" spans="1:20" s="9" customFormat="1">
      <c r="O16" s="23"/>
      <c r="P16" s="18"/>
      <c r="Q16" s="18"/>
      <c r="R16" s="18"/>
      <c r="S16" s="18"/>
      <c r="T16" s="18"/>
    </row>
    <row r="17" spans="1:20">
      <c r="B17" s="6" t="s">
        <v>77</v>
      </c>
      <c r="F17" s="6">
        <f>365*AVERAGE('Balance Sheet'!E15,'Balance Sheet'!F15)/PnL!F8</f>
        <v>90.963506468430197</v>
      </c>
      <c r="G17" s="6">
        <f>365*AVERAGE('Balance Sheet'!F15,'Balance Sheet'!G15)/PnL!G8</f>
        <v>107.27061572712505</v>
      </c>
      <c r="H17" s="6">
        <f>365*AVERAGE('Balance Sheet'!G15,'Balance Sheet'!H15)/PnL!H8</f>
        <v>107.04272705097975</v>
      </c>
      <c r="I17" s="6">
        <f>365*AVERAGE('Balance Sheet'!H15,'Balance Sheet'!I15)/PnL!I8</f>
        <v>107.11419664168092</v>
      </c>
      <c r="J17" s="6">
        <f>365*AVERAGE('Balance Sheet'!I15,'Balance Sheet'!J15)/PnL!J8</f>
        <v>117.02572150060348</v>
      </c>
      <c r="K17" s="6">
        <f>365*AVERAGE('Balance Sheet'!J15,'Balance Sheet'!K15)/PnL!K8</f>
        <v>115.31418850179732</v>
      </c>
      <c r="L17" s="6">
        <f>365*AVERAGE('Balance Sheet'!K15,'Balance Sheet'!L15)/PnL!L8</f>
        <v>79.229599326543479</v>
      </c>
      <c r="M17" s="6">
        <f>365*AVERAGE('Balance Sheet'!L15,'Balance Sheet'!M15)/PnL!M8</f>
        <v>93.19457277116318</v>
      </c>
      <c r="N17" s="6">
        <f>365*AVERAGE('Balance Sheet'!M15,'Balance Sheet'!N15)/PnL!N8</f>
        <v>92.743357148006311</v>
      </c>
      <c r="O17" s="24">
        <f t="shared" si="3"/>
        <v>99.501487849622748</v>
      </c>
      <c r="P17" s="17">
        <f t="shared" si="4"/>
        <v>95.996641119426613</v>
      </c>
      <c r="Q17" s="17">
        <f t="shared" si="5"/>
        <v>92.133131642952478</v>
      </c>
      <c r="R17" s="17">
        <f t="shared" si="6"/>
        <v>94.713838106234277</v>
      </c>
      <c r="S17" s="17">
        <f t="shared" si="7"/>
        <v>95.017691173248494</v>
      </c>
    </row>
    <row r="18" spans="1:20">
      <c r="O18" s="24"/>
    </row>
    <row r="19" spans="1:20">
      <c r="B19" s="6" t="s">
        <v>80</v>
      </c>
      <c r="F19" s="6">
        <f>365*AVERAGE('Balance Sheet'!E16:'Balance Sheet'!F16)/PnL!F5</f>
        <v>85.654311014627439</v>
      </c>
      <c r="G19" s="6">
        <f>365*AVERAGE('Balance Sheet'!F16:G16)/PnL!G5</f>
        <v>83.701964684406889</v>
      </c>
      <c r="H19" s="6">
        <f>365*AVERAGE('Balance Sheet'!G16:H16)/PnL!H5</f>
        <v>66.425880055713833</v>
      </c>
      <c r="I19" s="6">
        <f>365*AVERAGE('Balance Sheet'!H16:I16)/PnL!I5</f>
        <v>59.994371082768247</v>
      </c>
      <c r="J19" s="6">
        <f>365*AVERAGE('Balance Sheet'!I16:J16)/PnL!J5</f>
        <v>57.209010243546111</v>
      </c>
      <c r="K19" s="6">
        <f>365*AVERAGE('Balance Sheet'!J16:K16)/PnL!K5</f>
        <v>59.560239552422992</v>
      </c>
      <c r="L19" s="6">
        <f>365*AVERAGE('Balance Sheet'!K16:L16)/PnL!L5</f>
        <v>40.857833979035966</v>
      </c>
      <c r="M19" s="6">
        <f>365*AVERAGE('Balance Sheet'!L16:M16)/PnL!M5</f>
        <v>32.896435512887216</v>
      </c>
      <c r="N19" s="6">
        <f>365*AVERAGE('Balance Sheet'!M16:N16)/PnL!N5</f>
        <v>33.321649674269267</v>
      </c>
      <c r="O19" s="24">
        <f t="shared" si="3"/>
        <v>44.76903379243231</v>
      </c>
      <c r="P19" s="17">
        <f t="shared" si="4"/>
        <v>42.281038502209547</v>
      </c>
      <c r="Q19" s="17">
        <f t="shared" si="5"/>
        <v>38.82519829216686</v>
      </c>
      <c r="R19" s="17">
        <f t="shared" si="6"/>
        <v>38.418671154793039</v>
      </c>
      <c r="S19" s="17">
        <f t="shared" si="7"/>
        <v>39.523118283174206</v>
      </c>
    </row>
    <row r="20" spans="1:20">
      <c r="O20" s="24"/>
    </row>
    <row r="21" spans="1:20" s="9" customFormat="1">
      <c r="B21" s="9" t="s">
        <v>78</v>
      </c>
      <c r="F21" s="9">
        <f>'Balance Sheet'!F20/PnL!F5</f>
        <v>4.5893156320912773E-2</v>
      </c>
      <c r="G21" s="9">
        <f>'Balance Sheet'!G20/PnL!G5</f>
        <v>5.66005832600016E-2</v>
      </c>
      <c r="H21" s="9">
        <f>'Balance Sheet'!H20/PnL!H5</f>
        <v>3.3437169051343286E-2</v>
      </c>
      <c r="I21" s="9">
        <f>'Balance Sheet'!I20/PnL!I5</f>
        <v>2.4563117130316635E-2</v>
      </c>
      <c r="J21" s="9">
        <f>'Balance Sheet'!J20/PnL!J5</f>
        <v>2.4310443433994529E-2</v>
      </c>
      <c r="K21" s="9">
        <f>'Balance Sheet'!K20/PnL!K5</f>
        <v>1.6754566247698253E-2</v>
      </c>
      <c r="L21" s="9">
        <f>'Balance Sheet'!L20/PnL!L5</f>
        <v>3.2698119268159978E-2</v>
      </c>
      <c r="M21" s="9">
        <f>'Balance Sheet'!M20/PnL!M5</f>
        <v>4.3014563595406223E-2</v>
      </c>
      <c r="N21" s="9">
        <f>'Balance Sheet'!N20/PnL!N5</f>
        <v>3.8328795128895352E-2</v>
      </c>
      <c r="O21" s="23">
        <f t="shared" si="3"/>
        <v>3.102129753483087E-2</v>
      </c>
      <c r="P21" s="18">
        <f t="shared" si="4"/>
        <v>3.2363468354998134E-2</v>
      </c>
      <c r="Q21" s="18">
        <f t="shared" si="5"/>
        <v>3.548524877645811E-2</v>
      </c>
      <c r="R21" s="18">
        <f t="shared" si="6"/>
        <v>3.6042674678117739E-2</v>
      </c>
      <c r="S21" s="18">
        <f t="shared" si="7"/>
        <v>3.4648296894660036E-2</v>
      </c>
      <c r="T21" s="18"/>
    </row>
    <row r="22" spans="1:20" s="9" customFormat="1">
      <c r="O22" s="23"/>
      <c r="P22" s="18"/>
      <c r="Q22" s="18"/>
      <c r="R22" s="18"/>
      <c r="S22" s="18"/>
      <c r="T22" s="18"/>
    </row>
    <row r="23" spans="1:20" s="9" customFormat="1">
      <c r="B23" s="9" t="s">
        <v>163</v>
      </c>
      <c r="F23" s="9">
        <f>'Balance Sheet'!F10/'Balance Sheet'!F5</f>
        <v>0.12597620611634189</v>
      </c>
      <c r="G23" s="9">
        <f>'Balance Sheet'!G10/'Balance Sheet'!G5</f>
        <v>0.12065773393535356</v>
      </c>
      <c r="H23" s="9">
        <f>'Balance Sheet'!H10/'Balance Sheet'!H5</f>
        <v>8.6754320491473857E-2</v>
      </c>
      <c r="I23" s="9">
        <f>'Balance Sheet'!I10/'Balance Sheet'!I5</f>
        <v>0.10806876084887171</v>
      </c>
      <c r="J23" s="9">
        <f>'Balance Sheet'!J10/'Balance Sheet'!J5</f>
        <v>0.11671618966501805</v>
      </c>
      <c r="K23" s="9">
        <f>'Balance Sheet'!K10/'Balance Sheet'!K5</f>
        <v>3.6700409058572442E-2</v>
      </c>
      <c r="L23" s="9">
        <f>'Balance Sheet'!L10/'Balance Sheet'!L5</f>
        <v>0.14069333013561569</v>
      </c>
      <c r="M23" s="9">
        <f>'Balance Sheet'!M10/'Balance Sheet'!M5</f>
        <v>7.7240805766032164E-2</v>
      </c>
      <c r="N23" s="9">
        <f>'Balance Sheet'!N10/'Balance Sheet'!N5</f>
        <v>0.15771292403496434</v>
      </c>
      <c r="O23" s="23">
        <f t="shared" si="3"/>
        <v>0.10581273173204053</v>
      </c>
      <c r="P23" s="18">
        <f t="shared" si="4"/>
        <v>0.10363204014544505</v>
      </c>
      <c r="Q23" s="18">
        <f t="shared" si="5"/>
        <v>0.11701836636281955</v>
      </c>
      <c r="R23" s="18">
        <f t="shared" si="6"/>
        <v>0.11228337360826032</v>
      </c>
      <c r="S23" s="18">
        <f t="shared" si="7"/>
        <v>0.11929188717670595</v>
      </c>
      <c r="T23" s="18"/>
    </row>
    <row r="24" spans="1:20" s="9" customFormat="1">
      <c r="O24" s="23"/>
      <c r="P24" s="18"/>
      <c r="Q24" s="18"/>
      <c r="R24" s="18"/>
      <c r="S24" s="18"/>
      <c r="T24" s="18"/>
    </row>
    <row r="25" spans="1:20" s="9" customFormat="1">
      <c r="B25" s="9" t="s">
        <v>79</v>
      </c>
      <c r="F25" s="9">
        <f>'Balance Sheet'!F17/'Balance Sheet'!F5</f>
        <v>0</v>
      </c>
      <c r="G25" s="9">
        <f>'Balance Sheet'!G17/'Balance Sheet'!G5</f>
        <v>0</v>
      </c>
      <c r="H25" s="9">
        <f>'Balance Sheet'!H17/'Balance Sheet'!H5</f>
        <v>0</v>
      </c>
      <c r="I25" s="9">
        <f>'Balance Sheet'!I17/'Balance Sheet'!I5</f>
        <v>0</v>
      </c>
      <c r="J25" s="9">
        <f>'Balance Sheet'!J17/'Balance Sheet'!J5</f>
        <v>1.935752378555735E-2</v>
      </c>
      <c r="K25" s="9">
        <f>'Balance Sheet'!K17/'Balance Sheet'!K5</f>
        <v>0.23088466326772586</v>
      </c>
      <c r="L25" s="9">
        <f>'Balance Sheet'!L17/'Balance Sheet'!L5</f>
        <v>0.28631439310192347</v>
      </c>
      <c r="M25" s="9">
        <f>'Balance Sheet'!M17/'Balance Sheet'!M5</f>
        <v>0.41597055381013986</v>
      </c>
      <c r="N25" s="9">
        <f>'Balance Sheet'!N17/'Balance Sheet'!N5</f>
        <v>0.49687818656720495</v>
      </c>
      <c r="O25" s="23">
        <f t="shared" si="3"/>
        <v>0.28988106410651027</v>
      </c>
      <c r="P25" s="18">
        <f t="shared" si="4"/>
        <v>0.34398577217070087</v>
      </c>
      <c r="Q25" s="18">
        <f t="shared" si="5"/>
        <v>0.36660599395129589</v>
      </c>
      <c r="R25" s="18">
        <f t="shared" si="6"/>
        <v>0.38266431412117041</v>
      </c>
      <c r="S25" s="18">
        <f t="shared" si="7"/>
        <v>0.37600306618337653</v>
      </c>
      <c r="T25" s="18"/>
    </row>
    <row r="26" spans="1:20">
      <c r="O26" s="24"/>
    </row>
    <row r="27" spans="1:20">
      <c r="A27" s="8" t="s">
        <v>81</v>
      </c>
      <c r="O27" s="24"/>
    </row>
    <row r="28" spans="1:20">
      <c r="O28" s="24"/>
    </row>
    <row r="29" spans="1:20">
      <c r="B29" s="6" t="s">
        <v>82</v>
      </c>
      <c r="F29" s="9" t="e">
        <f>PnL!F5/PnL!E5-1</f>
        <v>#DIV/0!</v>
      </c>
      <c r="G29" s="9">
        <f>PnL!G5/PnL!F5-1</f>
        <v>6.0401054208447214E-2</v>
      </c>
      <c r="H29" s="9">
        <f>PnL!H5/PnL!G5-1</f>
        <v>0.23093859770332292</v>
      </c>
      <c r="I29" s="9">
        <f>PnL!I5/PnL!H5-1</f>
        <v>0.17949547361937634</v>
      </c>
      <c r="J29" s="9">
        <f>PnL!J5/PnL!I5-1</f>
        <v>0.10574099467162568</v>
      </c>
      <c r="K29" s="9">
        <f>PnL!K5/PnL!J5-1</f>
        <v>-4.2718248687706462E-3</v>
      </c>
      <c r="L29" s="9">
        <f>PnL!L5/PnL!K5-1</f>
        <v>0.38801646453743821</v>
      </c>
      <c r="M29" s="9">
        <f>PnL!M5/PnL!L5-1</f>
        <v>0.15601912853087896</v>
      </c>
      <c r="N29" s="9">
        <f>PnL!N5/PnL!M5-1</f>
        <v>0.27868736257582682</v>
      </c>
      <c r="O29" s="23">
        <f t="shared" si="3"/>
        <v>0.18483842508939979</v>
      </c>
      <c r="P29" s="18">
        <f t="shared" si="4"/>
        <v>0.20065791117295464</v>
      </c>
      <c r="Q29" s="18">
        <f t="shared" si="5"/>
        <v>0.2416438583812997</v>
      </c>
      <c r="R29" s="18">
        <f t="shared" si="6"/>
        <v>0.21236933715007197</v>
      </c>
      <c r="S29" s="18">
        <f t="shared" si="7"/>
        <v>0.22363937887391055</v>
      </c>
      <c r="T29" s="18"/>
    </row>
    <row r="30" spans="1:20">
      <c r="F30" s="9"/>
      <c r="G30" s="9"/>
      <c r="H30" s="9"/>
      <c r="I30" s="9"/>
      <c r="J30" s="9"/>
      <c r="K30" s="9"/>
      <c r="L30" s="9"/>
      <c r="M30" s="9"/>
      <c r="N30" s="9"/>
      <c r="O30" s="23"/>
      <c r="P30" s="18"/>
      <c r="Q30" s="18"/>
      <c r="R30" s="18"/>
      <c r="S30" s="18"/>
      <c r="T30" s="18"/>
    </row>
    <row r="31" spans="1:20">
      <c r="B31" s="6" t="s">
        <v>83</v>
      </c>
      <c r="F31" s="9" t="e">
        <f>PnL!F7/PnL!E7-1</f>
        <v>#DIV/0!</v>
      </c>
      <c r="G31" s="9">
        <f>PnL!G17/PnL!G5</f>
        <v>1.3674247107335839E-2</v>
      </c>
      <c r="H31" s="9">
        <f>PnL!H17/PnL!H5</f>
        <v>9.51802797803941E-3</v>
      </c>
      <c r="I31" s="9">
        <f>PnL!I17/PnL!I5</f>
        <v>7.986926385784323E-3</v>
      </c>
      <c r="J31" s="9">
        <f>PnL!J17/PnL!J5</f>
        <v>1.0508553276066116E-2</v>
      </c>
      <c r="K31" s="9">
        <f>PnL!K17/PnL!K5</f>
        <v>1.4138620122540016E-2</v>
      </c>
      <c r="L31" s="9">
        <f>PnL!L17/PnL!L5</f>
        <v>8.5981697444066415E-3</v>
      </c>
      <c r="M31" s="9">
        <f>PnL!M17/PnL!M5</f>
        <v>9.6712594043853808E-3</v>
      </c>
      <c r="N31" s="9">
        <f>PnL!N17/PnL!N5</f>
        <v>1.2244282527617266E-2</v>
      </c>
      <c r="O31" s="23">
        <f t="shared" si="3"/>
        <v>1.1032177015003083E-2</v>
      </c>
      <c r="P31" s="18">
        <f t="shared" si="4"/>
        <v>1.1136901762790478E-2</v>
      </c>
      <c r="Q31" s="18">
        <f t="shared" si="5"/>
        <v>1.0536558090840569E-2</v>
      </c>
      <c r="R31" s="18">
        <f t="shared" si="6"/>
        <v>1.0924235760127354E-2</v>
      </c>
      <c r="S31" s="18">
        <f t="shared" si="7"/>
        <v>1.1174831031275751E-2</v>
      </c>
      <c r="T31" s="18"/>
    </row>
    <row r="32" spans="1:20">
      <c r="F32" s="9"/>
      <c r="G32" s="9"/>
      <c r="H32" s="9"/>
      <c r="I32" s="9"/>
      <c r="J32" s="9"/>
      <c r="K32" s="9"/>
      <c r="L32" s="9"/>
      <c r="M32" s="9"/>
      <c r="N32" s="9"/>
      <c r="O32" s="23"/>
      <c r="P32" s="18"/>
      <c r="Q32" s="18"/>
      <c r="R32" s="18"/>
      <c r="S32" s="18"/>
      <c r="T32" s="18"/>
    </row>
    <row r="33" spans="2:20">
      <c r="B33" s="6" t="s">
        <v>84</v>
      </c>
      <c r="F33" s="9" t="e">
        <f>PnL!F9/PnL!E9-1</f>
        <v>#DIV/0!</v>
      </c>
      <c r="G33" s="9">
        <f>PnL!G7/PnL!G5</f>
        <v>-3.7906445677548854E-2</v>
      </c>
      <c r="H33" s="9">
        <f>PnL!H7/PnL!H5</f>
        <v>-1.2274179468886948E-3</v>
      </c>
      <c r="I33" s="9">
        <f>PnL!I7/PnL!I5</f>
        <v>-1.3486860642034675E-2</v>
      </c>
      <c r="J33" s="9">
        <f>PnL!J7/PnL!J5</f>
        <v>-2.6857456723990508E-2</v>
      </c>
      <c r="K33" s="9">
        <f>PnL!K7/PnL!K5</f>
        <v>7.7079421261727682E-3</v>
      </c>
      <c r="L33" s="9">
        <f>PnL!L7/PnL!L5</f>
        <v>-4.0376900234026236E-2</v>
      </c>
      <c r="M33" s="9">
        <f>PnL!M7/PnL!M5</f>
        <v>2.4582180895931179E-3</v>
      </c>
      <c r="N33" s="9">
        <f>PnL!N7/PnL!N5</f>
        <v>-2.3366024665954156E-2</v>
      </c>
      <c r="O33" s="23">
        <f t="shared" si="3"/>
        <v>-1.6086844281641002E-2</v>
      </c>
      <c r="P33" s="18">
        <f t="shared" si="4"/>
        <v>-1.3932721793171102E-2</v>
      </c>
      <c r="Q33" s="18">
        <f t="shared" si="5"/>
        <v>-1.8260854577039878E-2</v>
      </c>
      <c r="R33" s="18">
        <f t="shared" si="6"/>
        <v>-1.3837645445642602E-2</v>
      </c>
      <c r="S33" s="18">
        <f t="shared" si="7"/>
        <v>-1.7096818152689746E-2</v>
      </c>
      <c r="T33" s="18"/>
    </row>
    <row r="34" spans="2:20">
      <c r="F34" s="9"/>
      <c r="G34" s="9"/>
      <c r="H34" s="9"/>
      <c r="I34" s="9"/>
      <c r="J34" s="9"/>
      <c r="K34" s="9"/>
      <c r="L34" s="9"/>
      <c r="M34" s="9"/>
      <c r="N34" s="9"/>
      <c r="O34" s="23"/>
      <c r="P34" s="18"/>
      <c r="Q34" s="18"/>
      <c r="R34" s="18"/>
      <c r="S34" s="18"/>
      <c r="T34" s="18"/>
    </row>
    <row r="35" spans="2:20">
      <c r="B35" s="6" t="s">
        <v>85</v>
      </c>
      <c r="F35" s="9" t="e">
        <f>PnL!F11/PnL!E11-1</f>
        <v>#DIV/0!</v>
      </c>
      <c r="G35" s="9">
        <f>PnL!G8/PnL!G5</f>
        <v>0.77337767175988892</v>
      </c>
      <c r="H35" s="9">
        <f>PnL!H8/PnL!H5</f>
        <v>0.72664324085603171</v>
      </c>
      <c r="I35" s="9">
        <f>PnL!I8/PnL!I5</f>
        <v>0.71720420008640606</v>
      </c>
      <c r="J35" s="9">
        <f>PnL!J8/PnL!J5</f>
        <v>0.69245465716113908</v>
      </c>
      <c r="K35" s="9">
        <f>PnL!K8/PnL!K5</f>
        <v>0.7043287084164086</v>
      </c>
      <c r="L35" s="9">
        <f>PnL!L8/PnL!L5</f>
        <v>0.79039246920621187</v>
      </c>
      <c r="M35" s="9">
        <f>PnL!M8/PnL!M5</f>
        <v>0.71500264393122093</v>
      </c>
      <c r="N35" s="9">
        <f>PnL!N8/PnL!N5</f>
        <v>0.72283729428407983</v>
      </c>
      <c r="O35" s="23">
        <f t="shared" si="3"/>
        <v>0.72500315459981202</v>
      </c>
      <c r="P35" s="18">
        <f t="shared" si="4"/>
        <v>0.73151285408754663</v>
      </c>
      <c r="Q35" s="18">
        <f t="shared" si="5"/>
        <v>0.73694968322177434</v>
      </c>
      <c r="R35" s="18">
        <f t="shared" si="6"/>
        <v>0.72626112602488679</v>
      </c>
      <c r="S35" s="18">
        <f t="shared" si="7"/>
        <v>0.72851282244361992</v>
      </c>
      <c r="T35" s="18"/>
    </row>
    <row r="36" spans="2:20">
      <c r="F36" s="9"/>
      <c r="G36" s="9"/>
      <c r="H36" s="9"/>
      <c r="I36" s="9"/>
      <c r="J36" s="9"/>
      <c r="K36" s="9"/>
      <c r="L36" s="9"/>
      <c r="M36" s="9"/>
      <c r="N36" s="9"/>
      <c r="O36" s="23"/>
      <c r="P36" s="18"/>
      <c r="Q36" s="18"/>
      <c r="R36" s="18"/>
      <c r="S36" s="18"/>
      <c r="T36" s="18"/>
    </row>
    <row r="37" spans="2:20">
      <c r="B37" s="6" t="s">
        <v>86</v>
      </c>
      <c r="F37" s="9" t="e">
        <f>PnL!F13/PnL!E13-1</f>
        <v>#DIV/0!</v>
      </c>
      <c r="G37" s="9">
        <f>PnL!G11/PnL!G5</f>
        <v>4.1653636647927685E-2</v>
      </c>
      <c r="H37" s="9">
        <f>PnL!H11/PnL!H5</f>
        <v>3.8292190460998091E-2</v>
      </c>
      <c r="I37" s="9">
        <f>PnL!I11/PnL!I5</f>
        <v>3.7599163489052102E-2</v>
      </c>
      <c r="J37" s="9">
        <f>PnL!J11/PnL!J5</f>
        <v>4.1421525603202732E-2</v>
      </c>
      <c r="K37" s="9">
        <f>PnL!K11/PnL!K5</f>
        <v>4.0232114037053172E-2</v>
      </c>
      <c r="L37" s="9">
        <f>PnL!L11/PnL!L5</f>
        <v>3.3320058735996118E-2</v>
      </c>
      <c r="M37" s="9">
        <f>PnL!M11/PnL!M5</f>
        <v>3.2377170610826081E-2</v>
      </c>
      <c r="N37" s="9">
        <f>PnL!N11/PnL!N5</f>
        <v>3.3789297228738809E-2</v>
      </c>
      <c r="O37" s="23">
        <f t="shared" si="3"/>
        <v>3.6228033243163385E-2</v>
      </c>
      <c r="P37" s="18">
        <f t="shared" si="4"/>
        <v>3.518933477115551E-2</v>
      </c>
      <c r="Q37" s="18">
        <f t="shared" si="5"/>
        <v>3.4180778917975982E-2</v>
      </c>
      <c r="R37" s="18">
        <f t="shared" si="6"/>
        <v>3.4352922954371957E-2</v>
      </c>
      <c r="S37" s="18">
        <f t="shared" si="7"/>
        <v>3.474807342308113E-2</v>
      </c>
      <c r="T37" s="18"/>
    </row>
    <row r="38" spans="2:20">
      <c r="F38" s="9"/>
      <c r="G38" s="9"/>
      <c r="H38" s="9"/>
      <c r="I38" s="9"/>
      <c r="J38" s="9"/>
      <c r="K38" s="9"/>
      <c r="L38" s="9"/>
      <c r="M38" s="9"/>
      <c r="N38" s="9"/>
      <c r="O38" s="23"/>
      <c r="P38" s="18"/>
      <c r="Q38" s="18"/>
      <c r="R38" s="18"/>
      <c r="S38" s="18"/>
      <c r="T38" s="18"/>
    </row>
    <row r="39" spans="2:20">
      <c r="B39" s="6" t="s">
        <v>87</v>
      </c>
      <c r="F39" s="9" t="e">
        <f>PnL!F15/PnL!E15-1</f>
        <v>#DIV/0!</v>
      </c>
      <c r="G39" s="9">
        <f>(PnL!G10+PnL!G13)/PnL!G5</f>
        <v>7.5016545093561607E-2</v>
      </c>
      <c r="H39" s="9">
        <f>(PnL!H10+PnL!H13)/PnL!H5</f>
        <v>6.719928629560537E-2</v>
      </c>
      <c r="I39" s="9">
        <f>(PnL!I10+PnL!I13)/PnL!I5</f>
        <v>7.9342061598762767E-2</v>
      </c>
      <c r="J39" s="9">
        <f>(PnL!J10+PnL!J13)/PnL!J5</f>
        <v>9.9493202113262236E-2</v>
      </c>
      <c r="K39" s="9">
        <f>(PnL!K10+PnL!K13)/PnL!K5</f>
        <v>7.074200743156174E-2</v>
      </c>
      <c r="L39" s="9">
        <f>(PnL!L10+PnL!L13)/PnL!L5</f>
        <v>6.3264108766478533E-2</v>
      </c>
      <c r="M39" s="9">
        <f>(PnL!M10+PnL!M13)/PnL!M5</f>
        <v>6.3942732307988928E-2</v>
      </c>
      <c r="N39" s="9">
        <f>(PnL!N10+PnL!N13)/PnL!N5</f>
        <v>7.5810557312200391E-2</v>
      </c>
      <c r="O39" s="23">
        <f t="shared" si="3"/>
        <v>7.4650521586298355E-2</v>
      </c>
      <c r="P39" s="18">
        <f t="shared" si="4"/>
        <v>6.9681985480905581E-2</v>
      </c>
      <c r="Q39" s="18">
        <f t="shared" si="5"/>
        <v>6.946998109077436E-2</v>
      </c>
      <c r="R39" s="18">
        <f t="shared" si="6"/>
        <v>7.0711155555633523E-2</v>
      </c>
      <c r="S39" s="18">
        <f t="shared" si="7"/>
        <v>7.2064840205162434E-2</v>
      </c>
      <c r="T39" s="18"/>
    </row>
    <row r="40" spans="2:20">
      <c r="F40" s="9"/>
      <c r="G40" s="9"/>
      <c r="H40" s="9"/>
      <c r="I40" s="9"/>
      <c r="J40" s="9"/>
      <c r="K40" s="9"/>
      <c r="L40" s="9"/>
      <c r="M40" s="9"/>
      <c r="N40" s="9"/>
      <c r="O40" s="23"/>
      <c r="P40" s="18"/>
      <c r="Q40" s="18"/>
      <c r="R40" s="18"/>
      <c r="S40" s="18"/>
      <c r="T40" s="18"/>
    </row>
    <row r="41" spans="2:20">
      <c r="B41" s="6" t="s">
        <v>88</v>
      </c>
      <c r="F41" s="9" t="e">
        <f>PnL!F17/PnL!E17-1</f>
        <v>#DIV/0!</v>
      </c>
      <c r="G41" s="9">
        <f>PnL!G25/PnL!G5</f>
        <v>2.3317673068951224E-2</v>
      </c>
      <c r="H41" s="9">
        <f>PnL!H25/PnL!H5</f>
        <v>3.0756346459763287E-2</v>
      </c>
      <c r="I41" s="9">
        <f>PnL!I25/PnL!I5</f>
        <v>3.2027850304612707E-2</v>
      </c>
      <c r="J41" s="9">
        <f>PnL!J25/PnL!J5</f>
        <v>2.7675128398235549E-2</v>
      </c>
      <c r="K41" s="9">
        <f>PnL!K25/PnL!K5</f>
        <v>1.9373924476498001E-2</v>
      </c>
      <c r="L41" s="9">
        <f>PnL!L25/PnL!L5</f>
        <v>2.2175952329446007E-2</v>
      </c>
      <c r="M41" s="9">
        <f>PnL!M25/PnL!M5</f>
        <v>3.0066388900308907E-2</v>
      </c>
      <c r="N41" s="9">
        <f>PnL!N25/PnL!N5</f>
        <v>3.0842420829027953E-2</v>
      </c>
      <c r="O41" s="23">
        <f t="shared" si="3"/>
        <v>2.6026762986703283E-2</v>
      </c>
      <c r="P41" s="18">
        <f t="shared" si="4"/>
        <v>2.5697089904396831E-2</v>
      </c>
      <c r="Q41" s="18">
        <f t="shared" si="5"/>
        <v>2.6961722989976601E-2</v>
      </c>
      <c r="R41" s="18">
        <f t="shared" si="6"/>
        <v>2.7918877122082714E-2</v>
      </c>
      <c r="S41" s="18">
        <f t="shared" si="7"/>
        <v>2.7489374766437473E-2</v>
      </c>
      <c r="T41" s="18"/>
    </row>
    <row r="42" spans="2:20">
      <c r="O42" s="23"/>
      <c r="P42" s="18"/>
      <c r="Q42" s="18"/>
      <c r="R42" s="18"/>
      <c r="S42" s="18"/>
      <c r="T42" s="18"/>
    </row>
    <row r="43" spans="2:20">
      <c r="B43" s="6" t="s">
        <v>158</v>
      </c>
      <c r="F43" s="6" t="e">
        <f>PnL!E12/PnL!E5</f>
        <v>#DIV/0!</v>
      </c>
      <c r="G43" s="9">
        <f>PnL!F12/PnL!F5</f>
        <v>3.3930165438234919E-2</v>
      </c>
      <c r="H43" s="9">
        <f>PnL!G12/PnL!G5</f>
        <v>3.4177436128666284E-2</v>
      </c>
      <c r="I43" s="9">
        <f>PnL!H12/PnL!H5</f>
        <v>3.7556625915209196E-2</v>
      </c>
      <c r="J43" s="9">
        <f>PnL!I12/PnL!I5</f>
        <v>3.4795349099310632E-2</v>
      </c>
      <c r="K43" s="9">
        <f>PnL!J12/PnL!J5</f>
        <v>3.9059111319996148E-2</v>
      </c>
      <c r="L43" s="9">
        <f>PnL!K12/PnL!K5</f>
        <v>3.4425851007082391E-2</v>
      </c>
      <c r="M43" s="9">
        <f>PnL!L12/PnL!L5</f>
        <v>3.2521944056585837E-2</v>
      </c>
      <c r="N43" s="9">
        <f>PnL!M12/PnL!M5</f>
        <v>3.4844603474111446E-2</v>
      </c>
      <c r="O43" s="23">
        <f t="shared" ref="O43" si="8">AVERAGE(J43:N43)</f>
        <v>3.5129371791417292E-2</v>
      </c>
      <c r="P43" s="18">
        <f t="shared" ref="P43" si="9">AVERAGE(K43:O43)</f>
        <v>3.5196176329838624E-2</v>
      </c>
      <c r="Q43" s="18">
        <f t="shared" ref="Q43" si="10">AVERAGE(L43:P43)</f>
        <v>3.4423589331807121E-2</v>
      </c>
      <c r="R43" s="18">
        <f t="shared" ref="R43" si="11">AVERAGE(M43:Q43)</f>
        <v>3.4423136996752063E-2</v>
      </c>
      <c r="S43" s="18">
        <f t="shared" ref="S43" si="12">AVERAGE(N43:R43)</f>
        <v>3.4803375584785308E-2</v>
      </c>
      <c r="T43" s="18"/>
    </row>
    <row r="44" spans="2:20">
      <c r="O44" s="23"/>
      <c r="P44" s="18"/>
      <c r="Q44" s="18"/>
      <c r="R44" s="18"/>
      <c r="S44" s="18"/>
    </row>
    <row r="45" spans="2:20">
      <c r="B45" s="6" t="s">
        <v>159</v>
      </c>
      <c r="F45" s="6" t="e">
        <f>PnL!E14/PnL!E5</f>
        <v>#DIV/0!</v>
      </c>
      <c r="G45" s="9">
        <f>PnL!F14/PnL!F5</f>
        <v>1.576299975129318E-2</v>
      </c>
      <c r="H45" s="9">
        <f>PnL!G14/PnL!G5</f>
        <v>1.4850585078143751E-2</v>
      </c>
      <c r="I45" s="9">
        <f>PnL!H14/PnL!H5</f>
        <v>1.2668548412111113E-2</v>
      </c>
      <c r="J45" s="9">
        <f>PnL!I14/PnL!I5</f>
        <v>1.0905948870146703E-2</v>
      </c>
      <c r="K45" s="9">
        <f>PnL!J14/PnL!J5</f>
        <v>1.1116710740151416E-2</v>
      </c>
      <c r="L45" s="9">
        <f>PnL!K14/PnL!K5</f>
        <v>9.1899324744689342E-3</v>
      </c>
      <c r="M45" s="9">
        <f>PnL!L14/PnL!L5</f>
        <v>1.1353877821261644E-2</v>
      </c>
      <c r="N45" s="9">
        <f>PnL!M14/PnL!M5</f>
        <v>1.2157830643800797E-2</v>
      </c>
      <c r="O45" s="23">
        <f t="shared" ref="O45" si="13">AVERAGE(J45:N45)</f>
        <v>1.0944860109965898E-2</v>
      </c>
      <c r="P45" s="18">
        <f t="shared" ref="P45" si="14">AVERAGE(K45:O45)</f>
        <v>1.0952642357929736E-2</v>
      </c>
      <c r="Q45" s="18">
        <f t="shared" ref="Q45" si="15">AVERAGE(L45:P45)</f>
        <v>1.0919828681485402E-2</v>
      </c>
      <c r="R45" s="18">
        <f t="shared" ref="R45" si="16">AVERAGE(M45:Q45)</f>
        <v>1.1265807922888695E-2</v>
      </c>
      <c r="S45" s="18">
        <f t="shared" ref="S45" si="17">AVERAGE(N45:R45)</f>
        <v>1.1248193943214108E-2</v>
      </c>
    </row>
    <row r="47" spans="2:20">
      <c r="B47" s="6" t="s">
        <v>160</v>
      </c>
      <c r="F47" s="6" t="e">
        <f>PnL!E15/PnL!E5</f>
        <v>#DIV/0!</v>
      </c>
      <c r="G47" s="9">
        <f>PnL!F15/PnL!F5</f>
        <v>1.1006722796004497E-2</v>
      </c>
      <c r="H47" s="9">
        <f>PnL!G15/PnL!G5</f>
        <v>1.1567020355919506E-2</v>
      </c>
      <c r="I47" s="9">
        <f>PnL!H15/PnL!H5</f>
        <v>1.1207758581217107E-2</v>
      </c>
      <c r="J47" s="9">
        <f>PnL!I15/PnL!I5</f>
        <v>1.4330885161322639E-2</v>
      </c>
      <c r="K47" s="9">
        <f>PnL!J15/PnL!J5</f>
        <v>1.4771318070883752E-2</v>
      </c>
      <c r="L47" s="9">
        <f>PnL!K15/PnL!K5</f>
        <v>7.5669085089903245E-3</v>
      </c>
      <c r="M47" s="9">
        <f>PnL!L15/PnL!L5</f>
        <v>7.0822435052803404E-3</v>
      </c>
      <c r="N47" s="9">
        <f>PnL!M15/PnL!M5</f>
        <v>8.1543658888925119E-3</v>
      </c>
      <c r="O47" s="23">
        <f t="shared" ref="O47" si="18">AVERAGE(J47:N47)</f>
        <v>1.0381144227073914E-2</v>
      </c>
      <c r="P47" s="23">
        <f t="shared" ref="P47" si="19">AVERAGE(K47:O47)</f>
        <v>9.5911960402241675E-3</v>
      </c>
      <c r="Q47" s="23">
        <f t="shared" ref="Q47" si="20">AVERAGE(L47:P47)</f>
        <v>8.5551716340922512E-3</v>
      </c>
      <c r="R47" s="23">
        <f t="shared" ref="R47" si="21">AVERAGE(M47:Q47)</f>
        <v>8.7528242591126369E-3</v>
      </c>
      <c r="S47" s="23">
        <f t="shared" ref="S47" si="22">AVERAGE(N47:R47)</f>
        <v>9.0869404098790959E-3</v>
      </c>
    </row>
    <row r="49" spans="2:19">
      <c r="B49" s="6" t="s">
        <v>162</v>
      </c>
      <c r="F49" s="6" t="e">
        <f>PnL!E36/PnL!E5</f>
        <v>#DIV/0!</v>
      </c>
      <c r="G49" s="9">
        <f>PnL!F36/PnL!F5</f>
        <v>4.765288239637698E-3</v>
      </c>
      <c r="H49" s="9">
        <f>PnL!G36/PnL!G5</f>
        <v>2.5686575929252452E-3</v>
      </c>
      <c r="I49" s="9">
        <f>PnL!H36/PnL!H5</f>
        <v>2.0866495034939313E-3</v>
      </c>
      <c r="J49" s="9">
        <f>PnL!I36/PnL!I5</f>
        <v>5.3128823938238447E-3</v>
      </c>
      <c r="K49" s="9">
        <f>PnL!J36/PnL!J5</f>
        <v>1.1904894818203953E-2</v>
      </c>
      <c r="L49" s="9">
        <f>PnL!K36/PnL!K5</f>
        <v>1.6190439854280425E-2</v>
      </c>
      <c r="M49" s="9">
        <f>PnL!L36/PnL!L5</f>
        <v>1.5950532376906787E-2</v>
      </c>
      <c r="N49" s="9">
        <f>PnL!M36/PnL!M5</f>
        <v>2.1436704640985328E-2</v>
      </c>
      <c r="O49" s="23">
        <f t="shared" ref="O49" si="23">AVERAGE(J49:N49)</f>
        <v>1.415909081684007E-2</v>
      </c>
      <c r="P49" s="23">
        <f t="shared" ref="P49" si="24">AVERAGE(K49:O49)</f>
        <v>1.5928332501443314E-2</v>
      </c>
      <c r="Q49" s="23">
        <f t="shared" ref="Q49" si="25">AVERAGE(L49:P49)</f>
        <v>1.6733020038091184E-2</v>
      </c>
      <c r="R49" s="23">
        <f t="shared" ref="R49" si="26">AVERAGE(M49:Q49)</f>
        <v>1.6841536074853336E-2</v>
      </c>
      <c r="S49" s="23">
        <f t="shared" ref="S49" si="27">AVERAGE(N49:R49)</f>
        <v>1.7019736814442649E-2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G19:N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2095-5DE4-3B4F-94D2-468700AC18AD}">
  <dimension ref="A1:Y37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F30" sqref="F30"/>
    </sheetView>
  </sheetViews>
  <sheetFormatPr baseColWidth="10" defaultRowHeight="16"/>
  <cols>
    <col min="1" max="1" width="5" customWidth="1"/>
    <col min="2" max="2" width="4.6640625" customWidth="1"/>
    <col min="3" max="3" width="31" customWidth="1"/>
    <col min="4" max="4" width="6" customWidth="1"/>
    <col min="5" max="5" width="14.1640625" customWidth="1"/>
  </cols>
  <sheetData>
    <row r="1" spans="1:19" ht="19">
      <c r="A1" s="1" t="s">
        <v>2</v>
      </c>
      <c r="E1" s="6"/>
      <c r="F1" s="6"/>
      <c r="G1" s="6"/>
      <c r="H1" s="6"/>
      <c r="I1" s="7" t="s">
        <v>150</v>
      </c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>
      <c r="A2" s="2" t="s">
        <v>1</v>
      </c>
      <c r="D2" s="20"/>
      <c r="E2" s="22" t="s">
        <v>135</v>
      </c>
      <c r="F2" s="22" t="s">
        <v>136</v>
      </c>
      <c r="G2" s="22" t="s">
        <v>137</v>
      </c>
      <c r="H2" s="22" t="s">
        <v>138</v>
      </c>
      <c r="I2" s="22" t="s">
        <v>139</v>
      </c>
      <c r="J2" s="22" t="s">
        <v>140</v>
      </c>
      <c r="K2" s="22" t="s">
        <v>141</v>
      </c>
      <c r="L2" s="22" t="s">
        <v>142</v>
      </c>
      <c r="M2" s="22" t="s">
        <v>143</v>
      </c>
      <c r="N2" s="22" t="s">
        <v>144</v>
      </c>
      <c r="O2" s="22" t="s">
        <v>145</v>
      </c>
      <c r="P2" s="22" t="s">
        <v>146</v>
      </c>
      <c r="Q2" s="22" t="s">
        <v>147</v>
      </c>
      <c r="R2" s="22" t="s">
        <v>148</v>
      </c>
      <c r="S2" s="22" t="s">
        <v>149</v>
      </c>
    </row>
    <row r="3" spans="1:19">
      <c r="A3" s="4" t="s">
        <v>3</v>
      </c>
      <c r="E3" s="13">
        <v>3312.17</v>
      </c>
      <c r="F3" s="13">
        <v>3851.51</v>
      </c>
      <c r="G3" s="13">
        <v>4552.71</v>
      </c>
      <c r="H3" s="13">
        <v>4448.1000000000004</v>
      </c>
      <c r="I3" s="13">
        <v>5628.3</v>
      </c>
      <c r="J3" s="13">
        <v>5960.58</v>
      </c>
      <c r="K3" s="13">
        <v>7014.7</v>
      </c>
      <c r="L3" s="13">
        <v>7411.9</v>
      </c>
      <c r="M3" s="13">
        <v>9424.1299999999992</v>
      </c>
      <c r="N3" s="13">
        <v>12066.01</v>
      </c>
      <c r="O3" s="6">
        <f>O4+O14</f>
        <v>13157.243967446195</v>
      </c>
      <c r="P3" s="6">
        <f t="shared" ref="P3:S3" si="0">P4+P14</f>
        <v>14116.01723907678</v>
      </c>
      <c r="Q3" s="6">
        <f t="shared" si="0"/>
        <v>16991.018051720643</v>
      </c>
      <c r="R3" s="6">
        <f t="shared" si="0"/>
        <v>19783.590604761735</v>
      </c>
      <c r="S3" s="6">
        <f t="shared" si="0"/>
        <v>18151.974340167941</v>
      </c>
    </row>
    <row r="4" spans="1:19">
      <c r="B4" s="4" t="s">
        <v>4</v>
      </c>
      <c r="E4" s="13">
        <v>1049.83</v>
      </c>
      <c r="F4" s="13">
        <v>1205.06</v>
      </c>
      <c r="G4" s="13">
        <v>1407.04</v>
      </c>
      <c r="H4" s="13">
        <v>1466.86</v>
      </c>
      <c r="I4" s="13">
        <v>1681.01</v>
      </c>
      <c r="J4" s="13">
        <v>1894.18</v>
      </c>
      <c r="K4" s="13">
        <v>2200.25</v>
      </c>
      <c r="L4" s="13">
        <v>2243.59</v>
      </c>
      <c r="M4" s="13">
        <v>2474.46</v>
      </c>
      <c r="N4" s="13">
        <v>3310.55</v>
      </c>
      <c r="O4" s="6">
        <f>SUM(O8:O13)</f>
        <v>3076.5855816158492</v>
      </c>
      <c r="P4" s="6">
        <f t="shared" ref="P4:S4" si="1">SUM(P8:P13)</f>
        <v>3220.3154818603753</v>
      </c>
      <c r="Q4" s="6">
        <f t="shared" si="1"/>
        <v>3358.6362410711599</v>
      </c>
      <c r="R4" s="6">
        <f t="shared" si="1"/>
        <v>3474.5907932547975</v>
      </c>
      <c r="S4" s="6">
        <f t="shared" si="1"/>
        <v>3599.863131562533</v>
      </c>
    </row>
    <row r="5" spans="1:19">
      <c r="C5" s="3" t="s">
        <v>5</v>
      </c>
      <c r="E5" s="13">
        <v>1220.68</v>
      </c>
      <c r="F5" s="13">
        <v>1096.08</v>
      </c>
      <c r="G5" s="13">
        <v>1366.51</v>
      </c>
      <c r="H5" s="13">
        <v>1567.53</v>
      </c>
      <c r="I5" s="13">
        <v>1785.9</v>
      </c>
      <c r="J5" s="13">
        <v>2066.38</v>
      </c>
      <c r="K5" s="13">
        <v>2698.88</v>
      </c>
      <c r="L5" s="13">
        <v>2668.57</v>
      </c>
      <c r="M5" s="13">
        <v>3246.6</v>
      </c>
      <c r="N5" s="13">
        <v>3667.74</v>
      </c>
      <c r="O5" s="6">
        <f>'Asset Schedule'!O7</f>
        <v>4050.1699999999996</v>
      </c>
      <c r="P5" s="6">
        <f>'Asset Schedule'!P7</f>
        <v>4452.99</v>
      </c>
      <c r="Q5" s="6">
        <f>'Asset Schedule'!Q7</f>
        <v>4809.8739999999998</v>
      </c>
      <c r="R5" s="6">
        <f>'Asset Schedule'!R7</f>
        <v>5238.1347999999998</v>
      </c>
      <c r="S5" s="6">
        <f>'Asset Schedule'!S7</f>
        <v>5636.4417599999997</v>
      </c>
    </row>
    <row r="6" spans="1:19">
      <c r="C6" s="3" t="s">
        <v>6</v>
      </c>
      <c r="E6" s="13">
        <v>395.93</v>
      </c>
      <c r="F6" s="13">
        <v>111.05</v>
      </c>
      <c r="G6" s="13">
        <v>238.12</v>
      </c>
      <c r="H6" s="13">
        <v>370.4</v>
      </c>
      <c r="I6" s="13">
        <v>510.32</v>
      </c>
      <c r="J6" s="13">
        <v>644.36</v>
      </c>
      <c r="K6" s="13">
        <v>829.28</v>
      </c>
      <c r="L6" s="13">
        <v>993.45</v>
      </c>
      <c r="M6" s="13">
        <v>1179.6600000000001</v>
      </c>
      <c r="N6" s="13">
        <v>1406.52</v>
      </c>
      <c r="O6" s="6">
        <f>'Asset Schedule'!O14</f>
        <v>1677.1099700633088</v>
      </c>
      <c r="P6" s="6">
        <f>'Asset Schedule'!P14</f>
        <v>1974.61215658689</v>
      </c>
      <c r="Q6" s="6">
        <f>'Asset Schedule'!Q14</f>
        <v>2295.9575968198401</v>
      </c>
      <c r="R6" s="6">
        <f>'Asset Schedule'!R14</f>
        <v>2645.9149415040324</v>
      </c>
      <c r="S6" s="6">
        <f>'Asset Schedule'!S14</f>
        <v>3022.482988549461</v>
      </c>
    </row>
    <row r="7" spans="1:19">
      <c r="C7" s="3" t="s">
        <v>7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6">
        <f>AVERAGE(J7:N7)</f>
        <v>0</v>
      </c>
      <c r="P7" s="6">
        <f t="shared" ref="P7:S7" si="2">AVERAGE(K7:O7)</f>
        <v>0</v>
      </c>
      <c r="Q7" s="6">
        <f t="shared" si="2"/>
        <v>0</v>
      </c>
      <c r="R7" s="6">
        <f t="shared" si="2"/>
        <v>0</v>
      </c>
      <c r="S7" s="6">
        <f t="shared" si="2"/>
        <v>0</v>
      </c>
    </row>
    <row r="8" spans="1:19">
      <c r="C8" s="3" t="s">
        <v>8</v>
      </c>
      <c r="E8" s="13">
        <v>824.74</v>
      </c>
      <c r="F8" s="13">
        <v>985.03</v>
      </c>
      <c r="G8" s="13">
        <v>1128.3900000000001</v>
      </c>
      <c r="H8" s="13">
        <v>1197.1300000000001</v>
      </c>
      <c r="I8" s="13">
        <v>1275.58</v>
      </c>
      <c r="J8" s="13">
        <v>1422.01</v>
      </c>
      <c r="K8" s="13">
        <v>1869.6</v>
      </c>
      <c r="L8" s="13">
        <v>1675.12</v>
      </c>
      <c r="M8" s="13">
        <v>2066.94</v>
      </c>
      <c r="N8" s="13">
        <v>2261.2199999999998</v>
      </c>
      <c r="O8" s="6">
        <f>O5-O6-O7</f>
        <v>2373.0600299366906</v>
      </c>
      <c r="P8" s="6">
        <f t="shared" ref="P8:S8" si="3">P5-P6-P7</f>
        <v>2478.37784341311</v>
      </c>
      <c r="Q8" s="6">
        <f t="shared" si="3"/>
        <v>2513.9164031801597</v>
      </c>
      <c r="R8" s="6">
        <f t="shared" si="3"/>
        <v>2592.2198584959674</v>
      </c>
      <c r="S8" s="6">
        <f t="shared" si="3"/>
        <v>2613.9587714505387</v>
      </c>
    </row>
    <row r="9" spans="1:19">
      <c r="C9" s="3" t="s">
        <v>9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6">
        <f>AVERAGE(J9:N9)</f>
        <v>0</v>
      </c>
      <c r="P9" s="6">
        <f t="shared" ref="P9:S9" si="4">AVERAGE(K9:O9)</f>
        <v>0</v>
      </c>
      <c r="Q9" s="6">
        <f t="shared" si="4"/>
        <v>0</v>
      </c>
      <c r="R9" s="6">
        <f t="shared" si="4"/>
        <v>0</v>
      </c>
      <c r="S9" s="6">
        <f t="shared" si="4"/>
        <v>0</v>
      </c>
    </row>
    <row r="10" spans="1:19">
      <c r="C10" s="3" t="s">
        <v>10</v>
      </c>
      <c r="E10" s="13">
        <v>177.21</v>
      </c>
      <c r="F10" s="13">
        <v>138.08000000000001</v>
      </c>
      <c r="G10" s="13">
        <v>164.88</v>
      </c>
      <c r="H10" s="13">
        <v>135.99</v>
      </c>
      <c r="I10" s="13">
        <v>193</v>
      </c>
      <c r="J10" s="13">
        <v>241.18</v>
      </c>
      <c r="K10" s="13">
        <v>99.05</v>
      </c>
      <c r="L10" s="13">
        <v>375.45</v>
      </c>
      <c r="M10" s="13">
        <v>250.77</v>
      </c>
      <c r="N10" s="13">
        <v>578.45000000000005</v>
      </c>
      <c r="O10" s="6">
        <f>Assumptions!O23*O5</f>
        <v>428.55955167915857</v>
      </c>
      <c r="P10" s="6">
        <f>Assumptions!P23*P5</f>
        <v>461.47243844726535</v>
      </c>
      <c r="Q10" s="6">
        <f>Assumptions!Q23*Q5</f>
        <v>562.84359789100029</v>
      </c>
      <c r="R10" s="6">
        <f>Assumptions!R23*R5</f>
        <v>588.15544675882995</v>
      </c>
      <c r="S10" s="6">
        <f>Assumptions!S23*S5</f>
        <v>672.38177451199385</v>
      </c>
    </row>
    <row r="11" spans="1:19">
      <c r="C11" s="3" t="s">
        <v>11</v>
      </c>
      <c r="E11" s="13">
        <v>0.02</v>
      </c>
      <c r="F11" s="13">
        <v>0.09</v>
      </c>
      <c r="G11" s="13">
        <v>32.81</v>
      </c>
      <c r="H11" s="13">
        <v>31.55</v>
      </c>
      <c r="I11" s="13">
        <v>29.39</v>
      </c>
      <c r="J11" s="13">
        <v>25.48</v>
      </c>
      <c r="K11" s="13">
        <v>11.82</v>
      </c>
      <c r="L11" s="13">
        <v>9.26</v>
      </c>
      <c r="M11" s="13">
        <v>0</v>
      </c>
      <c r="N11" s="13">
        <v>0</v>
      </c>
      <c r="O11" s="6">
        <f t="shared" ref="O11:O13" si="5">AVERAGE(J11:N11)</f>
        <v>9.3119999999999994</v>
      </c>
      <c r="P11" s="6">
        <f t="shared" ref="P11:P13" si="6">AVERAGE(K11:O11)</f>
        <v>6.0783999999999994</v>
      </c>
      <c r="Q11" s="6">
        <f t="shared" ref="Q11:Q13" si="7">AVERAGE(L11:P11)</f>
        <v>4.9300799999999994</v>
      </c>
      <c r="R11" s="6">
        <f t="shared" ref="R11:R13" si="8">AVERAGE(M11:Q11)</f>
        <v>4.0640960000000002</v>
      </c>
      <c r="S11" s="6">
        <f t="shared" ref="S11:S13" si="9">AVERAGE(N11:R11)</f>
        <v>4.8769152</v>
      </c>
    </row>
    <row r="12" spans="1:19">
      <c r="C12" s="3" t="s">
        <v>12</v>
      </c>
      <c r="E12" s="13">
        <v>56.7</v>
      </c>
      <c r="F12" s="13">
        <v>101.56</v>
      </c>
      <c r="G12" s="13">
        <v>144.25</v>
      </c>
      <c r="H12" s="13">
        <v>156.56</v>
      </c>
      <c r="I12" s="13">
        <v>199.25</v>
      </c>
      <c r="J12" s="13">
        <v>218.65</v>
      </c>
      <c r="K12" s="13">
        <v>202.42</v>
      </c>
      <c r="L12" s="13">
        <v>197</v>
      </c>
      <c r="M12" s="13">
        <v>185.91</v>
      </c>
      <c r="N12" s="13">
        <v>401.98</v>
      </c>
      <c r="O12" s="6">
        <f t="shared" si="5"/>
        <v>241.19200000000001</v>
      </c>
      <c r="P12" s="6">
        <f t="shared" si="6"/>
        <v>245.7004</v>
      </c>
      <c r="Q12" s="6">
        <f t="shared" si="7"/>
        <v>254.35647999999998</v>
      </c>
      <c r="R12" s="6">
        <f t="shared" si="8"/>
        <v>265.82777599999997</v>
      </c>
      <c r="S12" s="6">
        <f t="shared" si="9"/>
        <v>281.81133119999993</v>
      </c>
    </row>
    <row r="13" spans="1:19">
      <c r="C13" s="3" t="s">
        <v>13</v>
      </c>
      <c r="E13" s="13">
        <v>8.3000000000000007</v>
      </c>
      <c r="F13" s="13">
        <v>1.36</v>
      </c>
      <c r="G13" s="13">
        <v>2.38</v>
      </c>
      <c r="H13" s="13">
        <v>0.97</v>
      </c>
      <c r="I13" s="13">
        <v>6.9</v>
      </c>
      <c r="J13" s="13">
        <v>3.34</v>
      </c>
      <c r="K13" s="13">
        <v>59.17</v>
      </c>
      <c r="L13" s="13">
        <v>13.92</v>
      </c>
      <c r="M13" s="13">
        <v>11.77</v>
      </c>
      <c r="N13" s="13">
        <v>34.11</v>
      </c>
      <c r="O13" s="6">
        <f t="shared" si="5"/>
        <v>24.462</v>
      </c>
      <c r="P13" s="6">
        <f t="shared" si="6"/>
        <v>28.686399999999999</v>
      </c>
      <c r="Q13" s="6">
        <f t="shared" si="7"/>
        <v>22.589679999999998</v>
      </c>
      <c r="R13" s="6">
        <f t="shared" si="8"/>
        <v>24.323616000000001</v>
      </c>
      <c r="S13" s="6">
        <f t="shared" si="9"/>
        <v>26.834339199999999</v>
      </c>
    </row>
    <row r="14" spans="1:19">
      <c r="B14" s="4" t="s">
        <v>14</v>
      </c>
      <c r="E14" s="13">
        <v>2245.1999999999998</v>
      </c>
      <c r="F14" s="13">
        <v>2625.39</v>
      </c>
      <c r="G14" s="13">
        <v>3079.26</v>
      </c>
      <c r="H14" s="13">
        <v>2925.64</v>
      </c>
      <c r="I14" s="13">
        <v>3924.16</v>
      </c>
      <c r="J14" s="13">
        <v>4049.92</v>
      </c>
      <c r="K14" s="13">
        <v>4772.6400000000003</v>
      </c>
      <c r="L14" s="13">
        <v>5141.1400000000003</v>
      </c>
      <c r="M14" s="13">
        <v>6908.75</v>
      </c>
      <c r="N14" s="13">
        <v>8713.9599999999991</v>
      </c>
      <c r="O14" s="6">
        <f>SUM(O15:O20)</f>
        <v>10080.658385830346</v>
      </c>
      <c r="P14" s="6">
        <f t="shared" ref="P14:S14" si="10">SUM(P15:P20)</f>
        <v>10895.701757216406</v>
      </c>
      <c r="Q14" s="6">
        <f t="shared" si="10"/>
        <v>13632.381810649484</v>
      </c>
      <c r="R14" s="6">
        <f t="shared" si="10"/>
        <v>16308.999811506937</v>
      </c>
      <c r="S14" s="6">
        <f t="shared" si="10"/>
        <v>14552.111208605409</v>
      </c>
    </row>
    <row r="15" spans="1:19">
      <c r="C15" s="3" t="s">
        <v>15</v>
      </c>
      <c r="E15" s="13">
        <v>903.98</v>
      </c>
      <c r="F15" s="13">
        <v>980.42</v>
      </c>
      <c r="G15" s="13">
        <v>1519.82</v>
      </c>
      <c r="H15" s="13">
        <v>1365.7</v>
      </c>
      <c r="I15" s="13">
        <v>1995.79</v>
      </c>
      <c r="J15" s="13">
        <v>1924.95</v>
      </c>
      <c r="K15" s="13">
        <v>1987.91</v>
      </c>
      <c r="L15" s="13">
        <v>2199.65</v>
      </c>
      <c r="M15" s="13">
        <v>2951.38</v>
      </c>
      <c r="N15" s="13">
        <v>3675.11</v>
      </c>
      <c r="O15" s="6">
        <f>PnL!O8*Assumptions!O17/365*2 - N15</f>
        <v>4886.3718562372469</v>
      </c>
      <c r="P15" s="6">
        <f>PnL!P8*Assumptions!P17/365*2 - O15</f>
        <v>5461.5827215329482</v>
      </c>
      <c r="Q15" s="6">
        <f>PnL!Q8*Assumptions!Q17/365*2 - P15</f>
        <v>6668.538132968808</v>
      </c>
      <c r="R15" s="6">
        <f>PnL!R8*Assumptions!R17/365*2 - Q15</f>
        <v>8368.8059595354698</v>
      </c>
      <c r="S15" s="6">
        <f>PnL!S8*Assumptions!S17/365*2 - R15</f>
        <v>6763.5509665154459</v>
      </c>
    </row>
    <row r="16" spans="1:19">
      <c r="C16" s="3" t="s">
        <v>16</v>
      </c>
      <c r="E16" s="13">
        <v>1085.22</v>
      </c>
      <c r="F16" s="13">
        <v>1349.16</v>
      </c>
      <c r="G16" s="13">
        <v>1173.42</v>
      </c>
      <c r="H16" s="13">
        <v>1290.82</v>
      </c>
      <c r="I16" s="13">
        <v>1334.32</v>
      </c>
      <c r="J16" s="13">
        <v>1433.64</v>
      </c>
      <c r="K16" s="13">
        <v>1435.77</v>
      </c>
      <c r="L16" s="13">
        <v>1296.3900000000001</v>
      </c>
      <c r="M16" s="13">
        <v>1246.5999999999999</v>
      </c>
      <c r="N16" s="13">
        <v>2047.12</v>
      </c>
      <c r="O16" s="6">
        <f>PnL!O5*Assumptions!O19/365*2 - N16</f>
        <v>3266.092565869154</v>
      </c>
      <c r="P16" s="6">
        <f>PnL!P5*Assumptions!P19/365*2 - O16</f>
        <v>2964.3968146612342</v>
      </c>
      <c r="Q16" s="6">
        <f>PnL!Q5*Assumptions!Q19/365*2 - P16</f>
        <v>3971.8596174378335</v>
      </c>
      <c r="R16" s="6">
        <f>PnL!R5*Assumptions!R19/365*2 - Q16</f>
        <v>4426.7470453194101</v>
      </c>
      <c r="S16" s="6">
        <f>PnL!S5*Assumptions!S19/365*2 - R16</f>
        <v>4213.2999570506208</v>
      </c>
    </row>
    <row r="17" spans="1:25">
      <c r="C17" s="3" t="s">
        <v>17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40</v>
      </c>
      <c r="K17" s="13">
        <v>623.13</v>
      </c>
      <c r="L17" s="13">
        <v>764.05</v>
      </c>
      <c r="M17" s="13">
        <v>1350.49</v>
      </c>
      <c r="N17" s="13">
        <v>1822.42</v>
      </c>
      <c r="O17" s="6">
        <f>Assumptions!O25*O5</f>
        <v>1174.0675894122646</v>
      </c>
      <c r="P17" s="6">
        <f>Assumptions!P25*P5</f>
        <v>1531.7652036184093</v>
      </c>
      <c r="Q17" s="6">
        <f>Assumptions!Q25*Q5</f>
        <v>1763.3286385504953</v>
      </c>
      <c r="R17" s="6">
        <f>Assumptions!R25*R5</f>
        <v>2004.4472605162341</v>
      </c>
      <c r="S17" s="6">
        <f>Assumptions!S25*S5</f>
        <v>2119.3193841240272</v>
      </c>
    </row>
    <row r="18" spans="1:25">
      <c r="C18" s="3" t="s">
        <v>18</v>
      </c>
      <c r="E18" s="13">
        <v>26.98</v>
      </c>
      <c r="F18" s="13">
        <v>50.73</v>
      </c>
      <c r="G18" s="13">
        <v>30.16</v>
      </c>
      <c r="H18" s="13">
        <v>10.64</v>
      </c>
      <c r="I18" s="13">
        <v>316.64999999999998</v>
      </c>
      <c r="J18" s="13">
        <v>281.31</v>
      </c>
      <c r="K18" s="13">
        <v>531.32000000000005</v>
      </c>
      <c r="L18" s="13">
        <v>407.12</v>
      </c>
      <c r="M18" s="13">
        <v>695.24</v>
      </c>
      <c r="N18" s="13">
        <v>402.36</v>
      </c>
      <c r="O18" s="6"/>
      <c r="P18" s="6"/>
      <c r="Q18" s="6"/>
      <c r="R18" s="6"/>
      <c r="S18" s="6"/>
      <c r="T18" s="6">
        <f>O21-O3</f>
        <v>7.9846221682728356</v>
      </c>
      <c r="U18" s="6">
        <f>P21-P3</f>
        <v>1044.3874996142677</v>
      </c>
      <c r="V18" s="6">
        <f>Q21-Q3</f>
        <v>664.5081406159261</v>
      </c>
      <c r="W18" s="6">
        <f>R21-R3</f>
        <v>1284.610724580034</v>
      </c>
      <c r="X18" s="6">
        <f>S21-S3</f>
        <v>6122.6925756500168</v>
      </c>
      <c r="Y18" s="6"/>
    </row>
    <row r="19" spans="1:25">
      <c r="C19" s="3" t="s">
        <v>19</v>
      </c>
      <c r="E19" s="13">
        <v>15.74</v>
      </c>
      <c r="F19" s="13">
        <v>7.04</v>
      </c>
      <c r="G19" s="13">
        <v>44.55</v>
      </c>
      <c r="H19" s="13">
        <v>32.1</v>
      </c>
      <c r="I19" s="13">
        <v>81.260000000000005</v>
      </c>
      <c r="J19" s="13">
        <v>155.35</v>
      </c>
      <c r="K19" s="13">
        <v>47.21</v>
      </c>
      <c r="L19" s="13">
        <v>74.88</v>
      </c>
      <c r="M19" s="13">
        <v>58.19</v>
      </c>
      <c r="N19" s="13">
        <v>75.52</v>
      </c>
      <c r="O19" s="6">
        <f>AVERAGE(J19:N19)</f>
        <v>82.22999999999999</v>
      </c>
      <c r="P19" s="6">
        <f t="shared" ref="P19:S19" si="11">AVERAGE(K19:O19)</f>
        <v>67.605999999999995</v>
      </c>
      <c r="Q19" s="6">
        <f t="shared" si="11"/>
        <v>71.68519999999998</v>
      </c>
      <c r="R19" s="6">
        <f t="shared" si="11"/>
        <v>71.046239999999983</v>
      </c>
      <c r="S19" s="6">
        <f t="shared" si="11"/>
        <v>73.617488000000009</v>
      </c>
    </row>
    <row r="20" spans="1:25">
      <c r="C20" s="3" t="s">
        <v>20</v>
      </c>
      <c r="E20" s="13">
        <v>213.28</v>
      </c>
      <c r="F20" s="13">
        <v>238.04</v>
      </c>
      <c r="G20" s="13">
        <v>311.31</v>
      </c>
      <c r="H20" s="13">
        <v>226.38</v>
      </c>
      <c r="I20" s="13">
        <v>196.15</v>
      </c>
      <c r="J20" s="13">
        <v>214.66</v>
      </c>
      <c r="K20" s="13">
        <v>147.31</v>
      </c>
      <c r="L20" s="13">
        <v>399.04</v>
      </c>
      <c r="M20" s="13">
        <v>606.84</v>
      </c>
      <c r="N20" s="13">
        <v>691.43</v>
      </c>
      <c r="O20" s="6">
        <f>PnL!O5*Assumptions!O21</f>
        <v>671.89637431167944</v>
      </c>
      <c r="P20" s="6">
        <f>PnL!P5*Assumptions!P21</f>
        <v>870.35101740381253</v>
      </c>
      <c r="Q20" s="6">
        <f>PnL!Q5*Assumptions!Q21</f>
        <v>1156.970221692347</v>
      </c>
      <c r="R20" s="6">
        <f>PnL!R5*Assumptions!R21</f>
        <v>1437.9533061358259</v>
      </c>
      <c r="S20" s="6">
        <f>PnL!S5*Assumptions!S21</f>
        <v>1382.3234129153136</v>
      </c>
    </row>
    <row r="21" spans="1:25">
      <c r="A21" s="4" t="s">
        <v>21</v>
      </c>
      <c r="E21" s="13">
        <v>3312.17</v>
      </c>
      <c r="F21" s="13">
        <v>3851.51</v>
      </c>
      <c r="G21" s="13">
        <v>4552.71</v>
      </c>
      <c r="H21" s="13">
        <v>4448.1000000000004</v>
      </c>
      <c r="I21" s="13">
        <v>5628.3</v>
      </c>
      <c r="J21" s="13">
        <v>5960.58</v>
      </c>
      <c r="K21" s="13">
        <v>7014.7</v>
      </c>
      <c r="L21" s="13">
        <v>7411.9</v>
      </c>
      <c r="M21" s="13">
        <v>9424.1299999999992</v>
      </c>
      <c r="N21" s="13">
        <v>12066.01</v>
      </c>
      <c r="O21" s="6">
        <f>O22+O26+O32</f>
        <v>13165.228589614468</v>
      </c>
      <c r="P21" s="6">
        <f t="shared" ref="P21:S21" si="12">P22+P26+P32</f>
        <v>15160.404738691048</v>
      </c>
      <c r="Q21" s="6">
        <f t="shared" si="12"/>
        <v>17655.526192336569</v>
      </c>
      <c r="R21" s="6">
        <f t="shared" si="12"/>
        <v>21068.201329341769</v>
      </c>
      <c r="S21" s="6">
        <f t="shared" si="12"/>
        <v>24274.666915817957</v>
      </c>
    </row>
    <row r="22" spans="1:25">
      <c r="B22" s="4" t="s">
        <v>22</v>
      </c>
      <c r="E22" s="13">
        <v>1621.8</v>
      </c>
      <c r="F22" s="13">
        <v>1785.64</v>
      </c>
      <c r="G22" s="13">
        <v>1993.54</v>
      </c>
      <c r="H22" s="13">
        <v>2347.62</v>
      </c>
      <c r="I22" s="13">
        <v>2846.95</v>
      </c>
      <c r="J22" s="13">
        <v>3836.41</v>
      </c>
      <c r="K22" s="13">
        <v>4753.9399999999996</v>
      </c>
      <c r="L22" s="13">
        <v>5543.74</v>
      </c>
      <c r="M22" s="13">
        <v>6637.21</v>
      </c>
      <c r="N22" s="13">
        <v>8187.13</v>
      </c>
      <c r="O22" s="6">
        <f>O23+O25</f>
        <v>9623.4336046293047</v>
      </c>
      <c r="P22" s="6">
        <f t="shared" ref="P22:S22" si="13">P23+P25</f>
        <v>11391.813685037052</v>
      </c>
      <c r="Q22" s="6">
        <f t="shared" si="13"/>
        <v>13538.115773763393</v>
      </c>
      <c r="R22" s="6">
        <f t="shared" si="13"/>
        <v>16412.619941557728</v>
      </c>
      <c r="S22" s="6">
        <f t="shared" si="13"/>
        <v>19220.912463164976</v>
      </c>
    </row>
    <row r="23" spans="1:25">
      <c r="C23" s="3" t="s">
        <v>23</v>
      </c>
      <c r="E23" s="13">
        <v>141.21</v>
      </c>
      <c r="F23" s="13">
        <v>141.21</v>
      </c>
      <c r="G23" s="13">
        <v>141.21</v>
      </c>
      <c r="H23" s="13">
        <v>141.21</v>
      </c>
      <c r="I23" s="13">
        <v>141.21</v>
      </c>
      <c r="J23" s="13">
        <v>148.88</v>
      </c>
      <c r="K23" s="13">
        <v>149.12</v>
      </c>
      <c r="L23" s="13">
        <v>149.44</v>
      </c>
      <c r="M23" s="13">
        <v>149.76</v>
      </c>
      <c r="N23" s="13">
        <v>150.24</v>
      </c>
      <c r="O23" s="6">
        <f>N23</f>
        <v>150.24</v>
      </c>
      <c r="P23" s="6">
        <f t="shared" ref="P23:S23" si="14">O23</f>
        <v>150.24</v>
      </c>
      <c r="Q23" s="6">
        <f t="shared" si="14"/>
        <v>150.24</v>
      </c>
      <c r="R23" s="6">
        <f t="shared" si="14"/>
        <v>150.24</v>
      </c>
      <c r="S23" s="6">
        <f t="shared" si="14"/>
        <v>150.24</v>
      </c>
      <c r="T23" s="6"/>
      <c r="U23" s="6"/>
      <c r="V23" s="6"/>
    </row>
    <row r="24" spans="1:25">
      <c r="C24" s="3" t="s">
        <v>24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</row>
    <row r="25" spans="1:25">
      <c r="C25" s="3" t="s">
        <v>25</v>
      </c>
      <c r="E25" s="13">
        <v>1480.59</v>
      </c>
      <c r="F25" s="13">
        <v>1644.43</v>
      </c>
      <c r="G25" s="13">
        <v>1852.34</v>
      </c>
      <c r="H25" s="13">
        <v>2206.41</v>
      </c>
      <c r="I25" s="13">
        <v>2690.8</v>
      </c>
      <c r="J25" s="13">
        <v>3660.68</v>
      </c>
      <c r="K25" s="13">
        <v>4575.63</v>
      </c>
      <c r="L25" s="13">
        <v>5359.15</v>
      </c>
      <c r="M25" s="13">
        <v>6455.85</v>
      </c>
      <c r="N25" s="13">
        <v>7966.6</v>
      </c>
      <c r="O25" s="6">
        <f>'Reserves Schedule'!O13</f>
        <v>9473.1936046293049</v>
      </c>
      <c r="P25" s="6">
        <f>'Reserves Schedule'!P13</f>
        <v>11241.573685037052</v>
      </c>
      <c r="Q25" s="6">
        <f>'Reserves Schedule'!Q13</f>
        <v>13387.875773763393</v>
      </c>
      <c r="R25" s="6">
        <f>'Reserves Schedule'!R13</f>
        <v>16262.379941557729</v>
      </c>
      <c r="S25" s="6">
        <f>'Reserves Schedule'!S13</f>
        <v>19070.672463164974</v>
      </c>
    </row>
    <row r="26" spans="1:25">
      <c r="B26" s="4" t="s">
        <v>26</v>
      </c>
      <c r="E26" s="13">
        <v>23.42</v>
      </c>
      <c r="F26" s="13">
        <v>141.13999999999999</v>
      </c>
      <c r="G26" s="13">
        <v>255.92</v>
      </c>
      <c r="H26" s="13">
        <v>242.02</v>
      </c>
      <c r="I26" s="13">
        <v>153.97</v>
      </c>
      <c r="J26" s="13">
        <v>100.08</v>
      </c>
      <c r="K26" s="13">
        <v>227.35</v>
      </c>
      <c r="L26" s="13">
        <v>101.76</v>
      </c>
      <c r="M26" s="13">
        <v>129.06</v>
      </c>
      <c r="N26" s="13">
        <v>244.78</v>
      </c>
      <c r="O26" s="6">
        <f>SUM(O27:O31)</f>
        <v>176.99643594001282</v>
      </c>
      <c r="P26" s="6">
        <f t="shared" ref="P26:S26" si="15">SUM(P27:P31)</f>
        <v>195.14926286582181</v>
      </c>
      <c r="Q26" s="6">
        <f t="shared" si="15"/>
        <v>203.67181978014904</v>
      </c>
      <c r="R26" s="6">
        <f t="shared" si="15"/>
        <v>224.53730574461031</v>
      </c>
      <c r="S26" s="6">
        <f t="shared" si="15"/>
        <v>242.06815191823972</v>
      </c>
    </row>
    <row r="27" spans="1:25">
      <c r="C27" s="3" t="s">
        <v>27</v>
      </c>
      <c r="E27" s="13">
        <v>0</v>
      </c>
      <c r="F27" s="13">
        <v>100.85</v>
      </c>
      <c r="G27" s="13">
        <v>161.76</v>
      </c>
      <c r="H27" s="13">
        <v>158.94999999999999</v>
      </c>
      <c r="I27" s="13">
        <v>88.92</v>
      </c>
      <c r="J27" s="13">
        <v>10.65</v>
      </c>
      <c r="K27" s="13">
        <v>103.68</v>
      </c>
      <c r="L27" s="13">
        <v>2.97</v>
      </c>
      <c r="M27" s="13">
        <v>4.21</v>
      </c>
      <c r="N27" s="13">
        <v>22.6</v>
      </c>
      <c r="O27" s="6">
        <f>'Debt Schedule'!O8</f>
        <v>22.6</v>
      </c>
      <c r="P27" s="6">
        <f>'Debt Schedule'!P8</f>
        <v>22.6</v>
      </c>
      <c r="Q27" s="6">
        <f>'Debt Schedule'!Q8</f>
        <v>22.6</v>
      </c>
      <c r="R27" s="6">
        <f>'Debt Schedule'!R8</f>
        <v>22.6</v>
      </c>
      <c r="S27" s="6">
        <f>'Debt Schedule'!S8</f>
        <v>22.6</v>
      </c>
    </row>
    <row r="28" spans="1:25">
      <c r="C28" s="3" t="s">
        <v>28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6">
        <f>'Debt Schedule'!O14</f>
        <v>0</v>
      </c>
      <c r="P28" s="6">
        <f>'Debt Schedule'!P14</f>
        <v>0</v>
      </c>
      <c r="Q28" s="6">
        <f>'Debt Schedule'!Q14</f>
        <v>0</v>
      </c>
      <c r="R28" s="6">
        <f>'Debt Schedule'!R14</f>
        <v>0</v>
      </c>
      <c r="S28" s="6">
        <f>'Debt Schedule'!S14</f>
        <v>0</v>
      </c>
    </row>
    <row r="29" spans="1:25">
      <c r="C29" s="3" t="s">
        <v>29</v>
      </c>
      <c r="E29" s="13">
        <v>17.14</v>
      </c>
      <c r="F29" s="13">
        <v>21.06</v>
      </c>
      <c r="G29" s="13">
        <v>65.67</v>
      </c>
      <c r="H29" s="13">
        <v>55.34</v>
      </c>
      <c r="I29" s="13">
        <v>23.1</v>
      </c>
      <c r="J29" s="13">
        <v>16.48</v>
      </c>
      <c r="K29" s="13">
        <v>41.8</v>
      </c>
      <c r="L29" s="13">
        <v>27.18</v>
      </c>
      <c r="M29" s="13">
        <v>40.92</v>
      </c>
      <c r="N29" s="13">
        <v>41.5</v>
      </c>
      <c r="O29" s="6">
        <f>O6*Assumptions!O15</f>
        <v>56.194435940012809</v>
      </c>
      <c r="P29" s="6">
        <f>P6*Assumptions!P15</f>
        <v>69.294862865821813</v>
      </c>
      <c r="Q29" s="6">
        <f>Q6*Assumptions!Q15</f>
        <v>73.540539780149032</v>
      </c>
      <c r="R29" s="6">
        <f>R6*Assumptions!R15</f>
        <v>87.221769744610299</v>
      </c>
      <c r="S29" s="6">
        <f>S6*Assumptions!S15</f>
        <v>98.593508718239718</v>
      </c>
    </row>
    <row r="30" spans="1:25">
      <c r="C30" s="3" t="s">
        <v>30</v>
      </c>
      <c r="E30" s="13">
        <v>0</v>
      </c>
      <c r="F30" s="13">
        <v>10.86</v>
      </c>
      <c r="G30" s="13">
        <v>19.46</v>
      </c>
      <c r="H30" s="13">
        <v>18.22</v>
      </c>
      <c r="I30" s="13">
        <v>25.7</v>
      </c>
      <c r="J30" s="13">
        <v>47.31</v>
      </c>
      <c r="K30" s="13">
        <v>56.73</v>
      </c>
      <c r="L30" s="13">
        <v>45.18</v>
      </c>
      <c r="M30" s="13">
        <v>38.950000000000003</v>
      </c>
      <c r="N30" s="13">
        <v>120.55</v>
      </c>
      <c r="O30" s="6">
        <f t="shared" ref="O30:O31" si="16">AVERAGE(J30:N30)</f>
        <v>61.744000000000007</v>
      </c>
      <c r="P30" s="6">
        <f t="shared" ref="P30:P31" si="17">AVERAGE(K30:O30)</f>
        <v>64.630800000000008</v>
      </c>
      <c r="Q30" s="6">
        <f t="shared" ref="Q30:Q31" si="18">AVERAGE(L30:P30)</f>
        <v>66.210960000000014</v>
      </c>
      <c r="R30" s="6">
        <f t="shared" ref="R30:R31" si="19">AVERAGE(M30:Q30)</f>
        <v>70.417152000000002</v>
      </c>
      <c r="S30" s="6">
        <f t="shared" ref="S30:S31" si="20">AVERAGE(N30:R30)</f>
        <v>76.710582399999993</v>
      </c>
    </row>
    <row r="31" spans="1:25">
      <c r="C31" s="3" t="s">
        <v>31</v>
      </c>
      <c r="E31" s="13">
        <v>6.28</v>
      </c>
      <c r="F31" s="13">
        <v>8.3699999999999992</v>
      </c>
      <c r="G31" s="13">
        <v>9.02</v>
      </c>
      <c r="H31" s="13">
        <v>9.51</v>
      </c>
      <c r="I31" s="13">
        <v>16.239999999999998</v>
      </c>
      <c r="J31" s="13">
        <v>25.63</v>
      </c>
      <c r="K31" s="13">
        <v>25.14</v>
      </c>
      <c r="L31" s="13">
        <v>26.43</v>
      </c>
      <c r="M31" s="13">
        <v>44.97</v>
      </c>
      <c r="N31" s="13">
        <v>60.12</v>
      </c>
      <c r="O31" s="6">
        <f t="shared" si="16"/>
        <v>36.457999999999998</v>
      </c>
      <c r="P31" s="6">
        <f t="shared" si="17"/>
        <v>38.623599999999996</v>
      </c>
      <c r="Q31" s="6">
        <f t="shared" si="18"/>
        <v>41.320320000000002</v>
      </c>
      <c r="R31" s="6">
        <f t="shared" si="19"/>
        <v>44.298384000000006</v>
      </c>
      <c r="S31" s="6">
        <f t="shared" si="20"/>
        <v>44.164060800000001</v>
      </c>
    </row>
    <row r="32" spans="1:25">
      <c r="B32" s="4" t="s">
        <v>32</v>
      </c>
      <c r="E32" s="13">
        <v>1666.95</v>
      </c>
      <c r="F32" s="13">
        <v>1921.93</v>
      </c>
      <c r="G32" s="13">
        <v>2300.19</v>
      </c>
      <c r="H32" s="13">
        <v>1854.42</v>
      </c>
      <c r="I32" s="13">
        <v>2618.94</v>
      </c>
      <c r="J32" s="13">
        <v>2009.09</v>
      </c>
      <c r="K32" s="13">
        <v>2014.58</v>
      </c>
      <c r="L32" s="13">
        <v>1741.33</v>
      </c>
      <c r="M32" s="13">
        <v>2620.4899999999998</v>
      </c>
      <c r="N32" s="13">
        <v>3577.89</v>
      </c>
      <c r="O32" s="6">
        <f>SUM(O33:O37)</f>
        <v>3364.7985490451492</v>
      </c>
      <c r="P32" s="6">
        <f t="shared" ref="P32:S32" si="21">SUM(P33:P37)</f>
        <v>3573.4417907881739</v>
      </c>
      <c r="Q32" s="6">
        <f t="shared" si="21"/>
        <v>3913.7385987930279</v>
      </c>
      <c r="R32" s="6">
        <f t="shared" si="21"/>
        <v>4431.0440820394315</v>
      </c>
      <c r="S32" s="6">
        <f t="shared" si="21"/>
        <v>4811.6863007347411</v>
      </c>
    </row>
    <row r="33" spans="3:19">
      <c r="C33" s="3" t="s">
        <v>33</v>
      </c>
      <c r="E33" s="13">
        <v>962.91</v>
      </c>
      <c r="F33" s="13">
        <v>1057.3599999999999</v>
      </c>
      <c r="G33" s="13">
        <v>1354.27</v>
      </c>
      <c r="H33" s="13">
        <v>922.09</v>
      </c>
      <c r="I33" s="13">
        <v>1520.18</v>
      </c>
      <c r="J33" s="13">
        <v>1353.68</v>
      </c>
      <c r="K33" s="13">
        <v>1348.03</v>
      </c>
      <c r="L33" s="13">
        <v>1217.53</v>
      </c>
      <c r="M33" s="13">
        <v>2032.64</v>
      </c>
      <c r="N33" s="13">
        <v>2863.32</v>
      </c>
      <c r="O33" s="6">
        <f>Assumptions!O9*'Balance Sheet'!O5 * N33 / SUM(N33:N35)</f>
        <v>2639.0213072778802</v>
      </c>
      <c r="P33" s="6">
        <f>Assumptions!P9*'Balance Sheet'!P5 * O33 / SUM(O33:O35)</f>
        <v>2830.1148156053428</v>
      </c>
      <c r="Q33" s="6">
        <f>Assumptions!Q9*'Balance Sheet'!Q5 * P33 / SUM(P33:P35)</f>
        <v>3101.4946836120857</v>
      </c>
      <c r="R33" s="6">
        <f>Assumptions!R9*'Balance Sheet'!R5 * Q33 / SUM(Q33:Q35)</f>
        <v>3512.4321398545403</v>
      </c>
      <c r="S33" s="6">
        <f>Assumptions!S9*'Balance Sheet'!S5 * R33 / SUM(R33:R35)</f>
        <v>3813.8217103150823</v>
      </c>
    </row>
    <row r="34" spans="3:19">
      <c r="C34" s="3" t="s">
        <v>34</v>
      </c>
      <c r="E34" s="13">
        <v>545.5</v>
      </c>
      <c r="F34" s="13">
        <v>694.79</v>
      </c>
      <c r="G34" s="13">
        <v>659.03</v>
      </c>
      <c r="H34" s="13">
        <v>568.75</v>
      </c>
      <c r="I34" s="13">
        <v>103.07</v>
      </c>
      <c r="J34" s="13">
        <v>111.45</v>
      </c>
      <c r="K34" s="13">
        <v>88.96</v>
      </c>
      <c r="L34" s="13">
        <v>76.540000000000006</v>
      </c>
      <c r="M34" s="13">
        <v>66.17</v>
      </c>
      <c r="N34" s="13">
        <v>62.39</v>
      </c>
      <c r="O34" s="6">
        <f>Assumptions!O9*'Balance Sheet'!O5 * N34 / SUM(N33:N35)</f>
        <v>57.502668008139828</v>
      </c>
      <c r="P34" s="6">
        <f>Assumptions!P9*'Balance Sheet'!P5 * O34 / SUM(O33:O35)</f>
        <v>61.666479242843032</v>
      </c>
      <c r="Q34" s="6">
        <f>Assumptions!Q9*'Balance Sheet'!Q5 * P34 / SUM(P33:P35)</f>
        <v>67.579681387535445</v>
      </c>
      <c r="R34" s="6">
        <f>Assumptions!R9*'Balance Sheet'!R5 * Q34 / SUM(Q33:Q35)</f>
        <v>76.533758436194603</v>
      </c>
      <c r="S34" s="6">
        <f>Assumptions!S9*'Balance Sheet'!S5 * R34 / SUM(R33:R35)</f>
        <v>83.100853731527721</v>
      </c>
    </row>
    <row r="35" spans="3:19">
      <c r="C35" s="3" t="s">
        <v>35</v>
      </c>
      <c r="E35" s="13">
        <v>87.93</v>
      </c>
      <c r="F35" s="13">
        <v>139.5</v>
      </c>
      <c r="G35" s="13">
        <v>227.09</v>
      </c>
      <c r="H35" s="13">
        <v>243.58</v>
      </c>
      <c r="I35" s="13">
        <v>807.63</v>
      </c>
      <c r="J35" s="13">
        <v>401.01</v>
      </c>
      <c r="K35" s="13">
        <v>525.71</v>
      </c>
      <c r="L35" s="13">
        <v>405.92</v>
      </c>
      <c r="M35" s="13">
        <v>466.11</v>
      </c>
      <c r="N35" s="13">
        <v>608.19000000000005</v>
      </c>
      <c r="O35" s="6">
        <f>Assumptions!O9*'Balance Sheet'!O5 * N35 / SUM(N33:N35)</f>
        <v>560.54732578731478</v>
      </c>
      <c r="P35" s="6">
        <f>Assumptions!P9*'Balance Sheet'!P5 * O35 / SUM(O33:O35)</f>
        <v>601.13697725123757</v>
      </c>
      <c r="Q35" s="6">
        <f>Assumptions!Q9*'Balance Sheet'!Q5 * P35 / SUM(P33:P35)</f>
        <v>658.7800356320754</v>
      </c>
      <c r="R35" s="6">
        <f>Assumptions!R9*'Balance Sheet'!R5 * Q35 / SUM(Q33:Q35)</f>
        <v>746.06614110128544</v>
      </c>
      <c r="S35" s="6">
        <f>Assumptions!S9*'Balance Sheet'!S5 * R35 / SUM(R33:R35)</f>
        <v>810.08347861801326</v>
      </c>
    </row>
    <row r="36" spans="3:19">
      <c r="C36" s="3" t="s">
        <v>36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2.71</v>
      </c>
      <c r="K36" s="13">
        <v>0.5</v>
      </c>
      <c r="L36" s="13">
        <v>0.8</v>
      </c>
      <c r="M36" s="13">
        <v>0.28000000000000003</v>
      </c>
      <c r="N36" s="13">
        <v>0.87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</row>
    <row r="37" spans="3:19">
      <c r="C37" s="3" t="s">
        <v>37</v>
      </c>
      <c r="E37" s="13">
        <v>70.599999999999994</v>
      </c>
      <c r="F37" s="13">
        <v>30.28</v>
      </c>
      <c r="G37" s="13">
        <v>59.8</v>
      </c>
      <c r="H37" s="13">
        <v>120.01</v>
      </c>
      <c r="I37" s="13">
        <v>188.06</v>
      </c>
      <c r="J37" s="13">
        <v>142.94</v>
      </c>
      <c r="K37" s="13">
        <v>51.87</v>
      </c>
      <c r="L37" s="13">
        <v>41.33</v>
      </c>
      <c r="M37" s="13">
        <v>55.57</v>
      </c>
      <c r="N37" s="13">
        <v>43.99</v>
      </c>
      <c r="O37" s="6">
        <f>O5*Assumptions!O11</f>
        <v>107.72724797181495</v>
      </c>
      <c r="P37" s="6">
        <f>P5*Assumptions!P11</f>
        <v>80.523518688750428</v>
      </c>
      <c r="Q37" s="6">
        <f>Q5*Assumptions!Q11</f>
        <v>85.884198161331199</v>
      </c>
      <c r="R37" s="6">
        <f>R5*Assumptions!R11</f>
        <v>96.012042647411761</v>
      </c>
      <c r="S37" s="6">
        <f>S5*Assumptions!S11</f>
        <v>104.68025807011806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O33 O34:O35 O19 O9 O7:S7 O30:S31" formulaRange="1"/>
    <ignoredError sqref="O8:S8 O11:O13" formula="1" formulaRange="1"/>
    <ignoredError sqref="O10 P10:S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CE4E-0FB2-B24E-8B5F-95463D706408}">
  <dimension ref="A1:S36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A24" sqref="A24:XFD24"/>
    </sheetView>
  </sheetViews>
  <sheetFormatPr baseColWidth="10" defaultRowHeight="16"/>
  <cols>
    <col min="1" max="1" width="5" style="6" customWidth="1"/>
    <col min="2" max="2" width="4.6640625" style="6" customWidth="1"/>
    <col min="3" max="3" width="31" style="6" customWidth="1"/>
    <col min="4" max="4" width="6" style="6" customWidth="1"/>
    <col min="5" max="14" width="12.1640625" style="6" customWidth="1"/>
    <col min="15" max="16384" width="10.83203125" style="6"/>
  </cols>
  <sheetData>
    <row r="1" spans="1:19" ht="19">
      <c r="A1" s="5" t="s">
        <v>0</v>
      </c>
      <c r="I1" s="2" t="s">
        <v>150</v>
      </c>
    </row>
    <row r="2" spans="1:19">
      <c r="A2" s="7" t="s">
        <v>1</v>
      </c>
      <c r="E2" s="21" t="s">
        <v>135</v>
      </c>
      <c r="F2" s="21" t="s">
        <v>136</v>
      </c>
      <c r="G2" s="21" t="s">
        <v>137</v>
      </c>
      <c r="H2" s="21" t="s">
        <v>138</v>
      </c>
      <c r="I2" s="21" t="s">
        <v>139</v>
      </c>
      <c r="J2" s="21" t="s">
        <v>140</v>
      </c>
      <c r="K2" s="21" t="s">
        <v>141</v>
      </c>
      <c r="L2" s="21" t="s">
        <v>142</v>
      </c>
      <c r="M2" s="21" t="s">
        <v>143</v>
      </c>
      <c r="N2" s="21" t="s">
        <v>144</v>
      </c>
      <c r="O2" s="21" t="s">
        <v>145</v>
      </c>
      <c r="P2" s="21" t="s">
        <v>146</v>
      </c>
      <c r="Q2" s="21" t="s">
        <v>147</v>
      </c>
      <c r="R2" s="21" t="s">
        <v>148</v>
      </c>
      <c r="S2" s="21" t="s">
        <v>149</v>
      </c>
    </row>
    <row r="3" spans="1:19">
      <c r="A3" s="12" t="s">
        <v>39</v>
      </c>
      <c r="F3" s="13">
        <v>5186.83</v>
      </c>
      <c r="G3" s="13">
        <v>5500.12</v>
      </c>
      <c r="H3" s="13">
        <v>6770.31</v>
      </c>
      <c r="I3" s="13">
        <v>7985.55</v>
      </c>
      <c r="J3" s="13">
        <v>8829.9500000000007</v>
      </c>
      <c r="K3" s="13">
        <v>8792.23</v>
      </c>
      <c r="L3" s="13">
        <v>12203.76</v>
      </c>
      <c r="M3" s="13">
        <v>14107.78</v>
      </c>
      <c r="N3" s="13">
        <v>18039.439999999999</v>
      </c>
    </row>
    <row r="4" spans="1:19">
      <c r="A4" s="12" t="s">
        <v>40</v>
      </c>
      <c r="F4" s="13">
        <v>532.46</v>
      </c>
      <c r="G4" s="13">
        <v>546.89</v>
      </c>
      <c r="H4" s="13">
        <v>144.65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</row>
    <row r="5" spans="1:19">
      <c r="A5" s="12" t="s">
        <v>41</v>
      </c>
      <c r="F5" s="13">
        <v>5186.83</v>
      </c>
      <c r="G5" s="13">
        <v>5500.12</v>
      </c>
      <c r="H5" s="13">
        <v>6770.31</v>
      </c>
      <c r="I5" s="13">
        <v>7985.55</v>
      </c>
      <c r="J5" s="13">
        <v>8829.9500000000007</v>
      </c>
      <c r="K5" s="13">
        <v>8792.23</v>
      </c>
      <c r="L5" s="13">
        <v>12203.76</v>
      </c>
      <c r="M5" s="13">
        <v>14107.78</v>
      </c>
      <c r="N5" s="13">
        <v>18039.439999999999</v>
      </c>
      <c r="O5" s="6">
        <f>N5*(1+Assumptions!P29)</f>
        <v>21659.196349129845</v>
      </c>
      <c r="P5" s="6">
        <f>O5*(1+Assumptions!Q29)</f>
        <v>26893.00812437174</v>
      </c>
      <c r="Q5" s="6">
        <f>P5*(1+Assumptions!R29)</f>
        <v>32604.258433716062</v>
      </c>
      <c r="R5" s="6">
        <f>Q5*(1+Assumptions!S29)</f>
        <v>39895.854538476786</v>
      </c>
      <c r="S5" s="6">
        <f>R5*(1+Assumptions!T29)</f>
        <v>39895.854538476786</v>
      </c>
    </row>
    <row r="6" spans="1:19">
      <c r="A6" s="12" t="s">
        <v>42</v>
      </c>
      <c r="F6" s="13">
        <v>4700.8500000000004</v>
      </c>
      <c r="G6" s="13">
        <v>5020.17</v>
      </c>
      <c r="H6" s="13">
        <v>6041.43</v>
      </c>
      <c r="I6" s="13">
        <v>7032.79</v>
      </c>
      <c r="J6" s="13">
        <v>7694.93</v>
      </c>
      <c r="K6" s="13">
        <v>7686.12</v>
      </c>
      <c r="L6" s="13">
        <v>10953.57</v>
      </c>
      <c r="M6" s="13">
        <v>12258.78</v>
      </c>
      <c r="N6" s="13">
        <v>15547.64</v>
      </c>
      <c r="O6" s="6">
        <f>SUM(O7:O15)</f>
        <v>19051.376342231211</v>
      </c>
      <c r="P6" s="6">
        <f t="shared" ref="P6:S6" si="0">SUM(P7:P15)</f>
        <v>23690.361549573918</v>
      </c>
      <c r="Q6" s="6">
        <f t="shared" si="0"/>
        <v>28642.790983132301</v>
      </c>
      <c r="R6" s="6">
        <f t="shared" si="0"/>
        <v>34858.991761014506</v>
      </c>
      <c r="S6" s="6">
        <f t="shared" si="0"/>
        <v>34916.591142672936</v>
      </c>
    </row>
    <row r="7" spans="1:19">
      <c r="B7" s="14" t="s">
        <v>43</v>
      </c>
      <c r="F7" s="13">
        <v>-58.66</v>
      </c>
      <c r="G7" s="13">
        <v>-208.49</v>
      </c>
      <c r="H7" s="13">
        <v>-8.31</v>
      </c>
      <c r="I7" s="13">
        <v>-107.7</v>
      </c>
      <c r="J7" s="13">
        <v>-237.15</v>
      </c>
      <c r="K7" s="13">
        <v>67.77</v>
      </c>
      <c r="L7" s="13">
        <v>-492.75</v>
      </c>
      <c r="M7" s="13">
        <v>34.68</v>
      </c>
      <c r="N7" s="13">
        <v>-421.51</v>
      </c>
      <c r="O7" s="6">
        <f>O5*Assumptions!O33</f>
        <v>-348.42811893393912</v>
      </c>
      <c r="P7" s="6">
        <f>P5*Assumptions!P33</f>
        <v>-374.69280037836165</v>
      </c>
      <c r="Q7" s="6">
        <f>Q5*Assumptions!Q33</f>
        <v>-595.38162185031501</v>
      </c>
      <c r="R7" s="6">
        <f>R5*Assumptions!R33</f>
        <v>-552.064689854373</v>
      </c>
      <c r="S7" s="6">
        <f>S5*Assumptions!S33</f>
        <v>-682.09217009049951</v>
      </c>
    </row>
    <row r="8" spans="1:19">
      <c r="B8" s="14" t="s">
        <v>44</v>
      </c>
      <c r="F8" s="13">
        <v>3780.67</v>
      </c>
      <c r="G8" s="13">
        <v>4253.67</v>
      </c>
      <c r="H8" s="13">
        <v>4919.6000000000004</v>
      </c>
      <c r="I8" s="13">
        <v>5727.27</v>
      </c>
      <c r="J8" s="13">
        <v>6114.34</v>
      </c>
      <c r="K8" s="13">
        <v>6192.62</v>
      </c>
      <c r="L8" s="13">
        <v>9645.76</v>
      </c>
      <c r="M8" s="13">
        <v>10087.1</v>
      </c>
      <c r="N8" s="13">
        <v>13039.58</v>
      </c>
      <c r="O8" s="6">
        <f>O5*Assumptions!O35</f>
        <v>15702.985679215868</v>
      </c>
      <c r="P8" s="6">
        <f>P5*Assumptions!P35</f>
        <v>19672.581128058751</v>
      </c>
      <c r="Q8" s="6">
        <f>Q5*Assumptions!Q35</f>
        <v>24027.697924407916</v>
      </c>
      <c r="R8" s="6">
        <f>R5*Assumptions!R35</f>
        <v>28974.80824083924</v>
      </c>
      <c r="S8" s="6">
        <f>S5*Assumptions!S35</f>
        <v>29064.641593625827</v>
      </c>
    </row>
    <row r="9" spans="1:19">
      <c r="B9" s="14" t="s">
        <v>45</v>
      </c>
      <c r="E9" s="25"/>
      <c r="F9" s="13">
        <v>71.760000000000005</v>
      </c>
      <c r="G9" s="13">
        <v>73.55</v>
      </c>
      <c r="H9" s="13">
        <v>72.540000000000006</v>
      </c>
      <c r="I9" s="13">
        <v>70.37</v>
      </c>
      <c r="J9" s="13">
        <v>66.56</v>
      </c>
      <c r="K9" s="13">
        <v>71.2</v>
      </c>
      <c r="L9" s="13">
        <v>75</v>
      </c>
      <c r="M9" s="13">
        <v>71.75</v>
      </c>
      <c r="N9" s="13">
        <v>69.95</v>
      </c>
      <c r="O9" s="6">
        <f>O8/O5*100</f>
        <v>72.500315459981195</v>
      </c>
      <c r="P9" s="6">
        <f t="shared" ref="P9:S9" si="1">P8/P5*100</f>
        <v>73.15128540875466</v>
      </c>
      <c r="Q9" s="6">
        <f t="shared" si="1"/>
        <v>73.694968322177431</v>
      </c>
      <c r="R9" s="6">
        <f t="shared" si="1"/>
        <v>72.626112602488675</v>
      </c>
      <c r="S9" s="6">
        <f t="shared" si="1"/>
        <v>72.851282244361997</v>
      </c>
    </row>
    <row r="10" spans="1:19">
      <c r="B10" s="14" t="s">
        <v>46</v>
      </c>
      <c r="F10" s="13">
        <v>377.4</v>
      </c>
      <c r="G10" s="13">
        <v>327.82</v>
      </c>
      <c r="H10" s="13">
        <v>365.33</v>
      </c>
      <c r="I10" s="13">
        <v>525.94000000000005</v>
      </c>
      <c r="J10" s="13">
        <v>750.2</v>
      </c>
      <c r="K10" s="13">
        <v>505.95</v>
      </c>
      <c r="L10" s="13">
        <v>628.08000000000004</v>
      </c>
      <c r="M10" s="13">
        <v>718.34</v>
      </c>
      <c r="N10" s="13">
        <v>1149.4000000000001</v>
      </c>
      <c r="O10" s="6">
        <f>O5*Assumptions!O39*N10/(N10+N13)</f>
        <v>1358.9192062696288</v>
      </c>
      <c r="P10" s="6">
        <f>P5*Assumptions!P39*O10/(O10+O13)</f>
        <v>1574.9919982658444</v>
      </c>
      <c r="Q10" s="6">
        <f>Q5*Assumptions!Q39*P10/(P10+P13)</f>
        <v>1903.6625199763089</v>
      </c>
      <c r="R10" s="6">
        <f>R5*Assumptions!R39*Q10/(Q10+Q13)</f>
        <v>2371.0142174890366</v>
      </c>
      <c r="S10" s="6">
        <f>S5*Assumptions!S39*R10/(R10+R13)</f>
        <v>2416.4045880014305</v>
      </c>
    </row>
    <row r="11" spans="1:19">
      <c r="B11" s="14" t="s">
        <v>47</v>
      </c>
      <c r="F11" s="13">
        <v>206.06</v>
      </c>
      <c r="G11" s="13">
        <v>229.1</v>
      </c>
      <c r="H11" s="13">
        <v>259.25</v>
      </c>
      <c r="I11" s="13">
        <v>300.25</v>
      </c>
      <c r="J11" s="13">
        <v>365.75</v>
      </c>
      <c r="K11" s="13">
        <v>353.73</v>
      </c>
      <c r="L11" s="13">
        <v>406.63</v>
      </c>
      <c r="M11" s="13">
        <v>456.77</v>
      </c>
      <c r="N11" s="13">
        <v>609.54</v>
      </c>
      <c r="O11" s="6">
        <f>O5*Assumptions!O37</f>
        <v>784.67008535647903</v>
      </c>
      <c r="P11" s="6">
        <f>P5*Assumptions!P37</f>
        <v>946.34706589192206</v>
      </c>
      <c r="Q11" s="6">
        <f>Q5*Assumptions!Q37</f>
        <v>1114.4389493074025</v>
      </c>
      <c r="R11" s="6">
        <f>R5*Assumptions!R37</f>
        <v>1370.5392171591238</v>
      </c>
      <c r="S11" s="6">
        <f>S5*Assumptions!S37</f>
        <v>1386.304082779556</v>
      </c>
    </row>
    <row r="12" spans="1:19">
      <c r="B12" s="14" t="s">
        <v>48</v>
      </c>
      <c r="F12" s="13">
        <v>175.99</v>
      </c>
      <c r="G12" s="13">
        <v>187.98</v>
      </c>
      <c r="H12" s="13">
        <v>254.27</v>
      </c>
      <c r="I12" s="13">
        <v>277.86</v>
      </c>
      <c r="J12" s="13">
        <v>344.89</v>
      </c>
      <c r="K12" s="13">
        <v>302.68</v>
      </c>
      <c r="L12" s="13">
        <v>396.89</v>
      </c>
      <c r="M12" s="13">
        <v>491.58</v>
      </c>
      <c r="N12" s="13">
        <v>599.25</v>
      </c>
      <c r="O12" s="6">
        <f>O5*Assumptions!O43</f>
        <v>760.87396125189036</v>
      </c>
      <c r="P12" s="6">
        <f>P5*Assumptions!P43</f>
        <v>946.53105598517038</v>
      </c>
      <c r="Q12" s="6">
        <f>Q5*Assumptions!Q43</f>
        <v>1122.3556027903505</v>
      </c>
      <c r="R12" s="6">
        <f>R5*Assumptions!R43</f>
        <v>1373.340466380479</v>
      </c>
      <c r="S12" s="6">
        <f>S5*Assumptions!S43</f>
        <v>1388.5104097785691</v>
      </c>
    </row>
    <row r="13" spans="1:19">
      <c r="B13" s="14" t="s">
        <v>49</v>
      </c>
      <c r="F13" s="13">
        <v>80.540000000000006</v>
      </c>
      <c r="G13" s="13">
        <v>84.78</v>
      </c>
      <c r="H13" s="13">
        <v>89.63</v>
      </c>
      <c r="I13" s="13">
        <v>107.65</v>
      </c>
      <c r="J13" s="13">
        <v>128.32</v>
      </c>
      <c r="K13" s="13">
        <v>116.03</v>
      </c>
      <c r="L13" s="13">
        <v>143.97999999999999</v>
      </c>
      <c r="M13" s="13">
        <v>183.75</v>
      </c>
      <c r="N13" s="13">
        <v>218.18</v>
      </c>
      <c r="O13" s="6">
        <f>O5*Assumptions!O39*N13/(N10+N13)</f>
        <v>257.95109833296294</v>
      </c>
      <c r="P13" s="6">
        <f>P5*Assumptions!P39*O13/(O10+O13)</f>
        <v>298.96620339450317</v>
      </c>
      <c r="Q13" s="6">
        <f>Q5*Assumptions!Q39*P13/(P10+P13)</f>
        <v>361.35469689266665</v>
      </c>
      <c r="R13" s="6">
        <f>R5*Assumptions!R39*Q13/(Q10+Q13)</f>
        <v>450.06775880612315</v>
      </c>
      <c r="S13" s="6">
        <f>S5*Assumptions!S39*R13/(R10+R13)</f>
        <v>458.6837941623038</v>
      </c>
    </row>
    <row r="14" spans="1:19">
      <c r="B14" s="14" t="s">
        <v>50</v>
      </c>
      <c r="F14" s="13">
        <v>81.760000000000005</v>
      </c>
      <c r="G14" s="13">
        <v>81.680000000000007</v>
      </c>
      <c r="H14" s="13">
        <v>85.77</v>
      </c>
      <c r="I14" s="13">
        <v>87.09</v>
      </c>
      <c r="J14" s="13">
        <v>98.16</v>
      </c>
      <c r="K14" s="13">
        <v>80.8</v>
      </c>
      <c r="L14" s="13">
        <v>138.56</v>
      </c>
      <c r="M14" s="13">
        <v>171.52</v>
      </c>
      <c r="N14" s="13">
        <v>194.29</v>
      </c>
      <c r="O14" s="6">
        <f>O5*Assumptions!O45</f>
        <v>237.05687413551024</v>
      </c>
      <c r="P14" s="6">
        <f>P5*Assumptions!P45</f>
        <v>294.54949991514246</v>
      </c>
      <c r="Q14" s="6">
        <f>Q5*Assumptions!Q45</f>
        <v>356.03291638305495</v>
      </c>
      <c r="R14" s="6">
        <f>R5*Assumptions!R45</f>
        <v>449.45903414998668</v>
      </c>
      <c r="S14" s="6">
        <f>S5*Assumptions!S45</f>
        <v>448.75630937904566</v>
      </c>
    </row>
    <row r="15" spans="1:19">
      <c r="B15" s="14" t="s">
        <v>51</v>
      </c>
      <c r="F15" s="13">
        <v>57.09</v>
      </c>
      <c r="G15" s="13">
        <v>63.62</v>
      </c>
      <c r="H15" s="13">
        <v>75.88</v>
      </c>
      <c r="I15" s="13">
        <v>114.44</v>
      </c>
      <c r="J15" s="13">
        <v>130.43</v>
      </c>
      <c r="K15" s="13">
        <v>66.53</v>
      </c>
      <c r="L15" s="13">
        <v>86.43</v>
      </c>
      <c r="M15" s="13">
        <v>115.04</v>
      </c>
      <c r="N15" s="13">
        <v>158.91</v>
      </c>
      <c r="O15" s="6">
        <f>O5*Assumptions!O47</f>
        <v>224.84724114282969</v>
      </c>
      <c r="P15" s="6">
        <f>P5*Assumptions!P47</f>
        <v>257.93611303219058</v>
      </c>
      <c r="Q15" s="6">
        <f>Q5*Assumptions!Q47</f>
        <v>278.93502690274073</v>
      </c>
      <c r="R15" s="6">
        <f>R5*Assumptions!R47</f>
        <v>349.2014034424086</v>
      </c>
      <c r="S15" s="6">
        <f>S5*Assumptions!S47</f>
        <v>362.53125279234303</v>
      </c>
    </row>
    <row r="16" spans="1:19">
      <c r="A16" s="12" t="s">
        <v>52</v>
      </c>
      <c r="F16" s="13">
        <v>485.98</v>
      </c>
      <c r="G16" s="13">
        <v>479.95</v>
      </c>
      <c r="H16" s="13">
        <v>728.88</v>
      </c>
      <c r="I16" s="13">
        <v>952.76</v>
      </c>
      <c r="J16" s="13">
        <v>1135.03</v>
      </c>
      <c r="K16" s="13">
        <v>1106.1199999999999</v>
      </c>
      <c r="L16" s="13">
        <v>1250.19</v>
      </c>
      <c r="M16" s="13">
        <v>1849</v>
      </c>
      <c r="N16" s="13">
        <v>2491.8000000000002</v>
      </c>
      <c r="O16" s="6">
        <f>O5-O6</f>
        <v>2607.8200068986334</v>
      </c>
      <c r="P16" s="6">
        <f t="shared" ref="P16:S16" si="2">P5-P6</f>
        <v>3202.6465747978218</v>
      </c>
      <c r="Q16" s="6">
        <f t="shared" si="2"/>
        <v>3961.4674505837611</v>
      </c>
      <c r="R16" s="6">
        <f t="shared" si="2"/>
        <v>5036.8627774622801</v>
      </c>
      <c r="S16" s="6">
        <f t="shared" si="2"/>
        <v>4979.2633958038496</v>
      </c>
    </row>
    <row r="17" spans="1:19">
      <c r="A17" s="12" t="s">
        <v>53</v>
      </c>
      <c r="F17" s="13">
        <v>11.86</v>
      </c>
      <c r="G17" s="13">
        <v>75.209999999999994</v>
      </c>
      <c r="H17" s="13">
        <v>64.44</v>
      </c>
      <c r="I17" s="13">
        <v>63.78</v>
      </c>
      <c r="J17" s="13">
        <v>92.79</v>
      </c>
      <c r="K17" s="13">
        <v>124.31</v>
      </c>
      <c r="L17" s="13">
        <v>104.93</v>
      </c>
      <c r="M17" s="13">
        <v>136.44</v>
      </c>
      <c r="N17" s="13">
        <v>220.88</v>
      </c>
      <c r="O17" s="6">
        <f>O5*Assumptions!O31</f>
        <v>238.94808812630896</v>
      </c>
      <c r="P17" s="6">
        <f>P5*Assumptions!P31</f>
        <v>299.50478958705429</v>
      </c>
      <c r="Q17" s="6">
        <f>Q5*Assumptions!Q31</f>
        <v>343.53666299562786</v>
      </c>
      <c r="R17" s="6">
        <f>R5*Assumptions!R31</f>
        <v>435.8317208300673</v>
      </c>
      <c r="S17" s="6">
        <f>S5*Assumptions!S31</f>
        <v>445.82943331583385</v>
      </c>
    </row>
    <row r="18" spans="1:19">
      <c r="A18" s="12" t="s">
        <v>54</v>
      </c>
      <c r="E18" s="25"/>
      <c r="F18" s="13">
        <v>9.3699999999999992</v>
      </c>
      <c r="G18" s="13">
        <v>8.73</v>
      </c>
      <c r="H18" s="13">
        <v>10.77</v>
      </c>
      <c r="I18" s="13">
        <v>11.93</v>
      </c>
      <c r="J18" s="13">
        <v>12.85</v>
      </c>
      <c r="K18" s="13">
        <v>12.58</v>
      </c>
      <c r="L18" s="13">
        <v>10.24</v>
      </c>
      <c r="M18" s="13">
        <v>13.11</v>
      </c>
      <c r="N18" s="13">
        <v>13.81</v>
      </c>
      <c r="O18" s="6">
        <f>O16/O5*100</f>
        <v>12.04024362152016</v>
      </c>
      <c r="P18" s="6">
        <f t="shared" ref="P18:S18" si="3">P16/P5*100</f>
        <v>11.908844707838501</v>
      </c>
      <c r="Q18" s="6">
        <f t="shared" si="3"/>
        <v>12.150153510276461</v>
      </c>
      <c r="R18" s="6">
        <f t="shared" si="3"/>
        <v>12.625027927662448</v>
      </c>
      <c r="S18" s="6">
        <f t="shared" si="3"/>
        <v>12.480653575177078</v>
      </c>
    </row>
    <row r="19" spans="1:19">
      <c r="A19" s="12" t="s">
        <v>55</v>
      </c>
      <c r="F19" s="13">
        <v>116.05</v>
      </c>
      <c r="G19" s="13">
        <v>65.95</v>
      </c>
      <c r="H19" s="13">
        <v>93.68</v>
      </c>
      <c r="I19" s="13">
        <v>116.71</v>
      </c>
      <c r="J19" s="13">
        <v>49.53</v>
      </c>
      <c r="K19" s="13">
        <v>42.69</v>
      </c>
      <c r="L19" s="13">
        <v>35.19</v>
      </c>
      <c r="M19" s="13">
        <v>59.76</v>
      </c>
      <c r="N19" s="13">
        <v>108.34</v>
      </c>
      <c r="O19" s="6">
        <f>'Debt Schedule'!O16*'Debt Schedule'!O17</f>
        <v>147.66274841764854</v>
      </c>
      <c r="P19" s="6">
        <f>'Debt Schedule'!P16*'Debt Schedule'!P17</f>
        <v>180.3590967658287</v>
      </c>
      <c r="Q19" s="6">
        <f>'Debt Schedule'!Q16*'Debt Schedule'!Q17</f>
        <v>221.72034775053484</v>
      </c>
      <c r="R19" s="6">
        <f>'Debt Schedule'!R16*'Debt Schedule'!R17</f>
        <v>183.09918120627438</v>
      </c>
      <c r="S19" s="6">
        <f>'Debt Schedule'!S16*'Debt Schedule'!S17</f>
        <v>183.21034353507164</v>
      </c>
    </row>
    <row r="20" spans="1:19">
      <c r="A20" s="12" t="s">
        <v>56</v>
      </c>
      <c r="F20" s="13">
        <v>381.79</v>
      </c>
      <c r="G20" s="13">
        <v>489.21</v>
      </c>
      <c r="H20" s="13">
        <v>699.64</v>
      </c>
      <c r="I20" s="13">
        <v>899.84</v>
      </c>
      <c r="J20" s="13">
        <v>1178.28</v>
      </c>
      <c r="K20" s="13">
        <v>1187.74</v>
      </c>
      <c r="L20" s="13">
        <v>1319.93</v>
      </c>
      <c r="M20" s="13">
        <v>1925.68</v>
      </c>
      <c r="N20" s="13">
        <v>2604.34</v>
      </c>
      <c r="O20" s="6">
        <f>O24+O21</f>
        <v>2460.1572584809851</v>
      </c>
      <c r="P20" s="6">
        <f t="shared" ref="P20:S20" si="4">P24+P21</f>
        <v>3022.287478031993</v>
      </c>
      <c r="Q20" s="6">
        <f t="shared" si="4"/>
        <v>3739.7471028332261</v>
      </c>
      <c r="R20" s="6">
        <f t="shared" si="4"/>
        <v>4853.7635962560053</v>
      </c>
      <c r="S20" s="6">
        <f t="shared" si="4"/>
        <v>4796.0530522687777</v>
      </c>
    </row>
    <row r="21" spans="1:19">
      <c r="A21" s="12" t="s">
        <v>57</v>
      </c>
      <c r="F21" s="13">
        <v>111.12</v>
      </c>
      <c r="G21" s="13">
        <v>127.88</v>
      </c>
      <c r="H21" s="13">
        <v>132.94999999999999</v>
      </c>
      <c r="I21" s="13">
        <v>141.44</v>
      </c>
      <c r="J21" s="13">
        <v>160.88999999999999</v>
      </c>
      <c r="K21" s="13">
        <v>176.17</v>
      </c>
      <c r="L21" s="13">
        <v>201.52</v>
      </c>
      <c r="M21" s="13">
        <v>209.16</v>
      </c>
      <c r="N21" s="13">
        <v>245.04</v>
      </c>
      <c r="O21" s="6">
        <f>N21/'Balance Sheet'!N5*'Balance Sheet'!O5</f>
        <v>270.58997006330873</v>
      </c>
      <c r="P21" s="6">
        <f>O21/'Balance Sheet'!O5*'Balance Sheet'!P5</f>
        <v>297.50218652358126</v>
      </c>
      <c r="Q21" s="6">
        <f>P21/'Balance Sheet'!P5*'Balance Sheet'!Q5</f>
        <v>321.34544023295001</v>
      </c>
      <c r="R21" s="6">
        <f>Q21/'Balance Sheet'!Q5*'Balance Sheet'!R5</f>
        <v>349.95734468419244</v>
      </c>
      <c r="S21" s="6">
        <f>R21/'Balance Sheet'!R5*'Balance Sheet'!S5</f>
        <v>376.5680470454285</v>
      </c>
    </row>
    <row r="22" spans="1:19">
      <c r="A22" s="12" t="s">
        <v>38</v>
      </c>
      <c r="F22" s="13">
        <v>270.67</v>
      </c>
      <c r="G22" s="13">
        <v>361.33</v>
      </c>
      <c r="H22" s="13">
        <v>566.67999999999995</v>
      </c>
      <c r="I22" s="13">
        <v>758.39</v>
      </c>
      <c r="J22" s="13">
        <v>1017.4</v>
      </c>
      <c r="K22" s="13">
        <v>1011.58</v>
      </c>
      <c r="L22" s="13">
        <v>1118.4100000000001</v>
      </c>
      <c r="M22" s="13">
        <v>1716.52</v>
      </c>
      <c r="N22" s="13">
        <v>2359.3000000000002</v>
      </c>
      <c r="O22" s="6">
        <f>O24+O23</f>
        <v>2189.5672884176765</v>
      </c>
      <c r="P22" s="6">
        <f t="shared" ref="P22:S22" si="5">P24+P23</f>
        <v>2724.7852915084118</v>
      </c>
      <c r="Q22" s="6">
        <f t="shared" si="5"/>
        <v>3418.4016626002763</v>
      </c>
      <c r="R22" s="6">
        <f t="shared" si="5"/>
        <v>4503.8062515718129</v>
      </c>
      <c r="S22" s="6">
        <f t="shared" si="5"/>
        <v>4419.4850052233496</v>
      </c>
    </row>
    <row r="23" spans="1:19">
      <c r="A23" s="12" t="s">
        <v>58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9.7200000000000006</v>
      </c>
      <c r="L23" s="13">
        <v>0</v>
      </c>
      <c r="M23" s="13">
        <v>0</v>
      </c>
      <c r="N23" s="13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</row>
    <row r="24" spans="1:19">
      <c r="A24" s="12" t="s">
        <v>59</v>
      </c>
      <c r="F24" s="13">
        <v>270.67</v>
      </c>
      <c r="G24" s="13">
        <v>361</v>
      </c>
      <c r="H24" s="13">
        <v>566.79</v>
      </c>
      <c r="I24" s="13">
        <v>756.06</v>
      </c>
      <c r="J24" s="13">
        <v>1009.99</v>
      </c>
      <c r="K24" s="13">
        <v>1012.15</v>
      </c>
      <c r="L24" s="13">
        <v>1115.8599999999999</v>
      </c>
      <c r="M24" s="13">
        <v>1707.26</v>
      </c>
      <c r="N24" s="13">
        <v>2359.3000000000002</v>
      </c>
      <c r="O24" s="6">
        <f>O16-O21-O19</f>
        <v>2189.5672884176765</v>
      </c>
      <c r="P24" s="6">
        <f t="shared" ref="P24:S24" si="6">P16-P21-P19</f>
        <v>2724.7852915084118</v>
      </c>
      <c r="Q24" s="6">
        <f t="shared" si="6"/>
        <v>3418.4016626002763</v>
      </c>
      <c r="R24" s="6">
        <f t="shared" si="6"/>
        <v>4503.8062515718129</v>
      </c>
      <c r="S24" s="6">
        <f t="shared" si="6"/>
        <v>4419.4850052233496</v>
      </c>
    </row>
    <row r="25" spans="1:19">
      <c r="A25" s="12" t="s">
        <v>60</v>
      </c>
      <c r="F25" s="13">
        <v>82.71</v>
      </c>
      <c r="G25" s="13">
        <v>128.25</v>
      </c>
      <c r="H25" s="13">
        <v>208.23</v>
      </c>
      <c r="I25" s="13">
        <v>255.76</v>
      </c>
      <c r="J25" s="13">
        <v>244.37</v>
      </c>
      <c r="K25" s="13">
        <v>170.34</v>
      </c>
      <c r="L25" s="13">
        <v>270.63</v>
      </c>
      <c r="M25" s="13">
        <v>424.17</v>
      </c>
      <c r="N25" s="13">
        <v>556.38</v>
      </c>
      <c r="O25" s="6">
        <f>O5*Assumptions!O41</f>
        <v>563.71876986127154</v>
      </c>
      <c r="P25" s="6">
        <f>P5*Assumptions!P41</f>
        <v>691.07204757165493</v>
      </c>
      <c r="Q25" s="6">
        <f>Q5*Assumptions!Q41</f>
        <v>879.06698418346082</v>
      </c>
      <c r="R25" s="6">
        <f>R5*Assumptions!R41</f>
        <v>1113.8474605402193</v>
      </c>
      <c r="S25" s="6">
        <f>S5*Assumptions!S41</f>
        <v>1096.7120970354638</v>
      </c>
    </row>
    <row r="26" spans="1:19">
      <c r="A26" s="14"/>
      <c r="B26" s="14" t="s">
        <v>61</v>
      </c>
      <c r="F26" s="13">
        <v>77.5</v>
      </c>
      <c r="G26" s="13">
        <v>83.56</v>
      </c>
      <c r="H26" s="13">
        <v>217.6</v>
      </c>
      <c r="I26" s="13">
        <v>295.11</v>
      </c>
      <c r="J26" s="13">
        <v>248</v>
      </c>
      <c r="K26" s="13">
        <v>256.86</v>
      </c>
      <c r="L26" s="13">
        <v>282.99</v>
      </c>
      <c r="M26" s="13">
        <v>406.05</v>
      </c>
      <c r="N26" s="13">
        <v>551.91999999999996</v>
      </c>
    </row>
    <row r="27" spans="1:19">
      <c r="A27" s="14"/>
      <c r="B27" s="14" t="s">
        <v>62</v>
      </c>
      <c r="F27" s="13">
        <v>5.21</v>
      </c>
      <c r="G27" s="13">
        <v>44.69</v>
      </c>
      <c r="H27" s="13">
        <v>-32.06</v>
      </c>
      <c r="I27" s="13">
        <v>-32</v>
      </c>
      <c r="J27" s="13">
        <v>-1.7</v>
      </c>
      <c r="K27" s="13">
        <v>4.28</v>
      </c>
      <c r="L27" s="13">
        <v>-6.6</v>
      </c>
      <c r="M27" s="13">
        <v>18.23</v>
      </c>
      <c r="N27" s="13">
        <v>-0.35</v>
      </c>
    </row>
    <row r="28" spans="1:19">
      <c r="A28" s="14"/>
      <c r="B28" s="14" t="s">
        <v>63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</row>
    <row r="29" spans="1:19">
      <c r="A29" s="12" t="s">
        <v>64</v>
      </c>
      <c r="F29" s="13">
        <v>187.96</v>
      </c>
      <c r="G29" s="13">
        <v>232.75</v>
      </c>
      <c r="H29" s="13">
        <v>358.56</v>
      </c>
      <c r="I29" s="13">
        <v>500.31</v>
      </c>
      <c r="J29" s="13">
        <v>765.62</v>
      </c>
      <c r="K29" s="13">
        <v>841.81</v>
      </c>
      <c r="L29" s="13">
        <v>845.23</v>
      </c>
      <c r="M29" s="13">
        <v>1283.0899999999999</v>
      </c>
      <c r="N29" s="13">
        <v>1802.92</v>
      </c>
      <c r="O29" s="6">
        <f>O24-O25</f>
        <v>1625.848518556405</v>
      </c>
      <c r="P29" s="6">
        <f t="shared" ref="P29:S29" si="7">P24-P25</f>
        <v>2033.713243936757</v>
      </c>
      <c r="Q29" s="6">
        <f t="shared" si="7"/>
        <v>2539.3346784168152</v>
      </c>
      <c r="R29" s="6">
        <f t="shared" si="7"/>
        <v>3389.9587910315936</v>
      </c>
      <c r="S29" s="6">
        <f t="shared" si="7"/>
        <v>3322.7729081878861</v>
      </c>
    </row>
    <row r="30" spans="1:19">
      <c r="A30" s="12" t="s">
        <v>65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44.1</v>
      </c>
      <c r="L30" s="13">
        <v>72.05</v>
      </c>
      <c r="M30" s="13">
        <v>0</v>
      </c>
      <c r="N30" s="13">
        <v>0</v>
      </c>
    </row>
    <row r="31" spans="1:19">
      <c r="A31" s="12" t="s">
        <v>66</v>
      </c>
      <c r="F31" s="13">
        <v>0</v>
      </c>
      <c r="G31" s="13">
        <v>-0.25</v>
      </c>
      <c r="H31" s="13">
        <v>-0.55000000000000004</v>
      </c>
      <c r="I31" s="13">
        <v>-0.6</v>
      </c>
      <c r="J31" s="13">
        <v>-6.56</v>
      </c>
      <c r="K31" s="13">
        <v>-3.82</v>
      </c>
      <c r="L31" s="13">
        <v>-8.7100000000000009</v>
      </c>
      <c r="M31" s="13">
        <v>-12.3</v>
      </c>
      <c r="N31" s="13">
        <v>-18.87</v>
      </c>
    </row>
    <row r="32" spans="1:19">
      <c r="A32" s="12" t="s">
        <v>67</v>
      </c>
      <c r="F32" s="13">
        <v>0</v>
      </c>
      <c r="G32" s="13">
        <v>-0.33</v>
      </c>
      <c r="H32" s="13">
        <v>0.1</v>
      </c>
      <c r="I32" s="13">
        <v>-2.33</v>
      </c>
      <c r="J32" s="13">
        <v>-7.41</v>
      </c>
      <c r="K32" s="13">
        <v>0.57999999999999996</v>
      </c>
      <c r="L32" s="13">
        <v>-2.56</v>
      </c>
      <c r="M32" s="13">
        <v>0</v>
      </c>
      <c r="N32" s="13">
        <v>0</v>
      </c>
    </row>
    <row r="33" spans="1:19">
      <c r="A33" s="12" t="s">
        <v>68</v>
      </c>
      <c r="F33" s="13">
        <v>187.96</v>
      </c>
      <c r="G33" s="13">
        <v>232.49</v>
      </c>
      <c r="H33" s="13">
        <v>358.01</v>
      </c>
      <c r="I33" s="13">
        <v>499.7</v>
      </c>
      <c r="J33" s="13">
        <v>759.06</v>
      </c>
      <c r="K33" s="13">
        <v>882.09</v>
      </c>
      <c r="L33" s="13">
        <v>908.58</v>
      </c>
      <c r="M33" s="13">
        <v>1270.78</v>
      </c>
      <c r="N33" s="13">
        <v>1784.05</v>
      </c>
      <c r="O33" s="16">
        <f>0.99*O29</f>
        <v>1609.590033370841</v>
      </c>
      <c r="P33" s="16">
        <f t="shared" ref="P33:S33" si="8">0.99*P29</f>
        <v>2013.3761114973893</v>
      </c>
      <c r="Q33" s="16">
        <f t="shared" si="8"/>
        <v>2513.9413316326472</v>
      </c>
      <c r="R33" s="16">
        <f t="shared" si="8"/>
        <v>3356.0592031212777</v>
      </c>
      <c r="S33" s="16">
        <f t="shared" si="8"/>
        <v>3289.5451791060073</v>
      </c>
    </row>
    <row r="34" spans="1:19">
      <c r="A34" s="12" t="s">
        <v>69</v>
      </c>
      <c r="F34" s="13">
        <v>0</v>
      </c>
      <c r="G34" s="13">
        <v>0</v>
      </c>
      <c r="H34" s="13">
        <v>0</v>
      </c>
      <c r="I34" s="13">
        <v>0</v>
      </c>
      <c r="J34" s="13">
        <v>14.89</v>
      </c>
      <c r="K34" s="13">
        <v>14.91</v>
      </c>
      <c r="L34" s="13">
        <v>14.94</v>
      </c>
      <c r="M34" s="13">
        <v>14.98</v>
      </c>
      <c r="N34" s="13">
        <v>15.02</v>
      </c>
    </row>
    <row r="35" spans="1:19">
      <c r="A35" s="12" t="s">
        <v>70</v>
      </c>
      <c r="F35" s="13">
        <v>13.15</v>
      </c>
      <c r="G35" s="13">
        <v>6.07</v>
      </c>
      <c r="H35" s="13">
        <v>3.94</v>
      </c>
      <c r="I35" s="13">
        <v>8.48</v>
      </c>
      <c r="J35" s="13">
        <v>13.73</v>
      </c>
      <c r="K35" s="13">
        <v>16.91</v>
      </c>
      <c r="L35" s="13">
        <v>23.03</v>
      </c>
      <c r="M35" s="13">
        <v>23.57</v>
      </c>
      <c r="N35" s="13">
        <v>25.26</v>
      </c>
      <c r="O35" s="6">
        <f>O36/O29*100</f>
        <v>18.862429348547025</v>
      </c>
      <c r="P35" s="6">
        <f t="shared" ref="P35:S35" si="9">P36/P29*100</f>
        <v>21.062987943167975</v>
      </c>
      <c r="Q35" s="6">
        <f t="shared" si="9"/>
        <v>21.484671332831812</v>
      </c>
      <c r="R35" s="6">
        <f t="shared" si="9"/>
        <v>19.820520391706321</v>
      </c>
      <c r="S35" s="6">
        <f t="shared" si="9"/>
        <v>20.435249804732287</v>
      </c>
    </row>
    <row r="36" spans="1:19">
      <c r="A36" s="12" t="s">
        <v>161</v>
      </c>
      <c r="F36" s="15">
        <f>F35*F29/100</f>
        <v>24.716740000000001</v>
      </c>
      <c r="G36" s="15">
        <f t="shared" ref="G36:N36" si="10">G35*G29/100</f>
        <v>14.127924999999999</v>
      </c>
      <c r="H36" s="15">
        <f t="shared" si="10"/>
        <v>14.127264</v>
      </c>
      <c r="I36" s="15">
        <f t="shared" si="10"/>
        <v>42.426288000000007</v>
      </c>
      <c r="J36" s="15">
        <f t="shared" si="10"/>
        <v>105.11962600000001</v>
      </c>
      <c r="K36" s="15">
        <f t="shared" si="10"/>
        <v>142.35007099999999</v>
      </c>
      <c r="L36" s="15">
        <f t="shared" si="10"/>
        <v>194.65646899999999</v>
      </c>
      <c r="M36" s="15">
        <f t="shared" si="10"/>
        <v>302.42431299999998</v>
      </c>
      <c r="N36" s="15">
        <f t="shared" si="10"/>
        <v>455.41759200000007</v>
      </c>
      <c r="O36" s="6">
        <f>O5*Assumptions!O49</f>
        <v>306.67452812710036</v>
      </c>
      <c r="P36" s="6">
        <f>P5*Assumptions!P49</f>
        <v>428.36077536900945</v>
      </c>
      <c r="Q36" s="6">
        <f>Q5*Assumptions!Q49</f>
        <v>545.56770969847435</v>
      </c>
      <c r="R36" s="6">
        <f>R5*Assumptions!R49</f>
        <v>671.90747344685803</v>
      </c>
      <c r="S36" s="6">
        <f>S5*Assumptions!S49</f>
        <v>679.01694423216225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D1CF-E2D1-EB4E-A344-CFB1FF03B692}">
  <dimension ref="A1:S127"/>
  <sheetViews>
    <sheetView showGridLines="0" tabSelected="1" zoomScale="110" zoomScaleNormal="110" workbookViewId="0">
      <pane xSplit="3" ySplit="2" topLeftCell="F3" activePane="bottomRight" state="frozen"/>
      <selection activeCell="C27" sqref="C27"/>
      <selection pane="topRight" activeCell="C27" sqref="C27"/>
      <selection pane="bottomLeft" activeCell="C27" sqref="C27"/>
      <selection pane="bottomRight" activeCell="N12" sqref="N12"/>
    </sheetView>
  </sheetViews>
  <sheetFormatPr baseColWidth="10" defaultRowHeight="16"/>
  <cols>
    <col min="1" max="1" width="5" style="27" customWidth="1"/>
    <col min="2" max="2" width="4.6640625" style="27" customWidth="1"/>
    <col min="3" max="3" width="36.83203125" style="27" customWidth="1"/>
    <col min="4" max="4" width="6" style="27" customWidth="1"/>
    <col min="5" max="5" width="14.1640625" style="27" customWidth="1"/>
    <col min="6" max="16384" width="10.83203125" style="27"/>
  </cols>
  <sheetData>
    <row r="1" spans="1:19" ht="19">
      <c r="A1" s="26" t="s">
        <v>89</v>
      </c>
      <c r="I1" s="28" t="s">
        <v>150</v>
      </c>
    </row>
    <row r="2" spans="1:19">
      <c r="A2" s="28" t="s">
        <v>1</v>
      </c>
      <c r="E2" s="29" t="s">
        <v>135</v>
      </c>
      <c r="F2" s="29" t="s">
        <v>136</v>
      </c>
      <c r="G2" s="29" t="s">
        <v>137</v>
      </c>
      <c r="H2" s="29" t="s">
        <v>138</v>
      </c>
      <c r="I2" s="29" t="s">
        <v>139</v>
      </c>
      <c r="J2" s="29" t="s">
        <v>140</v>
      </c>
      <c r="K2" s="29" t="s">
        <v>141</v>
      </c>
      <c r="L2" s="29" t="s">
        <v>142</v>
      </c>
      <c r="M2" s="29" t="s">
        <v>143</v>
      </c>
      <c r="N2" s="29" t="s">
        <v>144</v>
      </c>
      <c r="O2" s="29" t="s">
        <v>145</v>
      </c>
      <c r="P2" s="29" t="s">
        <v>146</v>
      </c>
      <c r="Q2" s="29" t="s">
        <v>147</v>
      </c>
      <c r="R2" s="29" t="s">
        <v>148</v>
      </c>
      <c r="S2" s="29" t="s">
        <v>149</v>
      </c>
    </row>
    <row r="3" spans="1:19">
      <c r="A3" s="32" t="s">
        <v>90</v>
      </c>
      <c r="E3" s="13">
        <v>150.15</v>
      </c>
      <c r="F3" s="13">
        <v>189.54</v>
      </c>
      <c r="G3" s="13">
        <v>296.39999999999998</v>
      </c>
      <c r="H3" s="13">
        <v>362.44</v>
      </c>
      <c r="I3" s="13">
        <v>1229.96</v>
      </c>
      <c r="J3" s="13">
        <v>244.34</v>
      </c>
      <c r="K3" s="13">
        <v>1252.42</v>
      </c>
      <c r="L3" s="13">
        <v>511.61</v>
      </c>
      <c r="M3" s="13">
        <v>1427.52</v>
      </c>
      <c r="N3" s="13">
        <v>1296.24</v>
      </c>
    </row>
    <row r="4" spans="1:19">
      <c r="B4" s="27" t="s">
        <v>59</v>
      </c>
      <c r="E4" s="13">
        <v>245.19</v>
      </c>
      <c r="F4" s="13">
        <v>270.67</v>
      </c>
      <c r="G4" s="13">
        <v>361</v>
      </c>
      <c r="H4" s="13">
        <v>566.79</v>
      </c>
      <c r="I4" s="13">
        <v>756.06</v>
      </c>
      <c r="J4" s="13">
        <v>1009.99</v>
      </c>
      <c r="K4" s="13">
        <v>1064.97</v>
      </c>
      <c r="L4" s="13">
        <v>1211.18</v>
      </c>
      <c r="M4" s="13">
        <v>1707.26</v>
      </c>
      <c r="N4" s="13">
        <v>2359.3000000000002</v>
      </c>
    </row>
    <row r="5" spans="1:19">
      <c r="B5" s="27" t="s">
        <v>91</v>
      </c>
      <c r="E5" s="13">
        <v>240.63</v>
      </c>
      <c r="F5" s="13">
        <v>250.42</v>
      </c>
      <c r="G5" s="13">
        <v>209.6</v>
      </c>
      <c r="H5" s="13">
        <v>277.42</v>
      </c>
      <c r="I5" s="13">
        <v>349.93</v>
      </c>
      <c r="J5" s="13">
        <v>157.97999999999999</v>
      </c>
      <c r="K5" s="13">
        <v>168.35</v>
      </c>
      <c r="L5" s="13">
        <v>131.79</v>
      </c>
      <c r="M5" s="13">
        <v>182.43</v>
      </c>
      <c r="N5" s="13">
        <v>320.25</v>
      </c>
      <c r="O5" s="31"/>
      <c r="P5" s="31"/>
      <c r="Q5" s="31"/>
      <c r="R5" s="31"/>
      <c r="S5" s="31"/>
    </row>
    <row r="6" spans="1:19">
      <c r="B6" s="27" t="s">
        <v>92</v>
      </c>
      <c r="E6" s="13">
        <v>485.82</v>
      </c>
      <c r="F6" s="13">
        <v>521.09</v>
      </c>
      <c r="G6" s="13">
        <v>570.6</v>
      </c>
      <c r="H6" s="13">
        <v>844.21</v>
      </c>
      <c r="I6" s="13">
        <v>1105.99</v>
      </c>
      <c r="J6" s="13">
        <v>1167.97</v>
      </c>
      <c r="K6" s="13">
        <v>1233.32</v>
      </c>
      <c r="L6" s="13">
        <v>1342.98</v>
      </c>
      <c r="M6" s="13">
        <v>1889.68</v>
      </c>
      <c r="N6" s="13">
        <v>2679.55</v>
      </c>
      <c r="O6" s="31"/>
      <c r="P6" s="31"/>
      <c r="Q6" s="31"/>
      <c r="R6" s="31"/>
      <c r="S6" s="31"/>
    </row>
    <row r="7" spans="1:19">
      <c r="B7" s="27" t="s">
        <v>93</v>
      </c>
      <c r="E7" s="13">
        <v>-275.91000000000003</v>
      </c>
      <c r="F7" s="13">
        <v>-212.77</v>
      </c>
      <c r="G7" s="13">
        <v>-172.62</v>
      </c>
      <c r="H7" s="13">
        <v>-341.84</v>
      </c>
      <c r="I7" s="13">
        <v>305.32</v>
      </c>
      <c r="J7" s="13">
        <v>-622.41</v>
      </c>
      <c r="K7" s="13">
        <v>259.98</v>
      </c>
      <c r="L7" s="13">
        <v>-497.41</v>
      </c>
      <c r="M7" s="13">
        <v>-91.73</v>
      </c>
      <c r="N7" s="13">
        <v>-808.99</v>
      </c>
    </row>
    <row r="8" spans="1:19">
      <c r="B8" s="27" t="s">
        <v>94</v>
      </c>
      <c r="E8" s="13">
        <v>-59.76</v>
      </c>
      <c r="F8" s="13">
        <v>-118.78</v>
      </c>
      <c r="G8" s="13">
        <v>-101.57</v>
      </c>
      <c r="H8" s="13">
        <v>-139.93</v>
      </c>
      <c r="I8" s="13">
        <v>-181.36</v>
      </c>
      <c r="J8" s="13">
        <v>-301.22000000000003</v>
      </c>
      <c r="K8" s="13">
        <v>-240.88</v>
      </c>
      <c r="L8" s="13">
        <v>-333.96</v>
      </c>
      <c r="M8" s="13">
        <v>-370.43</v>
      </c>
      <c r="N8" s="13">
        <v>-574.32000000000005</v>
      </c>
    </row>
    <row r="9" spans="1:19">
      <c r="A9" s="32" t="s">
        <v>95</v>
      </c>
      <c r="E9" s="13">
        <v>-172.83</v>
      </c>
      <c r="F9" s="13">
        <v>-254.32</v>
      </c>
      <c r="G9" s="13">
        <v>-289.76</v>
      </c>
      <c r="H9" s="13">
        <v>-187.83</v>
      </c>
      <c r="I9" s="13">
        <v>-407.73</v>
      </c>
      <c r="J9" s="13">
        <v>-262.25</v>
      </c>
      <c r="K9" s="13">
        <v>-1012.09</v>
      </c>
      <c r="L9" s="13">
        <v>-426.95</v>
      </c>
      <c r="M9" s="13">
        <v>-1202.6500000000001</v>
      </c>
      <c r="N9" s="13">
        <v>-751.88</v>
      </c>
      <c r="O9" s="31"/>
      <c r="P9" s="31"/>
      <c r="Q9" s="31"/>
      <c r="R9" s="31"/>
      <c r="S9" s="31"/>
    </row>
    <row r="10" spans="1:19">
      <c r="B10" s="32" t="s">
        <v>96</v>
      </c>
      <c r="E10" s="13">
        <v>-202.53</v>
      </c>
      <c r="F10" s="13">
        <v>-246.37</v>
      </c>
      <c r="G10" s="13">
        <v>-278</v>
      </c>
      <c r="H10" s="13">
        <v>-183.28</v>
      </c>
      <c r="I10" s="13">
        <v>-281.35000000000002</v>
      </c>
      <c r="J10" s="13">
        <v>-289.08999999999997</v>
      </c>
      <c r="K10" s="13">
        <v>-191.09</v>
      </c>
      <c r="L10" s="13">
        <v>-520</v>
      </c>
      <c r="M10" s="13">
        <v>-458.42</v>
      </c>
      <c r="N10" s="13">
        <v>-857.97</v>
      </c>
      <c r="O10" s="31"/>
      <c r="P10" s="31"/>
      <c r="Q10" s="31"/>
      <c r="R10" s="31"/>
      <c r="S10" s="31"/>
    </row>
    <row r="11" spans="1:19">
      <c r="C11" s="27" t="s">
        <v>97</v>
      </c>
      <c r="E11" s="13">
        <v>-203.63</v>
      </c>
      <c r="F11" s="13">
        <v>-249.29</v>
      </c>
      <c r="G11" s="13">
        <v>-279.18</v>
      </c>
      <c r="H11" s="13">
        <v>-198.84</v>
      </c>
      <c r="I11" s="13">
        <v>-286.07</v>
      </c>
      <c r="J11" s="13">
        <v>-290.13</v>
      </c>
      <c r="K11" s="13">
        <v>-193.49</v>
      </c>
      <c r="L11" s="13">
        <v>-526.69000000000005</v>
      </c>
      <c r="M11" s="13">
        <v>-479.45</v>
      </c>
      <c r="N11" s="13">
        <v>-858.52</v>
      </c>
      <c r="O11" s="31"/>
      <c r="P11" s="31"/>
      <c r="Q11" s="31"/>
      <c r="R11" s="31"/>
      <c r="S11" s="31"/>
    </row>
    <row r="12" spans="1:19">
      <c r="C12" s="27" t="s">
        <v>98</v>
      </c>
      <c r="E12" s="13">
        <v>1.1000000000000001</v>
      </c>
      <c r="F12" s="13">
        <v>2.92</v>
      </c>
      <c r="G12" s="13">
        <v>1.18</v>
      </c>
      <c r="H12" s="13">
        <v>15.56</v>
      </c>
      <c r="I12" s="13">
        <v>4.71</v>
      </c>
      <c r="J12" s="13">
        <v>1.04</v>
      </c>
      <c r="K12" s="13">
        <v>2.4</v>
      </c>
      <c r="L12" s="13">
        <v>6.69</v>
      </c>
      <c r="M12" s="13">
        <v>21.04</v>
      </c>
      <c r="N12" s="13">
        <v>0.55000000000000004</v>
      </c>
      <c r="O12" s="31"/>
      <c r="P12" s="31"/>
      <c r="Q12" s="31"/>
      <c r="R12" s="31"/>
      <c r="S12" s="31"/>
    </row>
    <row r="13" spans="1:19">
      <c r="B13" s="27" t="s">
        <v>99</v>
      </c>
      <c r="E13" s="13">
        <v>0</v>
      </c>
      <c r="F13" s="13">
        <v>-11.03</v>
      </c>
      <c r="G13" s="13">
        <v>0</v>
      </c>
      <c r="H13" s="13">
        <v>0</v>
      </c>
      <c r="I13" s="13">
        <v>-195.72</v>
      </c>
      <c r="J13" s="13">
        <v>-29620.7</v>
      </c>
      <c r="K13" s="13">
        <v>-8357.4</v>
      </c>
      <c r="L13" s="13">
        <v>-9686.91</v>
      </c>
      <c r="M13" s="13">
        <v>-10140.93</v>
      </c>
      <c r="N13" s="13">
        <v>-13023.86</v>
      </c>
      <c r="O13" s="31"/>
      <c r="P13" s="31"/>
      <c r="Q13" s="31"/>
      <c r="R13" s="31"/>
      <c r="S13" s="31"/>
    </row>
    <row r="14" spans="1:19">
      <c r="B14" s="27" t="s">
        <v>100</v>
      </c>
      <c r="E14" s="13">
        <v>0</v>
      </c>
      <c r="F14" s="13">
        <v>0</v>
      </c>
      <c r="G14" s="13">
        <v>11.22</v>
      </c>
      <c r="H14" s="13">
        <v>5.88</v>
      </c>
      <c r="I14" s="13">
        <v>60.12</v>
      </c>
      <c r="J14" s="13">
        <v>29622.98</v>
      </c>
      <c r="K14" s="13">
        <v>7550.31</v>
      </c>
      <c r="L14" s="13">
        <v>9610.67</v>
      </c>
      <c r="M14" s="13">
        <v>9374.39</v>
      </c>
      <c r="N14" s="13">
        <v>13085.5</v>
      </c>
      <c r="O14" s="31"/>
      <c r="P14" s="31"/>
      <c r="Q14" s="31"/>
      <c r="R14" s="31"/>
      <c r="S14" s="31"/>
    </row>
    <row r="15" spans="1:19">
      <c r="B15" s="27" t="s">
        <v>101</v>
      </c>
      <c r="E15" s="13">
        <v>1.49</v>
      </c>
      <c r="F15" s="13">
        <v>3.19</v>
      </c>
      <c r="G15" s="13">
        <v>4.1900000000000004</v>
      </c>
      <c r="H15" s="13">
        <v>3.05</v>
      </c>
      <c r="I15" s="13">
        <v>11.79</v>
      </c>
      <c r="J15" s="13">
        <v>24.34</v>
      </c>
      <c r="K15" s="13">
        <v>18.13</v>
      </c>
      <c r="L15" s="13">
        <v>23.22</v>
      </c>
      <c r="M15" s="13">
        <v>19.98</v>
      </c>
      <c r="N15" s="13">
        <v>44.74</v>
      </c>
      <c r="O15" s="31"/>
      <c r="P15" s="31"/>
      <c r="Q15" s="31"/>
      <c r="R15" s="31"/>
      <c r="S15" s="31"/>
    </row>
    <row r="16" spans="1:19">
      <c r="B16" s="27" t="s">
        <v>102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31"/>
      <c r="P16" s="31"/>
      <c r="Q16" s="31"/>
      <c r="R16" s="31"/>
      <c r="S16" s="31"/>
    </row>
    <row r="17" spans="1:19">
      <c r="B17" s="27" t="s">
        <v>103</v>
      </c>
      <c r="E17" s="13">
        <v>0</v>
      </c>
      <c r="F17" s="13">
        <v>0</v>
      </c>
      <c r="G17" s="13">
        <v>-26.66</v>
      </c>
      <c r="H17" s="13">
        <v>0</v>
      </c>
      <c r="I17" s="13">
        <v>0</v>
      </c>
      <c r="J17" s="13">
        <v>0</v>
      </c>
      <c r="K17" s="13">
        <v>-30.38</v>
      </c>
      <c r="L17" s="13">
        <v>-11.71</v>
      </c>
      <c r="M17" s="13">
        <v>0</v>
      </c>
      <c r="N17" s="13">
        <v>0</v>
      </c>
      <c r="O17" s="30"/>
      <c r="P17" s="30"/>
      <c r="Q17" s="30"/>
      <c r="R17" s="30"/>
      <c r="S17" s="30"/>
    </row>
    <row r="18" spans="1:19">
      <c r="A18" s="32" t="s">
        <v>104</v>
      </c>
      <c r="E18" s="13">
        <v>14.59</v>
      </c>
      <c r="F18" s="13">
        <v>76.790000000000006</v>
      </c>
      <c r="G18" s="13">
        <v>-9.84</v>
      </c>
      <c r="H18" s="13">
        <v>-189.82</v>
      </c>
      <c r="I18" s="13">
        <v>-651.4</v>
      </c>
      <c r="J18" s="13">
        <v>11.01</v>
      </c>
      <c r="K18" s="13">
        <v>-174.77</v>
      </c>
      <c r="L18" s="13">
        <v>-200.69</v>
      </c>
      <c r="M18" s="13">
        <v>-227.07</v>
      </c>
      <c r="N18" s="13">
        <v>-387.41</v>
      </c>
      <c r="O18" s="31"/>
      <c r="P18" s="31"/>
      <c r="Q18" s="31"/>
      <c r="R18" s="31"/>
      <c r="S18" s="31"/>
    </row>
    <row r="19" spans="1:19">
      <c r="B19" s="27" t="s">
        <v>105</v>
      </c>
      <c r="E19" s="13">
        <v>0.01</v>
      </c>
      <c r="F19" s="13">
        <v>2.89</v>
      </c>
      <c r="G19" s="13">
        <v>0</v>
      </c>
      <c r="H19" s="13">
        <v>0</v>
      </c>
      <c r="I19" s="13">
        <v>3.77</v>
      </c>
      <c r="J19" s="13">
        <v>400</v>
      </c>
      <c r="K19" s="13">
        <v>0</v>
      </c>
      <c r="L19" s="13">
        <v>0</v>
      </c>
      <c r="M19" s="13">
        <v>0</v>
      </c>
      <c r="N19" s="13">
        <v>0</v>
      </c>
      <c r="O19" s="30"/>
      <c r="P19" s="30"/>
      <c r="Q19" s="30"/>
      <c r="R19" s="30"/>
      <c r="S19" s="30"/>
    </row>
    <row r="20" spans="1:19">
      <c r="B20" s="32" t="s">
        <v>106</v>
      </c>
      <c r="E20" s="13">
        <v>134.25</v>
      </c>
      <c r="F20" s="13">
        <v>217.48</v>
      </c>
      <c r="G20" s="13">
        <v>99.71</v>
      </c>
      <c r="H20" s="13">
        <v>34.299999999999997</v>
      </c>
      <c r="I20" s="13">
        <v>-69.98</v>
      </c>
      <c r="J20" s="13">
        <v>-123.97</v>
      </c>
      <c r="K20" s="13">
        <v>-83.28</v>
      </c>
      <c r="L20" s="13">
        <v>-14.11</v>
      </c>
      <c r="M20" s="13">
        <v>0.26</v>
      </c>
      <c r="N20" s="13">
        <v>20.54</v>
      </c>
      <c r="O20" s="30"/>
      <c r="P20" s="30"/>
      <c r="Q20" s="30"/>
      <c r="R20" s="30"/>
      <c r="S20" s="30"/>
    </row>
    <row r="21" spans="1:19">
      <c r="C21" s="27" t="s">
        <v>107</v>
      </c>
      <c r="E21" s="13">
        <v>1316.01</v>
      </c>
      <c r="F21" s="13">
        <v>217.48</v>
      </c>
      <c r="G21" s="13">
        <v>99.71</v>
      </c>
      <c r="H21" s="13">
        <v>34.299999999999997</v>
      </c>
      <c r="I21" s="13">
        <v>0</v>
      </c>
      <c r="J21" s="13">
        <v>0</v>
      </c>
      <c r="K21" s="13">
        <v>3.35</v>
      </c>
      <c r="L21" s="13">
        <v>0</v>
      </c>
      <c r="M21" s="13">
        <v>4.01</v>
      </c>
      <c r="N21" s="13">
        <v>23.18</v>
      </c>
      <c r="O21" s="31"/>
      <c r="P21" s="31"/>
      <c r="Q21" s="31"/>
      <c r="R21" s="31"/>
      <c r="S21" s="31"/>
    </row>
    <row r="22" spans="1:19">
      <c r="C22" s="27" t="s">
        <v>108</v>
      </c>
      <c r="E22" s="13">
        <v>-1181.76</v>
      </c>
      <c r="F22" s="13">
        <v>0</v>
      </c>
      <c r="G22" s="13">
        <v>0</v>
      </c>
      <c r="H22" s="13">
        <v>0</v>
      </c>
      <c r="I22" s="13">
        <v>-69.98</v>
      </c>
      <c r="J22" s="13">
        <v>-123.97</v>
      </c>
      <c r="K22" s="13">
        <v>-86.62</v>
      </c>
      <c r="L22" s="13">
        <v>-14.11</v>
      </c>
      <c r="M22" s="13">
        <v>-3.75</v>
      </c>
      <c r="N22" s="13">
        <v>-2.64</v>
      </c>
      <c r="O22" s="31"/>
      <c r="P22" s="31"/>
      <c r="Q22" s="31"/>
      <c r="R22" s="31"/>
      <c r="S22" s="31"/>
    </row>
    <row r="23" spans="1:19">
      <c r="B23" s="27" t="s">
        <v>109</v>
      </c>
      <c r="E23" s="13">
        <v>-103.15</v>
      </c>
      <c r="F23" s="13">
        <v>-117.43</v>
      </c>
      <c r="G23" s="13">
        <v>-67.03</v>
      </c>
      <c r="H23" s="13">
        <v>-94.36</v>
      </c>
      <c r="I23" s="13">
        <v>-78.14</v>
      </c>
      <c r="J23" s="13">
        <v>-43.3</v>
      </c>
      <c r="K23" s="13">
        <v>-46.3</v>
      </c>
      <c r="L23" s="13">
        <v>-30.93</v>
      </c>
      <c r="M23" s="13">
        <v>-50.87</v>
      </c>
      <c r="N23" s="13">
        <v>-105.9</v>
      </c>
      <c r="O23" s="31"/>
      <c r="P23" s="31"/>
      <c r="Q23" s="31"/>
      <c r="R23" s="31"/>
      <c r="S23" s="31"/>
    </row>
    <row r="24" spans="1:19">
      <c r="B24" s="27" t="s">
        <v>110</v>
      </c>
      <c r="E24" s="13">
        <v>-16.52</v>
      </c>
      <c r="F24" s="13">
        <v>-26.15</v>
      </c>
      <c r="G24" s="13">
        <v>0</v>
      </c>
      <c r="H24" s="13">
        <v>-16.989999999999998</v>
      </c>
      <c r="I24" s="13">
        <v>-2.88</v>
      </c>
      <c r="J24" s="13">
        <v>-179.3</v>
      </c>
      <c r="K24" s="13">
        <v>0</v>
      </c>
      <c r="L24" s="13">
        <v>-149.16</v>
      </c>
      <c r="M24" s="13">
        <v>-209.45</v>
      </c>
      <c r="N24" s="13">
        <v>-299.73</v>
      </c>
      <c r="O24" s="31"/>
      <c r="P24" s="31"/>
      <c r="Q24" s="31"/>
      <c r="R24" s="31"/>
      <c r="S24" s="31"/>
    </row>
    <row r="25" spans="1:19">
      <c r="A25" s="32" t="s">
        <v>111</v>
      </c>
      <c r="E25" s="13">
        <v>-8.09</v>
      </c>
      <c r="F25" s="13">
        <v>12.01</v>
      </c>
      <c r="G25" s="13">
        <v>-3.2</v>
      </c>
      <c r="H25" s="13">
        <v>-15.21</v>
      </c>
      <c r="I25" s="13">
        <v>170.83</v>
      </c>
      <c r="J25" s="13">
        <v>-6.9</v>
      </c>
      <c r="K25" s="13">
        <v>65.56</v>
      </c>
      <c r="L25" s="13">
        <v>-116.03</v>
      </c>
      <c r="M25" s="13">
        <v>-2.2000000000000002</v>
      </c>
      <c r="N25" s="13">
        <v>156.94999999999999</v>
      </c>
      <c r="O25" s="31"/>
      <c r="P25" s="31"/>
      <c r="Q25" s="31"/>
      <c r="R25" s="31"/>
      <c r="S25" s="31"/>
    </row>
    <row r="26" spans="1:19">
      <c r="A26" s="32" t="s">
        <v>112</v>
      </c>
      <c r="E26" s="13">
        <v>27.48</v>
      </c>
      <c r="F26" s="13">
        <v>19.399999999999999</v>
      </c>
      <c r="G26" s="13">
        <v>31.63</v>
      </c>
      <c r="H26" s="13">
        <v>23.44</v>
      </c>
      <c r="I26" s="13">
        <v>8.23</v>
      </c>
      <c r="J26" s="13">
        <v>179.06</v>
      </c>
      <c r="K26" s="13">
        <v>172.16</v>
      </c>
      <c r="L26" s="13">
        <v>237.72</v>
      </c>
      <c r="M26" s="13">
        <v>121.69</v>
      </c>
      <c r="N26" s="13">
        <v>119.49</v>
      </c>
      <c r="O26" s="31"/>
      <c r="P26" s="31"/>
      <c r="Q26" s="31"/>
      <c r="R26" s="31"/>
      <c r="S26" s="31"/>
    </row>
    <row r="27" spans="1:19">
      <c r="A27" s="32" t="s">
        <v>113</v>
      </c>
      <c r="E27" s="13">
        <v>0</v>
      </c>
      <c r="F27" s="13">
        <v>0.22</v>
      </c>
      <c r="G27" s="13">
        <v>-4.9800000000000004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33"/>
      <c r="P27" s="33"/>
      <c r="Q27" s="33"/>
      <c r="R27" s="33"/>
      <c r="S27" s="33"/>
    </row>
    <row r="28" spans="1:19">
      <c r="A28" s="32" t="s">
        <v>114</v>
      </c>
      <c r="E28" s="13">
        <v>19.39</v>
      </c>
      <c r="F28" s="13">
        <v>31.63</v>
      </c>
      <c r="G28" s="13">
        <v>23.44</v>
      </c>
      <c r="H28" s="13">
        <v>8.23</v>
      </c>
      <c r="I28" s="13">
        <v>179.06</v>
      </c>
      <c r="J28" s="13">
        <v>172.16</v>
      </c>
      <c r="K28" s="13">
        <v>237.72</v>
      </c>
      <c r="L28" s="13">
        <v>121.69</v>
      </c>
      <c r="M28" s="13">
        <v>119.49</v>
      </c>
      <c r="N28" s="13">
        <v>276.44</v>
      </c>
      <c r="O28" s="33"/>
      <c r="P28" s="33"/>
      <c r="Q28" s="33"/>
      <c r="R28" s="33"/>
      <c r="S28" s="33"/>
    </row>
    <row r="29" spans="1:19">
      <c r="A29" s="32" t="s">
        <v>115</v>
      </c>
      <c r="E29" s="13">
        <v>202.53</v>
      </c>
      <c r="F29" s="13">
        <v>246.37</v>
      </c>
      <c r="G29" s="13">
        <v>278</v>
      </c>
      <c r="H29" s="13">
        <v>183.28</v>
      </c>
      <c r="I29" s="13">
        <v>281.35000000000002</v>
      </c>
      <c r="J29" s="13">
        <v>289.08999999999997</v>
      </c>
      <c r="K29" s="13">
        <v>191.09</v>
      </c>
      <c r="L29" s="13">
        <v>520</v>
      </c>
      <c r="M29" s="13">
        <v>458.42</v>
      </c>
      <c r="N29" s="13">
        <v>857.97</v>
      </c>
    </row>
    <row r="30" spans="1:19">
      <c r="A30" s="32" t="s">
        <v>116</v>
      </c>
      <c r="E30" s="13">
        <v>-52.39</v>
      </c>
      <c r="F30" s="13">
        <v>-56.83</v>
      </c>
      <c r="G30" s="13">
        <v>18.399999999999999</v>
      </c>
      <c r="H30" s="13">
        <v>179.17</v>
      </c>
      <c r="I30" s="13">
        <v>948.6</v>
      </c>
      <c r="J30" s="13">
        <v>-44.75</v>
      </c>
      <c r="K30" s="13">
        <v>1061.33</v>
      </c>
      <c r="L30" s="13">
        <v>-8.39</v>
      </c>
      <c r="M30" s="13">
        <v>969.1</v>
      </c>
      <c r="N30" s="13">
        <v>438.27</v>
      </c>
      <c r="O30" s="33"/>
      <c r="P30" s="33"/>
      <c r="Q30" s="33"/>
      <c r="R30" s="33"/>
      <c r="S30" s="33"/>
    </row>
    <row r="31" spans="1:19">
      <c r="A31" s="32"/>
      <c r="D31"/>
      <c r="E31"/>
      <c r="F31"/>
      <c r="G31"/>
      <c r="H31"/>
      <c r="I31"/>
      <c r="J31"/>
      <c r="K31"/>
    </row>
    <row r="32" spans="1:19">
      <c r="A32" s="32"/>
      <c r="D32"/>
      <c r="E32"/>
      <c r="F32"/>
      <c r="G32"/>
      <c r="H32"/>
      <c r="I32"/>
      <c r="J32"/>
      <c r="K32"/>
    </row>
    <row r="33" spans="1:19">
      <c r="A33"/>
      <c r="B33"/>
      <c r="C33"/>
      <c r="D33"/>
      <c r="E33"/>
      <c r="F33"/>
      <c r="G33"/>
      <c r="H33"/>
      <c r="I33"/>
      <c r="J33"/>
      <c r="K33"/>
    </row>
    <row r="34" spans="1:19">
      <c r="A34"/>
      <c r="B34"/>
      <c r="C34"/>
      <c r="D34"/>
      <c r="E34"/>
      <c r="F34"/>
      <c r="G34"/>
      <c r="H34"/>
      <c r="I34"/>
      <c r="J34"/>
      <c r="K34"/>
      <c r="L34" s="33"/>
      <c r="M34" s="33"/>
      <c r="N34" s="33"/>
      <c r="O34" s="33"/>
      <c r="P34" s="33"/>
      <c r="Q34" s="33"/>
      <c r="R34" s="33"/>
      <c r="S34" s="33"/>
    </row>
    <row r="35" spans="1:19">
      <c r="A35" s="36"/>
      <c r="B35"/>
      <c r="C35"/>
      <c r="D35"/>
      <c r="E35"/>
      <c r="F35"/>
      <c r="G35"/>
      <c r="H35"/>
      <c r="I35"/>
      <c r="J35"/>
      <c r="K35"/>
      <c r="L35" s="33"/>
      <c r="M35" s="33"/>
      <c r="N35" s="33"/>
      <c r="O35" s="33"/>
      <c r="P35" s="33"/>
      <c r="Q35" s="33"/>
      <c r="R35" s="33"/>
      <c r="S35" s="33"/>
    </row>
    <row r="36" spans="1:19" ht="17">
      <c r="A36" s="37"/>
      <c r="B36"/>
      <c r="C36"/>
      <c r="D36"/>
      <c r="E36"/>
      <c r="F36"/>
      <c r="G36"/>
      <c r="H36"/>
      <c r="I36"/>
      <c r="J36"/>
      <c r="K36"/>
      <c r="L36" s="33"/>
      <c r="M36" s="33"/>
      <c r="N36" s="33"/>
      <c r="O36" s="33"/>
      <c r="P36" s="33"/>
      <c r="Q36" s="33"/>
      <c r="R36" s="33"/>
      <c r="S36" s="33"/>
    </row>
    <row r="37" spans="1:19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3"/>
      <c r="M37" s="33"/>
      <c r="N37" s="33"/>
      <c r="O37" s="33"/>
      <c r="P37" s="33"/>
      <c r="Q37" s="33"/>
      <c r="R37" s="33"/>
      <c r="S37" s="33"/>
    </row>
    <row r="38" spans="1:19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3"/>
      <c r="M38" s="33"/>
      <c r="N38" s="33"/>
      <c r="O38" s="33"/>
      <c r="P38" s="33"/>
      <c r="Q38" s="33"/>
      <c r="R38" s="33"/>
      <c r="S38" s="33"/>
    </row>
    <row r="39" spans="1:1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3"/>
      <c r="M39" s="33"/>
      <c r="N39" s="33"/>
      <c r="O39" s="33"/>
      <c r="P39" s="33"/>
      <c r="Q39" s="33"/>
      <c r="R39" s="33"/>
      <c r="S39" s="33"/>
    </row>
    <row r="40" spans="1:19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3"/>
      <c r="M40" s="33"/>
      <c r="N40" s="33"/>
      <c r="O40" s="33"/>
      <c r="P40" s="33"/>
      <c r="Q40" s="33"/>
      <c r="R40" s="33"/>
      <c r="S40" s="33"/>
    </row>
    <row r="41" spans="1:19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3"/>
      <c r="M41" s="33"/>
      <c r="N41" s="33"/>
      <c r="O41" s="33"/>
      <c r="P41" s="33"/>
      <c r="Q41" s="33"/>
      <c r="R41" s="33"/>
      <c r="S41" s="33"/>
    </row>
    <row r="42" spans="1:19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9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3"/>
      <c r="M43" s="33"/>
      <c r="N43" s="33"/>
      <c r="O43" s="33"/>
      <c r="P43" s="33"/>
      <c r="Q43" s="33"/>
      <c r="R43" s="33"/>
      <c r="S43" s="33"/>
    </row>
    <row r="44" spans="1:19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9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3"/>
      <c r="M45" s="33"/>
      <c r="N45" s="33"/>
      <c r="O45" s="33"/>
      <c r="P45" s="33"/>
      <c r="Q45" s="33"/>
      <c r="R45" s="33"/>
      <c r="S45" s="33"/>
    </row>
    <row r="46" spans="1:19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9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9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3"/>
      <c r="M48" s="33"/>
      <c r="N48" s="33"/>
      <c r="O48" s="33"/>
      <c r="P48" s="33"/>
      <c r="Q48" s="33"/>
      <c r="R48" s="33"/>
      <c r="S48" s="33"/>
    </row>
    <row r="49" spans="1:1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3"/>
      <c r="M49" s="33"/>
      <c r="N49" s="33"/>
      <c r="O49" s="33"/>
      <c r="P49" s="33"/>
      <c r="Q49" s="33"/>
      <c r="R49" s="33"/>
      <c r="S49" s="33"/>
    </row>
    <row r="50" spans="1:19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3"/>
      <c r="M50" s="33"/>
      <c r="N50" s="33"/>
      <c r="O50" s="33"/>
      <c r="P50" s="33"/>
      <c r="Q50" s="33"/>
      <c r="R50" s="33"/>
      <c r="S50" s="33"/>
    </row>
    <row r="51" spans="1:19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3"/>
      <c r="M51" s="33"/>
      <c r="N51" s="33"/>
      <c r="O51" s="33"/>
      <c r="P51" s="33"/>
    </row>
    <row r="52" spans="1:19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</row>
    <row r="53" spans="1:19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</row>
    <row r="54" spans="1:19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</row>
    <row r="55" spans="1:19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</row>
    <row r="56" spans="1:19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</row>
    <row r="57" spans="1:19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</row>
    <row r="58" spans="1:19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</row>
    <row r="59" spans="1:1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</row>
    <row r="61" spans="1:19">
      <c r="A61"/>
      <c r="B61"/>
      <c r="C61"/>
      <c r="D61"/>
      <c r="E61"/>
      <c r="F61"/>
      <c r="G61"/>
      <c r="H61"/>
      <c r="I61"/>
      <c r="J61"/>
      <c r="K61"/>
    </row>
    <row r="62" spans="1:19">
      <c r="A62" s="36"/>
      <c r="B62"/>
      <c r="C62"/>
      <c r="D62"/>
      <c r="E62"/>
      <c r="F62"/>
      <c r="G62"/>
      <c r="H62"/>
      <c r="I62"/>
      <c r="J62"/>
      <c r="K62"/>
    </row>
    <row r="63" spans="1:19">
      <c r="A63"/>
      <c r="B63"/>
      <c r="C63"/>
      <c r="D63"/>
      <c r="E63"/>
      <c r="F63"/>
      <c r="G63"/>
      <c r="H63"/>
      <c r="I63"/>
      <c r="J63"/>
      <c r="K63"/>
    </row>
    <row r="64" spans="1:19">
      <c r="A64"/>
      <c r="B64"/>
      <c r="C64"/>
      <c r="D64"/>
      <c r="E64"/>
      <c r="F64"/>
      <c r="G64"/>
      <c r="H64"/>
      <c r="I64"/>
      <c r="J64"/>
      <c r="K64"/>
    </row>
    <row r="65" spans="1:11">
      <c r="A65" s="36"/>
      <c r="B65"/>
      <c r="C65"/>
      <c r="D65"/>
      <c r="E65"/>
      <c r="F65"/>
      <c r="G65"/>
      <c r="H65"/>
      <c r="I65"/>
      <c r="J65"/>
      <c r="K65"/>
    </row>
    <row r="66" spans="1:11" ht="17">
      <c r="A66" s="37"/>
      <c r="B66"/>
      <c r="C66"/>
      <c r="D66"/>
      <c r="E66"/>
      <c r="F66"/>
      <c r="G66"/>
      <c r="H66"/>
      <c r="I66"/>
      <c r="J66"/>
      <c r="K66"/>
    </row>
    <row r="67" spans="1:11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spans="1:1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spans="1:1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 spans="1:1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 spans="1:1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4" spans="1:1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</row>
    <row r="75" spans="1:1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spans="1:1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</row>
    <row r="77" spans="1:1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</row>
    <row r="78" spans="1:1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</row>
    <row r="79" spans="1:1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</row>
    <row r="80" spans="1:1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</row>
    <row r="81" spans="1:1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</row>
    <row r="82" spans="1:1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</row>
    <row r="83" spans="1:1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</row>
    <row r="84" spans="1:1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</row>
    <row r="85" spans="1:1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</row>
    <row r="86" spans="1:1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</row>
    <row r="87" spans="1:1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</row>
    <row r="88" spans="1:1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</row>
    <row r="89" spans="1:1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</row>
    <row r="90" spans="1:1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</row>
    <row r="91" spans="1:1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</row>
    <row r="92" spans="1:1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</row>
    <row r="93" spans="1:1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</row>
    <row r="94" spans="1:1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</row>
    <row r="95" spans="1:1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</row>
    <row r="96" spans="1:1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</row>
    <row r="97" spans="1:1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</row>
    <row r="98" spans="1:1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</row>
    <row r="99" spans="1:1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</row>
    <row r="100" spans="1:1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</row>
    <row r="101" spans="1:1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</row>
    <row r="102" spans="1:1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</row>
    <row r="103" spans="1:1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</row>
    <row r="104" spans="1:1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</row>
    <row r="105" spans="1:1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</row>
    <row r="106" spans="1:1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</row>
    <row r="107" spans="1:1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</row>
    <row r="108" spans="1:1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</row>
    <row r="109" spans="1:1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</row>
    <row r="110" spans="1:1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</row>
    <row r="111" spans="1: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</row>
    <row r="112" spans="1:1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</row>
    <row r="113" spans="1:1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</row>
    <row r="114" spans="1:1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</row>
    <row r="115" spans="1:1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</row>
    <row r="116" spans="1:1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</row>
    <row r="117" spans="1:1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</row>
    <row r="118" spans="1:11">
      <c r="A118"/>
      <c r="B118"/>
      <c r="C118"/>
      <c r="D118"/>
      <c r="E118"/>
      <c r="F118"/>
      <c r="G118"/>
      <c r="H118"/>
      <c r="I118"/>
      <c r="J118"/>
      <c r="K118"/>
    </row>
    <row r="119" spans="1:11">
      <c r="A119" s="36"/>
      <c r="B119"/>
      <c r="C119"/>
      <c r="D119"/>
      <c r="E119"/>
      <c r="F119"/>
      <c r="G119"/>
      <c r="H119"/>
      <c r="I119"/>
      <c r="J119"/>
      <c r="K119"/>
    </row>
    <row r="120" spans="1:11" ht="17">
      <c r="A120" s="37"/>
      <c r="B120"/>
      <c r="C120"/>
      <c r="D120"/>
      <c r="E120"/>
      <c r="F120"/>
      <c r="G120"/>
      <c r="H120"/>
      <c r="I120"/>
      <c r="J120"/>
      <c r="K120"/>
    </row>
    <row r="121" spans="1:1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</row>
    <row r="122" spans="1:1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</row>
    <row r="123" spans="1:1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</row>
    <row r="124" spans="1:1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</row>
    <row r="125" spans="1:1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</row>
    <row r="126" spans="1:1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</row>
    <row r="127" spans="1:1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78CF-857B-6741-80B1-EDC1B8035BDB}">
  <dimension ref="A1:S54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F44" sqref="F44"/>
    </sheetView>
  </sheetViews>
  <sheetFormatPr baseColWidth="10" defaultRowHeight="16"/>
  <cols>
    <col min="1" max="1" width="5" style="27" customWidth="1"/>
    <col min="2" max="2" width="4.6640625" style="27" customWidth="1"/>
    <col min="3" max="3" width="36.83203125" style="27" customWidth="1"/>
    <col min="4" max="4" width="6" style="27" customWidth="1"/>
    <col min="5" max="5" width="14.1640625" style="27" customWidth="1"/>
    <col min="6" max="16384" width="10.83203125" style="27"/>
  </cols>
  <sheetData>
    <row r="1" spans="1:19" ht="19">
      <c r="A1" s="26" t="s">
        <v>89</v>
      </c>
      <c r="I1" s="28" t="s">
        <v>150</v>
      </c>
    </row>
    <row r="2" spans="1:19">
      <c r="A2" s="28" t="s">
        <v>1</v>
      </c>
      <c r="E2" s="29" t="s">
        <v>135</v>
      </c>
      <c r="F2" s="29" t="s">
        <v>136</v>
      </c>
      <c r="G2" s="29" t="s">
        <v>137</v>
      </c>
      <c r="H2" s="29" t="s">
        <v>138</v>
      </c>
      <c r="I2" s="29" t="s">
        <v>139</v>
      </c>
      <c r="J2" s="29" t="s">
        <v>140</v>
      </c>
      <c r="K2" s="29" t="s">
        <v>141</v>
      </c>
      <c r="L2" s="29" t="s">
        <v>142</v>
      </c>
      <c r="M2" s="29" t="s">
        <v>143</v>
      </c>
      <c r="N2" s="29" t="s">
        <v>144</v>
      </c>
      <c r="O2" s="29" t="s">
        <v>145</v>
      </c>
      <c r="P2" s="29" t="s">
        <v>146</v>
      </c>
      <c r="Q2" s="29" t="s">
        <v>147</v>
      </c>
      <c r="R2" s="29" t="s">
        <v>148</v>
      </c>
      <c r="S2" s="29" t="s">
        <v>149</v>
      </c>
    </row>
    <row r="3" spans="1:19"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9">
      <c r="A4" s="32" t="s">
        <v>164</v>
      </c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9">
      <c r="B5" s="27" t="s">
        <v>165</v>
      </c>
      <c r="E5" s="30"/>
      <c r="F5" s="31">
        <f>PnL!F29</f>
        <v>187.96</v>
      </c>
      <c r="G5" s="31">
        <f>PnL!G29</f>
        <v>232.75</v>
      </c>
      <c r="H5" s="31">
        <f>PnL!H29</f>
        <v>358.56</v>
      </c>
      <c r="I5" s="31">
        <f>PnL!I29</f>
        <v>500.31</v>
      </c>
      <c r="J5" s="31">
        <f>PnL!J29</f>
        <v>765.62</v>
      </c>
      <c r="K5" s="31">
        <f>PnL!K29</f>
        <v>841.81</v>
      </c>
      <c r="L5" s="31">
        <f>PnL!L29</f>
        <v>845.23</v>
      </c>
      <c r="M5" s="31">
        <f>PnL!M29</f>
        <v>1283.0899999999999</v>
      </c>
      <c r="N5" s="31">
        <f>PnL!N29</f>
        <v>1802.92</v>
      </c>
      <c r="O5" s="31">
        <f>PnL!O29</f>
        <v>1625.848518556405</v>
      </c>
      <c r="P5" s="31">
        <f>PnL!P29</f>
        <v>2033.713243936757</v>
      </c>
      <c r="Q5" s="31">
        <f>PnL!Q29</f>
        <v>2539.3346784168152</v>
      </c>
      <c r="R5" s="31">
        <f>PnL!R29</f>
        <v>3389.9587910315936</v>
      </c>
      <c r="S5" s="31">
        <f>PnL!S29</f>
        <v>3322.7729081878861</v>
      </c>
    </row>
    <row r="6" spans="1:19">
      <c r="B6" s="27" t="s">
        <v>166</v>
      </c>
      <c r="E6" s="30"/>
      <c r="F6" s="31">
        <f>'Balance Sheet'!F6-'Balance Sheet'!E6</f>
        <v>-284.88</v>
      </c>
      <c r="G6" s="31">
        <f>'Balance Sheet'!G6-'Balance Sheet'!F6</f>
        <v>127.07000000000001</v>
      </c>
      <c r="H6" s="31">
        <f>'Balance Sheet'!H6-'Balance Sheet'!G6</f>
        <v>132.27999999999997</v>
      </c>
      <c r="I6" s="31">
        <f>'Balance Sheet'!I6-'Balance Sheet'!H6</f>
        <v>139.92000000000002</v>
      </c>
      <c r="J6" s="31">
        <f>'Balance Sheet'!J6-'Balance Sheet'!I6</f>
        <v>134.04000000000002</v>
      </c>
      <c r="K6" s="31">
        <f>'Balance Sheet'!K6-'Balance Sheet'!J6</f>
        <v>184.91999999999996</v>
      </c>
      <c r="L6" s="31">
        <f>'Balance Sheet'!L6-'Balance Sheet'!K6</f>
        <v>164.17000000000007</v>
      </c>
      <c r="M6" s="31">
        <f>'Balance Sheet'!M6-'Balance Sheet'!L6</f>
        <v>186.21000000000004</v>
      </c>
      <c r="N6" s="31">
        <f>'Balance Sheet'!N6-'Balance Sheet'!M6</f>
        <v>226.8599999999999</v>
      </c>
      <c r="O6" s="31">
        <f>'Balance Sheet'!O6-'Balance Sheet'!N6</f>
        <v>270.58997006330878</v>
      </c>
      <c r="P6" s="31">
        <f>'Balance Sheet'!P6-'Balance Sheet'!O6</f>
        <v>297.50218652358126</v>
      </c>
      <c r="Q6" s="31">
        <f>'Balance Sheet'!Q6-'Balance Sheet'!P6</f>
        <v>321.34544023295007</v>
      </c>
      <c r="R6" s="31">
        <f>'Balance Sheet'!R6-'Balance Sheet'!Q6</f>
        <v>349.95734468419232</v>
      </c>
      <c r="S6" s="31">
        <f>'Balance Sheet'!S6-'Balance Sheet'!R6</f>
        <v>376.56804704542856</v>
      </c>
    </row>
    <row r="7" spans="1:19"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9">
      <c r="A8" s="32" t="s">
        <v>167</v>
      </c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9">
      <c r="B9" s="27" t="s">
        <v>168</v>
      </c>
      <c r="E9" s="30"/>
      <c r="F9" s="31">
        <f>-('Balance Sheet'!F15-'Balance Sheet'!E15)</f>
        <v>-76.439999999999941</v>
      </c>
      <c r="G9" s="31">
        <f>-('Balance Sheet'!G15-'Balance Sheet'!F15)</f>
        <v>-539.4</v>
      </c>
      <c r="H9" s="31">
        <f>-('Balance Sheet'!H15-'Balance Sheet'!G15)</f>
        <v>154.11999999999989</v>
      </c>
      <c r="I9" s="31">
        <f>-('Balance Sheet'!I15-'Balance Sheet'!H15)</f>
        <v>-630.08999999999992</v>
      </c>
      <c r="J9" s="31">
        <f>-('Balance Sheet'!J15-'Balance Sheet'!I15)</f>
        <v>70.839999999999918</v>
      </c>
      <c r="K9" s="31">
        <f>-('Balance Sheet'!K15-'Balance Sheet'!J15)</f>
        <v>-62.960000000000036</v>
      </c>
      <c r="L9" s="31">
        <f>-('Balance Sheet'!L15-'Balance Sheet'!K15)</f>
        <v>-211.74</v>
      </c>
      <c r="M9" s="31">
        <f>-('Balance Sheet'!M15-'Balance Sheet'!L15)</f>
        <v>-751.73</v>
      </c>
      <c r="N9" s="31">
        <f>-('Balance Sheet'!N15-'Balance Sheet'!M15)</f>
        <v>-723.73</v>
      </c>
      <c r="O9" s="31">
        <f>-('Balance Sheet'!O15-'Balance Sheet'!N15)</f>
        <v>-1211.2618562372468</v>
      </c>
      <c r="P9" s="31">
        <f>-('Balance Sheet'!P15-'Balance Sheet'!O15)</f>
        <v>-575.2108652957013</v>
      </c>
      <c r="Q9" s="31">
        <f>-('Balance Sheet'!Q15-'Balance Sheet'!P15)</f>
        <v>-1206.9554114358598</v>
      </c>
      <c r="R9" s="31">
        <f>-('Balance Sheet'!R15-'Balance Sheet'!Q15)</f>
        <v>-1700.2678265666618</v>
      </c>
      <c r="S9" s="31">
        <f>-('Balance Sheet'!S15-'Balance Sheet'!R15)</f>
        <v>1605.2549930200239</v>
      </c>
    </row>
    <row r="10" spans="1:19">
      <c r="B10" s="27" t="s">
        <v>169</v>
      </c>
      <c r="E10" s="30"/>
      <c r="F10" s="31">
        <f>-('Balance Sheet'!F16-'Balance Sheet'!E16)</f>
        <v>-263.94000000000005</v>
      </c>
      <c r="G10" s="31">
        <f>-('Balance Sheet'!G16-'Balance Sheet'!F16)</f>
        <v>175.74</v>
      </c>
      <c r="H10" s="31">
        <f>-('Balance Sheet'!H16-'Balance Sheet'!G16)</f>
        <v>-117.39999999999986</v>
      </c>
      <c r="I10" s="31">
        <f>-('Balance Sheet'!I16-'Balance Sheet'!H16)</f>
        <v>-43.5</v>
      </c>
      <c r="J10" s="31">
        <f>-('Balance Sheet'!J16-'Balance Sheet'!I16)</f>
        <v>-99.320000000000164</v>
      </c>
      <c r="K10" s="31">
        <f>-('Balance Sheet'!K16-'Balance Sheet'!J16)</f>
        <v>-2.1299999999998818</v>
      </c>
      <c r="L10" s="31">
        <f>-('Balance Sheet'!L16-'Balance Sheet'!K16)</f>
        <v>139.37999999999988</v>
      </c>
      <c r="M10" s="31">
        <f>-('Balance Sheet'!M16-'Balance Sheet'!L16)</f>
        <v>49.790000000000191</v>
      </c>
      <c r="N10" s="31">
        <f>-('Balance Sheet'!N16-'Balance Sheet'!M16)</f>
        <v>-800.52</v>
      </c>
      <c r="O10" s="31">
        <f>-('Balance Sheet'!O16-'Balance Sheet'!N16)</f>
        <v>-1218.9725658691541</v>
      </c>
      <c r="P10" s="31">
        <f>-('Balance Sheet'!P16-'Balance Sheet'!O16)</f>
        <v>301.69575120791978</v>
      </c>
      <c r="Q10" s="31">
        <f>-('Balance Sheet'!Q16-'Balance Sheet'!P16)</f>
        <v>-1007.4628027765993</v>
      </c>
      <c r="R10" s="31">
        <f>-('Balance Sheet'!R16-'Balance Sheet'!Q16)</f>
        <v>-454.88742788157651</v>
      </c>
      <c r="S10" s="31">
        <f>-('Balance Sheet'!S16-'Balance Sheet'!R16)</f>
        <v>213.44708826878923</v>
      </c>
    </row>
    <row r="11" spans="1:19">
      <c r="B11" s="27" t="s">
        <v>171</v>
      </c>
      <c r="E11" s="30"/>
      <c r="F11" s="31">
        <f>-('Balance Sheet'!F19-'Balance Sheet'!E19)</f>
        <v>8.6999999999999993</v>
      </c>
      <c r="G11" s="31">
        <f>-('Balance Sheet'!G19-'Balance Sheet'!F19)</f>
        <v>-37.51</v>
      </c>
      <c r="H11" s="31">
        <f>-('Balance Sheet'!H19-'Balance Sheet'!G19)</f>
        <v>12.449999999999996</v>
      </c>
      <c r="I11" s="31">
        <f>-('Balance Sheet'!I19-'Balance Sheet'!H19)</f>
        <v>-49.160000000000004</v>
      </c>
      <c r="J11" s="31">
        <f>-('Balance Sheet'!J19-'Balance Sheet'!I19)</f>
        <v>-74.089999999999989</v>
      </c>
      <c r="K11" s="31">
        <f>-('Balance Sheet'!K19-'Balance Sheet'!J19)</f>
        <v>108.13999999999999</v>
      </c>
      <c r="L11" s="31">
        <f>-('Balance Sheet'!L19-'Balance Sheet'!K19)</f>
        <v>-27.669999999999995</v>
      </c>
      <c r="M11" s="31">
        <f>-('Balance Sheet'!M19-'Balance Sheet'!L19)</f>
        <v>16.689999999999998</v>
      </c>
      <c r="N11" s="31">
        <f>-('Balance Sheet'!N19-'Balance Sheet'!M19)</f>
        <v>-17.329999999999998</v>
      </c>
      <c r="O11" s="31">
        <f>-('Balance Sheet'!O19-'Balance Sheet'!N19)</f>
        <v>-6.7099999999999937</v>
      </c>
      <c r="P11" s="31">
        <f>-('Balance Sheet'!P19-'Balance Sheet'!O19)</f>
        <v>14.623999999999995</v>
      </c>
      <c r="Q11" s="31">
        <f>-('Balance Sheet'!Q19-'Balance Sheet'!P19)</f>
        <v>-4.0791999999999859</v>
      </c>
      <c r="R11" s="31">
        <f>-('Balance Sheet'!R19-'Balance Sheet'!Q19)</f>
        <v>0.63895999999999731</v>
      </c>
      <c r="S11" s="31">
        <f>-('Balance Sheet'!S19-'Balance Sheet'!R19)</f>
        <v>-2.5712480000000255</v>
      </c>
    </row>
    <row r="12" spans="1:19">
      <c r="B12" s="27" t="s">
        <v>173</v>
      </c>
      <c r="E12" s="30"/>
      <c r="F12" s="31">
        <f>'Balance Sheet'!F33-'Balance Sheet'!E33</f>
        <v>94.449999999999932</v>
      </c>
      <c r="G12" s="31">
        <f>'Balance Sheet'!G33-'Balance Sheet'!F33</f>
        <v>296.91000000000008</v>
      </c>
      <c r="H12" s="31">
        <f>'Balance Sheet'!H33-'Balance Sheet'!G33</f>
        <v>-432.17999999999995</v>
      </c>
      <c r="I12" s="31">
        <f>'Balance Sheet'!I33-'Balance Sheet'!H33</f>
        <v>598.09</v>
      </c>
      <c r="J12" s="31">
        <f>'Balance Sheet'!J33-'Balance Sheet'!I33</f>
        <v>-166.5</v>
      </c>
      <c r="K12" s="31">
        <f>'Balance Sheet'!K33-'Balance Sheet'!J33</f>
        <v>-5.6500000000000909</v>
      </c>
      <c r="L12" s="31">
        <f>'Balance Sheet'!L33-'Balance Sheet'!K33</f>
        <v>-130.5</v>
      </c>
      <c r="M12" s="31">
        <f>'Balance Sheet'!M33-'Balance Sheet'!L33</f>
        <v>815.11000000000013</v>
      </c>
      <c r="N12" s="31">
        <f>'Balance Sheet'!N33-'Balance Sheet'!M33</f>
        <v>830.68000000000006</v>
      </c>
      <c r="O12" s="31">
        <f>'Balance Sheet'!O33-'Balance Sheet'!N33</f>
        <v>-224.29869272211999</v>
      </c>
      <c r="P12" s="31">
        <f>'Balance Sheet'!P33-'Balance Sheet'!O33</f>
        <v>191.09350832746259</v>
      </c>
      <c r="Q12" s="31">
        <f>'Balance Sheet'!Q33-'Balance Sheet'!P33</f>
        <v>271.37986800674298</v>
      </c>
      <c r="R12" s="31">
        <f>'Balance Sheet'!R33-'Balance Sheet'!Q33</f>
        <v>410.93745624245457</v>
      </c>
      <c r="S12" s="31">
        <f>'Balance Sheet'!S33-'Balance Sheet'!R33</f>
        <v>301.38957046054202</v>
      </c>
    </row>
    <row r="13" spans="1:19">
      <c r="B13" s="27" t="s">
        <v>175</v>
      </c>
      <c r="E13" s="30"/>
      <c r="F13" s="31">
        <f>'Balance Sheet'!F35-'Balance Sheet'!E35</f>
        <v>51.569999999999993</v>
      </c>
      <c r="G13" s="31">
        <f>'Balance Sheet'!G35-'Balance Sheet'!F35</f>
        <v>87.59</v>
      </c>
      <c r="H13" s="31">
        <f>'Balance Sheet'!H35-'Balance Sheet'!G35</f>
        <v>16.490000000000009</v>
      </c>
      <c r="I13" s="31">
        <f>'Balance Sheet'!I35-'Balance Sheet'!H35</f>
        <v>564.04999999999995</v>
      </c>
      <c r="J13" s="31">
        <f>'Balance Sheet'!J35-'Balance Sheet'!I35</f>
        <v>-406.62</v>
      </c>
      <c r="K13" s="31">
        <f>'Balance Sheet'!K35-'Balance Sheet'!J35</f>
        <v>124.70000000000005</v>
      </c>
      <c r="L13" s="31">
        <f>'Balance Sheet'!L35-'Balance Sheet'!K35</f>
        <v>-119.79000000000002</v>
      </c>
      <c r="M13" s="31">
        <f>'Balance Sheet'!M35-'Balance Sheet'!L35</f>
        <v>60.19</v>
      </c>
      <c r="N13" s="31">
        <f>'Balance Sheet'!N35-'Balance Sheet'!M35</f>
        <v>142.08000000000004</v>
      </c>
      <c r="O13" s="31">
        <f>'Balance Sheet'!O35-'Balance Sheet'!N35</f>
        <v>-47.642674212685279</v>
      </c>
      <c r="P13" s="31">
        <f>'Balance Sheet'!P35-'Balance Sheet'!O35</f>
        <v>40.589651463922792</v>
      </c>
      <c r="Q13" s="31">
        <f>'Balance Sheet'!Q35-'Balance Sheet'!P35</f>
        <v>57.643058380837829</v>
      </c>
      <c r="R13" s="31">
        <f>'Balance Sheet'!R35-'Balance Sheet'!Q35</f>
        <v>87.286105469210042</v>
      </c>
      <c r="S13" s="31">
        <f>'Balance Sheet'!S35-'Balance Sheet'!R35</f>
        <v>64.017337516727821</v>
      </c>
    </row>
    <row r="14" spans="1:19">
      <c r="B14" t="s">
        <v>193</v>
      </c>
      <c r="E14" s="30"/>
      <c r="F14" s="31">
        <f>'Balance Sheet'!F29-'Balance Sheet'!E29</f>
        <v>3.9199999999999982</v>
      </c>
      <c r="G14" s="31">
        <f>'Balance Sheet'!G29-'Balance Sheet'!F29</f>
        <v>44.61</v>
      </c>
      <c r="H14" s="31">
        <f>'Balance Sheet'!H29-'Balance Sheet'!G29</f>
        <v>-10.329999999999998</v>
      </c>
      <c r="I14" s="31">
        <f>'Balance Sheet'!I29-'Balance Sheet'!H29</f>
        <v>-32.24</v>
      </c>
      <c r="J14" s="31">
        <f>'Balance Sheet'!J29-'Balance Sheet'!I29</f>
        <v>-6.620000000000001</v>
      </c>
      <c r="K14" s="31">
        <f>'Balance Sheet'!K29-'Balance Sheet'!J29</f>
        <v>25.319999999999997</v>
      </c>
      <c r="L14" s="31">
        <f>'Balance Sheet'!L29-'Balance Sheet'!K29</f>
        <v>-14.619999999999997</v>
      </c>
      <c r="M14" s="31">
        <f>'Balance Sheet'!M29-'Balance Sheet'!L29</f>
        <v>13.740000000000002</v>
      </c>
      <c r="N14" s="31">
        <f>'Balance Sheet'!N29-'Balance Sheet'!M29</f>
        <v>0.57999999999999829</v>
      </c>
      <c r="O14" s="31">
        <f>'Balance Sheet'!O29-'Balance Sheet'!N29</f>
        <v>14.694435940012809</v>
      </c>
      <c r="P14" s="31">
        <f>'Balance Sheet'!P29-'Balance Sheet'!O29</f>
        <v>13.100426925809003</v>
      </c>
      <c r="Q14" s="31">
        <f>'Balance Sheet'!Q29-'Balance Sheet'!P29</f>
        <v>4.2456769143272197</v>
      </c>
      <c r="R14" s="31">
        <f>'Balance Sheet'!R29-'Balance Sheet'!Q29</f>
        <v>13.681229964461266</v>
      </c>
      <c r="S14" s="31">
        <f>'Balance Sheet'!S29-'Balance Sheet'!R29</f>
        <v>11.371738973629419</v>
      </c>
    </row>
    <row r="15" spans="1:19">
      <c r="B15" s="27" t="s">
        <v>177</v>
      </c>
      <c r="E15" s="30"/>
      <c r="F15" s="31">
        <f>-('Balance Sheet'!F37-'Balance Sheet'!E37)</f>
        <v>40.319999999999993</v>
      </c>
      <c r="G15" s="31">
        <f>-('Balance Sheet'!G37-'Balance Sheet'!F37)</f>
        <v>-29.519999999999996</v>
      </c>
      <c r="H15" s="31">
        <f>-('Balance Sheet'!H37-'Balance Sheet'!G37)</f>
        <v>-60.210000000000008</v>
      </c>
      <c r="I15" s="31">
        <f>-('Balance Sheet'!I37-'Balance Sheet'!H37)</f>
        <v>-68.05</v>
      </c>
      <c r="J15" s="31">
        <f>-('Balance Sheet'!J37-'Balance Sheet'!I37)</f>
        <v>45.120000000000005</v>
      </c>
      <c r="K15" s="31">
        <f>-('Balance Sheet'!K37-'Balance Sheet'!J37)</f>
        <v>91.07</v>
      </c>
      <c r="L15" s="31">
        <f>-('Balance Sheet'!L37-'Balance Sheet'!K37)</f>
        <v>10.54</v>
      </c>
      <c r="M15" s="31">
        <f>-('Balance Sheet'!M37-'Balance Sheet'!L37)</f>
        <v>-14.240000000000002</v>
      </c>
      <c r="N15" s="31">
        <f>-('Balance Sheet'!N37-'Balance Sheet'!M37)</f>
        <v>11.579999999999998</v>
      </c>
      <c r="O15" s="31">
        <f>-('Balance Sheet'!O37-'Balance Sheet'!N37)</f>
        <v>-63.737247971814945</v>
      </c>
      <c r="P15" s="31">
        <f>-('Balance Sheet'!P37-'Balance Sheet'!O37)</f>
        <v>27.203729283064519</v>
      </c>
      <c r="Q15" s="31">
        <f>-('Balance Sheet'!Q37-'Balance Sheet'!P37)</f>
        <v>-5.3606794725807703</v>
      </c>
      <c r="R15" s="31">
        <f>-('Balance Sheet'!R37-'Balance Sheet'!Q37)</f>
        <v>-10.127844486080562</v>
      </c>
      <c r="S15" s="31">
        <f>-('Balance Sheet'!S37-'Balance Sheet'!R37)</f>
        <v>-8.6682154227062966</v>
      </c>
    </row>
    <row r="16" spans="1:19">
      <c r="B16" s="32" t="s">
        <v>178</v>
      </c>
      <c r="E16" s="30"/>
      <c r="F16" s="31">
        <f>SUM(F9:F15)</f>
        <v>-141.4200000000001</v>
      </c>
      <c r="G16" s="31">
        <f t="shared" ref="G16:S16" si="0">SUM(G9:G15)</f>
        <v>-1.5799999999998704</v>
      </c>
      <c r="H16" s="31">
        <f t="shared" si="0"/>
        <v>-437.05999999999995</v>
      </c>
      <c r="I16" s="31">
        <f t="shared" si="0"/>
        <v>339.10000000000008</v>
      </c>
      <c r="J16" s="31">
        <f t="shared" si="0"/>
        <v>-637.19000000000028</v>
      </c>
      <c r="K16" s="31">
        <f t="shared" si="0"/>
        <v>278.49</v>
      </c>
      <c r="L16" s="31">
        <f t="shared" si="0"/>
        <v>-354.40000000000015</v>
      </c>
      <c r="M16" s="31">
        <f t="shared" si="0"/>
        <v>189.55000000000035</v>
      </c>
      <c r="N16" s="31">
        <f t="shared" si="0"/>
        <v>-556.65999999999974</v>
      </c>
      <c r="O16" s="31">
        <f t="shared" si="0"/>
        <v>-2757.9286010730088</v>
      </c>
      <c r="P16" s="31">
        <f t="shared" si="0"/>
        <v>13.096201912477412</v>
      </c>
      <c r="Q16" s="31">
        <f t="shared" si="0"/>
        <v>-1890.589490383132</v>
      </c>
      <c r="R16" s="31">
        <f t="shared" si="0"/>
        <v>-1652.739347258193</v>
      </c>
      <c r="S16" s="31">
        <f t="shared" si="0"/>
        <v>2184.2412648170057</v>
      </c>
    </row>
    <row r="17" spans="1:19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>
      <c r="B18" s="32" t="s">
        <v>179</v>
      </c>
      <c r="E18" s="30"/>
      <c r="F18" s="31">
        <f>F5+F6+F16</f>
        <v>-238.34000000000009</v>
      </c>
      <c r="G18" s="31">
        <f t="shared" ref="G18:S18" si="1">G5+G6+G16</f>
        <v>358.24000000000012</v>
      </c>
      <c r="H18" s="31">
        <f t="shared" si="1"/>
        <v>53.78000000000003</v>
      </c>
      <c r="I18" s="31">
        <f t="shared" si="1"/>
        <v>979.33000000000015</v>
      </c>
      <c r="J18" s="31">
        <f t="shared" si="1"/>
        <v>262.4699999999998</v>
      </c>
      <c r="K18" s="31">
        <f t="shared" si="1"/>
        <v>1305.22</v>
      </c>
      <c r="L18" s="31">
        <f t="shared" si="1"/>
        <v>655</v>
      </c>
      <c r="M18" s="31">
        <f t="shared" si="1"/>
        <v>1658.8500000000004</v>
      </c>
      <c r="N18" s="31">
        <f t="shared" si="1"/>
        <v>1473.1200000000003</v>
      </c>
      <c r="O18" s="31">
        <f t="shared" si="1"/>
        <v>-861.49011245329507</v>
      </c>
      <c r="P18" s="31">
        <f t="shared" si="1"/>
        <v>2344.3116323728154</v>
      </c>
      <c r="Q18" s="31">
        <f t="shared" si="1"/>
        <v>970.09062826663308</v>
      </c>
      <c r="R18" s="31">
        <f t="shared" si="1"/>
        <v>2087.1767884575929</v>
      </c>
      <c r="S18" s="31">
        <f t="shared" si="1"/>
        <v>5883.5822200503208</v>
      </c>
    </row>
    <row r="19" spans="1:19"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1:19">
      <c r="A20" s="32" t="s">
        <v>180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pans="1:19">
      <c r="B21" s="27" t="s">
        <v>181</v>
      </c>
      <c r="E21" s="30"/>
      <c r="F21" s="31">
        <f>-('Asset Schedule'!F5-'Asset Schedule'!E5)</f>
        <v>0</v>
      </c>
      <c r="G21" s="31">
        <f>-('Asset Schedule'!G5-'Asset Schedule'!F5)</f>
        <v>-270.43000000000006</v>
      </c>
      <c r="H21" s="31">
        <f>-('Asset Schedule'!H5-'Asset Schedule'!G5)</f>
        <v>69.410000000000082</v>
      </c>
      <c r="I21" s="31">
        <f>-('Asset Schedule'!I5-'Asset Schedule'!H5)</f>
        <v>-17.350000000000136</v>
      </c>
      <c r="J21" s="31">
        <f>-('Asset Schedule'!J5-'Asset Schedule'!I5)</f>
        <v>-62.1099999999999</v>
      </c>
      <c r="K21" s="31">
        <f>-('Asset Schedule'!K5-'Asset Schedule'!J5)</f>
        <v>-352.02</v>
      </c>
      <c r="L21" s="31">
        <f>-('Asset Schedule'!L5-'Asset Schedule'!K5)</f>
        <v>632.5</v>
      </c>
      <c r="M21" s="31">
        <f>-('Asset Schedule'!M5-'Asset Schedule'!L5)</f>
        <v>-578.02999999999975</v>
      </c>
      <c r="N21" s="31">
        <f>-('Asset Schedule'!N5-'Asset Schedule'!M5)</f>
        <v>156.88999999999987</v>
      </c>
      <c r="O21" s="31">
        <f>-('Asset Schedule'!O5-'Asset Schedule'!N5)</f>
        <v>38.709999999999923</v>
      </c>
      <c r="P21" s="31">
        <f>-('Asset Schedule'!P5-'Asset Schedule'!O5)</f>
        <v>-20.38999999999993</v>
      </c>
      <c r="Q21" s="31">
        <f>-('Asset Schedule'!Q5-'Asset Schedule'!P5)</f>
        <v>45.935999999999979</v>
      </c>
      <c r="R21" s="31">
        <f>-('Asset Schedule'!R5-'Asset Schedule'!Q5)</f>
        <v>-71.376799999999946</v>
      </c>
      <c r="S21" s="31">
        <f>-('Asset Schedule'!S5-'Asset Schedule'!R5)</f>
        <v>29.953840000000014</v>
      </c>
    </row>
    <row r="22" spans="1:19">
      <c r="B22" s="27" t="s">
        <v>182</v>
      </c>
      <c r="E22" s="30"/>
      <c r="F22" s="31">
        <f>'Asset Schedule'!F6</f>
        <v>-124.60000000000014</v>
      </c>
      <c r="G22" s="31">
        <f>'Asset Schedule'!G6</f>
        <v>0</v>
      </c>
      <c r="H22" s="31">
        <f>'Asset Schedule'!H6</f>
        <v>0</v>
      </c>
      <c r="I22" s="31">
        <f>'Asset Schedule'!I6</f>
        <v>0</v>
      </c>
      <c r="J22" s="31">
        <f>'Asset Schedule'!J6</f>
        <v>0</v>
      </c>
      <c r="K22" s="31">
        <f>'Asset Schedule'!K6</f>
        <v>0</v>
      </c>
      <c r="L22" s="31">
        <f>'Asset Schedule'!L6</f>
        <v>-30.309999999999945</v>
      </c>
      <c r="M22" s="31">
        <f>'Asset Schedule'!M6</f>
        <v>0</v>
      </c>
      <c r="N22" s="31">
        <f>'Asset Schedule'!N6</f>
        <v>0</v>
      </c>
      <c r="O22" s="31">
        <f>'Asset Schedule'!O6</f>
        <v>0</v>
      </c>
      <c r="P22" s="31">
        <f>'Asset Schedule'!P6</f>
        <v>0</v>
      </c>
      <c r="Q22" s="31">
        <f>'Asset Schedule'!Q6</f>
        <v>0</v>
      </c>
      <c r="R22" s="31">
        <f>'Asset Schedule'!R6</f>
        <v>0</v>
      </c>
      <c r="S22" s="31">
        <f>'Asset Schedule'!S6</f>
        <v>0</v>
      </c>
    </row>
    <row r="23" spans="1:19">
      <c r="B23" s="27" t="s">
        <v>183</v>
      </c>
      <c r="E23" s="30"/>
      <c r="F23" s="31">
        <f>-('Balance Sheet'!F10-'Balance Sheet'!E10)</f>
        <v>39.129999999999995</v>
      </c>
      <c r="G23" s="31">
        <f>-('Balance Sheet'!G10-'Balance Sheet'!F10)</f>
        <v>-26.799999999999983</v>
      </c>
      <c r="H23" s="31">
        <f>-('Balance Sheet'!H10-'Balance Sheet'!G10)</f>
        <v>28.889999999999986</v>
      </c>
      <c r="I23" s="31">
        <f>-('Balance Sheet'!I10-'Balance Sheet'!H10)</f>
        <v>-57.009999999999991</v>
      </c>
      <c r="J23" s="31">
        <f>-('Balance Sheet'!J10-'Balance Sheet'!I10)</f>
        <v>-48.180000000000007</v>
      </c>
      <c r="K23" s="31">
        <f>-('Balance Sheet'!K10-'Balance Sheet'!J10)</f>
        <v>142.13</v>
      </c>
      <c r="L23" s="31">
        <f>-('Balance Sheet'!L10-'Balance Sheet'!K10)</f>
        <v>-276.39999999999998</v>
      </c>
      <c r="M23" s="31">
        <f>-('Balance Sheet'!M10-'Balance Sheet'!L10)</f>
        <v>124.67999999999998</v>
      </c>
      <c r="N23" s="31">
        <f>-('Balance Sheet'!N10-'Balance Sheet'!M10)</f>
        <v>-327.68000000000006</v>
      </c>
      <c r="O23" s="31">
        <f>-('Balance Sheet'!O10-'Balance Sheet'!N10)</f>
        <v>149.89044832084147</v>
      </c>
      <c r="P23" s="31">
        <f>-('Balance Sheet'!P10-'Balance Sheet'!O10)</f>
        <v>-32.912886768106773</v>
      </c>
      <c r="Q23" s="31">
        <f>-('Balance Sheet'!Q10-'Balance Sheet'!P10)</f>
        <v>-101.37115944373494</v>
      </c>
      <c r="R23" s="31">
        <f>-('Balance Sheet'!R10-'Balance Sheet'!Q10)</f>
        <v>-25.311848867829667</v>
      </c>
      <c r="S23" s="31">
        <f>-('Balance Sheet'!S10-'Balance Sheet'!R10)</f>
        <v>-84.226327753163901</v>
      </c>
    </row>
    <row r="24" spans="1:19">
      <c r="B24" s="27" t="s">
        <v>184</v>
      </c>
      <c r="E24" s="30"/>
      <c r="F24" s="31">
        <f>-('Balance Sheet'!F11-'Balance Sheet'!E11)</f>
        <v>-6.9999999999999993E-2</v>
      </c>
      <c r="G24" s="31">
        <f>-('Balance Sheet'!G11-'Balance Sheet'!F11)</f>
        <v>-32.72</v>
      </c>
      <c r="H24" s="31">
        <f>-('Balance Sheet'!H11-'Balance Sheet'!G11)</f>
        <v>1.2600000000000016</v>
      </c>
      <c r="I24" s="31">
        <f>-('Balance Sheet'!I11-'Balance Sheet'!H11)</f>
        <v>2.16</v>
      </c>
      <c r="J24" s="31">
        <f>-('Balance Sheet'!J11-'Balance Sheet'!I11)</f>
        <v>3.91</v>
      </c>
      <c r="K24" s="31">
        <f>-('Balance Sheet'!K11-'Balance Sheet'!J11)</f>
        <v>13.66</v>
      </c>
      <c r="L24" s="31">
        <f>-('Balance Sheet'!L11-'Balance Sheet'!K11)</f>
        <v>2.5600000000000005</v>
      </c>
      <c r="M24" s="31">
        <f>-('Balance Sheet'!M11-'Balance Sheet'!L11)</f>
        <v>9.26</v>
      </c>
      <c r="N24" s="31">
        <f>-('Balance Sheet'!N11-'Balance Sheet'!M11)</f>
        <v>0</v>
      </c>
      <c r="O24" s="31">
        <f>-('Balance Sheet'!O11-'Balance Sheet'!N11)</f>
        <v>-9.3119999999999994</v>
      </c>
      <c r="P24" s="31">
        <f>-('Balance Sheet'!P11-'Balance Sheet'!O11)</f>
        <v>3.2336</v>
      </c>
      <c r="Q24" s="31">
        <f>-('Balance Sheet'!Q11-'Balance Sheet'!P11)</f>
        <v>1.14832</v>
      </c>
      <c r="R24" s="31">
        <f>-('Balance Sheet'!R11-'Balance Sheet'!Q11)</f>
        <v>0.8659839999999992</v>
      </c>
      <c r="S24" s="31">
        <f>-('Balance Sheet'!S11-'Balance Sheet'!R11)</f>
        <v>-0.81281919999999985</v>
      </c>
    </row>
    <row r="25" spans="1:19">
      <c r="B25" s="27" t="s">
        <v>185</v>
      </c>
      <c r="E25" s="30"/>
      <c r="F25" s="31">
        <f>-('Balance Sheet'!F12-'Balance Sheet'!E12)</f>
        <v>-44.86</v>
      </c>
      <c r="G25" s="31">
        <f>-('Balance Sheet'!G12-'Balance Sheet'!F12)</f>
        <v>-42.69</v>
      </c>
      <c r="H25" s="31">
        <f>-('Balance Sheet'!H12-'Balance Sheet'!G12)</f>
        <v>-12.310000000000002</v>
      </c>
      <c r="I25" s="31">
        <f>-('Balance Sheet'!I12-'Balance Sheet'!H12)</f>
        <v>-42.69</v>
      </c>
      <c r="J25" s="31">
        <f>-('Balance Sheet'!J12-'Balance Sheet'!I12)</f>
        <v>-19.400000000000006</v>
      </c>
      <c r="K25" s="31">
        <f>-('Balance Sheet'!K12-'Balance Sheet'!J12)</f>
        <v>16.230000000000018</v>
      </c>
      <c r="L25" s="31">
        <f>-('Balance Sheet'!L12-'Balance Sheet'!K12)</f>
        <v>5.4199999999999875</v>
      </c>
      <c r="M25" s="31">
        <f>-('Balance Sheet'!M12-'Balance Sheet'!L12)</f>
        <v>11.090000000000003</v>
      </c>
      <c r="N25" s="31">
        <f>-('Balance Sheet'!N12-'Balance Sheet'!M12)</f>
        <v>-216.07000000000002</v>
      </c>
      <c r="O25" s="31">
        <f>-('Balance Sheet'!O12-'Balance Sheet'!N12)</f>
        <v>160.78800000000001</v>
      </c>
      <c r="P25" s="31">
        <f>-('Balance Sheet'!P12-'Balance Sheet'!O12)</f>
        <v>-4.5083999999999946</v>
      </c>
      <c r="Q25" s="31">
        <f>-('Balance Sheet'!Q12-'Balance Sheet'!P12)</f>
        <v>-8.6560799999999745</v>
      </c>
      <c r="R25" s="31">
        <f>-('Balance Sheet'!R12-'Balance Sheet'!Q12)</f>
        <v>-11.471295999999995</v>
      </c>
      <c r="S25" s="31">
        <f>-('Balance Sheet'!S12-'Balance Sheet'!R12)</f>
        <v>-15.983555199999955</v>
      </c>
    </row>
    <row r="26" spans="1:19">
      <c r="B26" s="27" t="s">
        <v>186</v>
      </c>
      <c r="E26" s="30"/>
      <c r="F26" s="31">
        <f>-('Balance Sheet'!F13-'Balance Sheet'!E13)</f>
        <v>6.94</v>
      </c>
      <c r="G26" s="31">
        <f>-('Balance Sheet'!G13-'Balance Sheet'!F13)</f>
        <v>-1.0199999999999998</v>
      </c>
      <c r="H26" s="31">
        <f>-('Balance Sheet'!H13-'Balance Sheet'!G13)</f>
        <v>1.41</v>
      </c>
      <c r="I26" s="31">
        <f>-('Balance Sheet'!I13-'Balance Sheet'!H13)</f>
        <v>-5.9300000000000006</v>
      </c>
      <c r="J26" s="31">
        <f>-('Balance Sheet'!J13-'Balance Sheet'!I13)</f>
        <v>3.5600000000000005</v>
      </c>
      <c r="K26" s="31">
        <f>-('Balance Sheet'!K13-'Balance Sheet'!J13)</f>
        <v>-55.83</v>
      </c>
      <c r="L26" s="31">
        <f>-('Balance Sheet'!L13-'Balance Sheet'!K13)</f>
        <v>45.25</v>
      </c>
      <c r="M26" s="31">
        <f>-('Balance Sheet'!M13-'Balance Sheet'!L13)</f>
        <v>2.1500000000000004</v>
      </c>
      <c r="N26" s="31">
        <f>-('Balance Sheet'!N13-'Balance Sheet'!M13)</f>
        <v>-22.34</v>
      </c>
      <c r="O26" s="31">
        <f>-('Balance Sheet'!O13-'Balance Sheet'!N13)</f>
        <v>9.6479999999999997</v>
      </c>
      <c r="P26" s="31">
        <f>-('Balance Sheet'!P13-'Balance Sheet'!O13)</f>
        <v>-4.2243999999999993</v>
      </c>
      <c r="Q26" s="31">
        <f>-('Balance Sheet'!Q13-'Balance Sheet'!P13)</f>
        <v>6.0967200000000012</v>
      </c>
      <c r="R26" s="31">
        <f>-('Balance Sheet'!R13-'Balance Sheet'!Q13)</f>
        <v>-1.7339360000000035</v>
      </c>
      <c r="S26" s="31">
        <f>-('Balance Sheet'!S13-'Balance Sheet'!R13)</f>
        <v>-2.5107231999999975</v>
      </c>
    </row>
    <row r="27" spans="1:19">
      <c r="B27" s="27" t="s">
        <v>170</v>
      </c>
      <c r="F27" s="33">
        <f>-('Balance Sheet'!F17-'Balance Sheet'!E17)</f>
        <v>0</v>
      </c>
      <c r="G27" s="33">
        <f>-('Balance Sheet'!G17-'Balance Sheet'!F17)</f>
        <v>0</v>
      </c>
      <c r="H27" s="33">
        <f>-('Balance Sheet'!H17-'Balance Sheet'!G17)</f>
        <v>0</v>
      </c>
      <c r="I27" s="33">
        <f>-('Balance Sheet'!I17-'Balance Sheet'!H17)</f>
        <v>0</v>
      </c>
      <c r="J27" s="33">
        <f>-('Balance Sheet'!J17-'Balance Sheet'!I17)</f>
        <v>-40</v>
      </c>
      <c r="K27" s="33">
        <f>-('Balance Sheet'!K17-'Balance Sheet'!J17)</f>
        <v>-583.13</v>
      </c>
      <c r="L27" s="33">
        <f>-('Balance Sheet'!L17-'Balance Sheet'!K17)</f>
        <v>-140.91999999999996</v>
      </c>
      <c r="M27" s="33">
        <f>-('Balance Sheet'!M17-'Balance Sheet'!L17)</f>
        <v>-586.44000000000005</v>
      </c>
      <c r="N27" s="33">
        <f>-('Balance Sheet'!N17-'Balance Sheet'!M17)</f>
        <v>-471.93000000000006</v>
      </c>
      <c r="O27" s="33">
        <f>-('Balance Sheet'!O17-'Balance Sheet'!N17)</f>
        <v>648.35241058773545</v>
      </c>
      <c r="P27" s="33">
        <f>-('Balance Sheet'!P17-'Balance Sheet'!O17)</f>
        <v>-357.69761420614464</v>
      </c>
      <c r="Q27" s="33">
        <f>-('Balance Sheet'!Q17-'Balance Sheet'!P17)</f>
        <v>-231.56343493208601</v>
      </c>
      <c r="R27" s="33">
        <f>-('Balance Sheet'!R17-'Balance Sheet'!Q17)</f>
        <v>-241.11862196573884</v>
      </c>
      <c r="S27" s="33">
        <f>-('Balance Sheet'!S17-'Balance Sheet'!R17)</f>
        <v>-114.87212360779313</v>
      </c>
    </row>
    <row r="28" spans="1:19">
      <c r="B28" s="27" t="s">
        <v>172</v>
      </c>
      <c r="F28" s="33">
        <f>-('Balance Sheet'!F18-'Balance Sheet'!E18)</f>
        <v>-23.749999999999996</v>
      </c>
      <c r="G28" s="33">
        <f>-('Balance Sheet'!G18-'Balance Sheet'!F18)</f>
        <v>20.569999999999997</v>
      </c>
      <c r="H28" s="33">
        <f>-('Balance Sheet'!H18-'Balance Sheet'!G18)</f>
        <v>19.52</v>
      </c>
      <c r="I28" s="33">
        <f>-('Balance Sheet'!I18-'Balance Sheet'!H18)</f>
        <v>-306.01</v>
      </c>
      <c r="J28" s="33">
        <f>-('Balance Sheet'!J18-'Balance Sheet'!I18)</f>
        <v>35.339999999999975</v>
      </c>
      <c r="K28" s="33">
        <f>-('Balance Sheet'!K18-'Balance Sheet'!J18)</f>
        <v>-250.01000000000005</v>
      </c>
      <c r="L28" s="33">
        <f>-('Balance Sheet'!L18-'Balance Sheet'!K18)</f>
        <v>124.20000000000005</v>
      </c>
      <c r="M28" s="33">
        <f>-('Balance Sheet'!M18-'Balance Sheet'!L18)</f>
        <v>-288.12</v>
      </c>
      <c r="N28" s="33">
        <f>-('Balance Sheet'!N18-'Balance Sheet'!M18)</f>
        <v>292.88</v>
      </c>
      <c r="O28" s="33">
        <f>-('Balance Sheet'!O18-'Balance Sheet'!N18)</f>
        <v>402.36</v>
      </c>
      <c r="P28" s="33">
        <f>-('Balance Sheet'!P18-'Balance Sheet'!O18)</f>
        <v>0</v>
      </c>
      <c r="Q28" s="33">
        <f>-('Balance Sheet'!Q18-'Balance Sheet'!P18)</f>
        <v>0</v>
      </c>
      <c r="R28" s="33">
        <f>-('Balance Sheet'!R18-'Balance Sheet'!Q18)</f>
        <v>0</v>
      </c>
      <c r="S28" s="33">
        <f>-('Balance Sheet'!S18-'Balance Sheet'!R18)</f>
        <v>0</v>
      </c>
    </row>
    <row r="30" spans="1:19">
      <c r="B30" s="32" t="s">
        <v>187</v>
      </c>
      <c r="F30" s="33">
        <f>SUM(F21:F28)</f>
        <v>-147.21000000000015</v>
      </c>
      <c r="G30" s="33">
        <f t="shared" ref="G30:S30" si="2">SUM(G21:G28)</f>
        <v>-353.09000000000003</v>
      </c>
      <c r="H30" s="33">
        <f t="shared" si="2"/>
        <v>108.18000000000006</v>
      </c>
      <c r="I30" s="33">
        <f t="shared" si="2"/>
        <v>-426.83000000000015</v>
      </c>
      <c r="J30" s="33">
        <f t="shared" si="2"/>
        <v>-126.87999999999994</v>
      </c>
      <c r="K30" s="33">
        <f t="shared" si="2"/>
        <v>-1068.97</v>
      </c>
      <c r="L30" s="33">
        <f t="shared" si="2"/>
        <v>362.30000000000018</v>
      </c>
      <c r="M30" s="33">
        <f t="shared" si="2"/>
        <v>-1305.4099999999999</v>
      </c>
      <c r="N30" s="33">
        <f t="shared" si="2"/>
        <v>-588.25000000000034</v>
      </c>
      <c r="O30" s="33">
        <f t="shared" si="2"/>
        <v>1400.4368589085771</v>
      </c>
      <c r="P30" s="33">
        <f t="shared" si="2"/>
        <v>-416.49970097425131</v>
      </c>
      <c r="Q30" s="33">
        <f t="shared" si="2"/>
        <v>-288.40963437582093</v>
      </c>
      <c r="R30" s="33">
        <f t="shared" si="2"/>
        <v>-350.14651883356845</v>
      </c>
      <c r="S30" s="33">
        <f t="shared" si="2"/>
        <v>-188.45170896095698</v>
      </c>
    </row>
    <row r="32" spans="1:19">
      <c r="A32" s="32" t="s">
        <v>188</v>
      </c>
    </row>
    <row r="34" spans="1:19">
      <c r="B34" t="s">
        <v>189</v>
      </c>
      <c r="F34" s="33">
        <f>'Balance Sheet'!F23-'Balance Sheet'!E23</f>
        <v>0</v>
      </c>
      <c r="G34" s="33">
        <f>'Balance Sheet'!G23-'Balance Sheet'!F23</f>
        <v>0</v>
      </c>
      <c r="H34" s="33">
        <f>'Balance Sheet'!H23-'Balance Sheet'!G23</f>
        <v>0</v>
      </c>
      <c r="I34" s="33">
        <f>'Balance Sheet'!I23-'Balance Sheet'!H23</f>
        <v>0</v>
      </c>
      <c r="J34" s="33">
        <f>'Balance Sheet'!J23-'Balance Sheet'!I23</f>
        <v>7.6699999999999875</v>
      </c>
      <c r="K34" s="33">
        <f>'Balance Sheet'!K23-'Balance Sheet'!J23</f>
        <v>0.24000000000000909</v>
      </c>
      <c r="L34" s="33">
        <f>'Balance Sheet'!L23-'Balance Sheet'!K23</f>
        <v>0.31999999999999318</v>
      </c>
      <c r="M34" s="33">
        <f>'Balance Sheet'!M23-'Balance Sheet'!L23</f>
        <v>0.31999999999999318</v>
      </c>
      <c r="N34" s="33">
        <f>'Balance Sheet'!N23-'Balance Sheet'!M23</f>
        <v>0.48000000000001819</v>
      </c>
      <c r="O34" s="33">
        <f>'Balance Sheet'!O23-'Balance Sheet'!N23</f>
        <v>0</v>
      </c>
      <c r="P34" s="33">
        <f>'Balance Sheet'!P23-'Balance Sheet'!O23</f>
        <v>0</v>
      </c>
      <c r="Q34" s="33">
        <f>'Balance Sheet'!Q23-'Balance Sheet'!P23</f>
        <v>0</v>
      </c>
      <c r="R34" s="33">
        <f>'Balance Sheet'!R23-'Balance Sheet'!Q23</f>
        <v>0</v>
      </c>
      <c r="S34" s="33">
        <f>'Balance Sheet'!S23-'Balance Sheet'!R23</f>
        <v>0</v>
      </c>
    </row>
    <row r="35" spans="1:19">
      <c r="B35" t="s">
        <v>190</v>
      </c>
      <c r="F35" s="33">
        <f>'Balance Sheet'!F24-'Balance Sheet'!E24</f>
        <v>0</v>
      </c>
      <c r="G35" s="33">
        <f>'Balance Sheet'!G24-'Balance Sheet'!F24</f>
        <v>0</v>
      </c>
      <c r="H35" s="33">
        <f>'Balance Sheet'!H24-'Balance Sheet'!G24</f>
        <v>0</v>
      </c>
      <c r="I35" s="33">
        <f>'Balance Sheet'!I24-'Balance Sheet'!H24</f>
        <v>0</v>
      </c>
      <c r="J35" s="33">
        <f>'Balance Sheet'!J24-'Balance Sheet'!I24</f>
        <v>0</v>
      </c>
      <c r="K35" s="33">
        <f>'Balance Sheet'!K24-'Balance Sheet'!J24</f>
        <v>0</v>
      </c>
      <c r="L35" s="33">
        <f>'Balance Sheet'!L24-'Balance Sheet'!K24</f>
        <v>0</v>
      </c>
      <c r="M35" s="33">
        <f>'Balance Sheet'!M24-'Balance Sheet'!L24</f>
        <v>0</v>
      </c>
      <c r="N35" s="33">
        <f>'Balance Sheet'!N24-'Balance Sheet'!M24</f>
        <v>0</v>
      </c>
      <c r="O35" s="33">
        <f>'Balance Sheet'!O24-'Balance Sheet'!N24</f>
        <v>0</v>
      </c>
      <c r="P35" s="33">
        <f>'Balance Sheet'!P24-'Balance Sheet'!O24</f>
        <v>0</v>
      </c>
      <c r="Q35" s="33">
        <f>'Balance Sheet'!Q24-'Balance Sheet'!P24</f>
        <v>0</v>
      </c>
      <c r="R35" s="33">
        <f>'Balance Sheet'!R24-'Balance Sheet'!Q24</f>
        <v>0</v>
      </c>
      <c r="S35" s="33">
        <f>'Balance Sheet'!S24-'Balance Sheet'!R24</f>
        <v>0</v>
      </c>
    </row>
    <row r="36" spans="1:19">
      <c r="B36" t="s">
        <v>191</v>
      </c>
      <c r="F36" s="33">
        <f>'Balance Sheet'!F27-'Balance Sheet'!E27</f>
        <v>100.85</v>
      </c>
      <c r="G36" s="33">
        <f>'Balance Sheet'!G27-'Balance Sheet'!F27</f>
        <v>60.91</v>
      </c>
      <c r="H36" s="33">
        <f>'Balance Sheet'!H27-'Balance Sheet'!G27</f>
        <v>-2.8100000000000023</v>
      </c>
      <c r="I36" s="33">
        <f>'Balance Sheet'!I27-'Balance Sheet'!H27</f>
        <v>-70.029999999999987</v>
      </c>
      <c r="J36" s="33">
        <f>'Balance Sheet'!J27-'Balance Sheet'!I27</f>
        <v>-78.27</v>
      </c>
      <c r="K36" s="33">
        <f>'Balance Sheet'!K27-'Balance Sheet'!J27</f>
        <v>93.03</v>
      </c>
      <c r="L36" s="33">
        <f>'Balance Sheet'!L27-'Balance Sheet'!K27</f>
        <v>-100.71000000000001</v>
      </c>
      <c r="M36" s="33">
        <f>'Balance Sheet'!M27-'Balance Sheet'!L27</f>
        <v>1.2399999999999998</v>
      </c>
      <c r="N36" s="33">
        <f>'Balance Sheet'!N27-'Balance Sheet'!M27</f>
        <v>18.39</v>
      </c>
      <c r="O36" s="33">
        <f>'Balance Sheet'!O27-'Balance Sheet'!N27</f>
        <v>0</v>
      </c>
      <c r="P36" s="33">
        <f>'Balance Sheet'!P27-'Balance Sheet'!O27</f>
        <v>0</v>
      </c>
      <c r="Q36" s="33">
        <f>'Balance Sheet'!Q27-'Balance Sheet'!P27</f>
        <v>0</v>
      </c>
      <c r="R36" s="33">
        <f>'Balance Sheet'!R27-'Balance Sheet'!Q27</f>
        <v>0</v>
      </c>
      <c r="S36" s="33">
        <f>'Balance Sheet'!S27-'Balance Sheet'!R27</f>
        <v>0</v>
      </c>
    </row>
    <row r="37" spans="1:19">
      <c r="B37" t="s">
        <v>192</v>
      </c>
      <c r="F37" s="33">
        <f>'Balance Sheet'!F28-'Balance Sheet'!E28</f>
        <v>0</v>
      </c>
      <c r="G37" s="33">
        <f>'Balance Sheet'!G28-'Balance Sheet'!F28</f>
        <v>0</v>
      </c>
      <c r="H37" s="33">
        <f>'Balance Sheet'!H28-'Balance Sheet'!G28</f>
        <v>0</v>
      </c>
      <c r="I37" s="33">
        <f>'Balance Sheet'!I28-'Balance Sheet'!H28</f>
        <v>0</v>
      </c>
      <c r="J37" s="33">
        <f>'Balance Sheet'!J28-'Balance Sheet'!I28</f>
        <v>0</v>
      </c>
      <c r="K37" s="33">
        <f>'Balance Sheet'!K28-'Balance Sheet'!J28</f>
        <v>0</v>
      </c>
      <c r="L37" s="33">
        <f>'Balance Sheet'!L28-'Balance Sheet'!K28</f>
        <v>0</v>
      </c>
      <c r="M37" s="33">
        <f>'Balance Sheet'!M28-'Balance Sheet'!L28</f>
        <v>0</v>
      </c>
      <c r="N37" s="33">
        <f>'Balance Sheet'!N28-'Balance Sheet'!M28</f>
        <v>0</v>
      </c>
      <c r="O37" s="33">
        <f>'Balance Sheet'!O28-'Balance Sheet'!N28</f>
        <v>0</v>
      </c>
      <c r="P37" s="33">
        <f>'Balance Sheet'!P28-'Balance Sheet'!O28</f>
        <v>0</v>
      </c>
      <c r="Q37" s="33">
        <f>'Balance Sheet'!Q28-'Balance Sheet'!P28</f>
        <v>0</v>
      </c>
      <c r="R37" s="33">
        <f>'Balance Sheet'!R28-'Balance Sheet'!Q28</f>
        <v>0</v>
      </c>
      <c r="S37" s="33">
        <f>'Balance Sheet'!S28-'Balance Sheet'!R28</f>
        <v>0</v>
      </c>
    </row>
    <row r="38" spans="1:19">
      <c r="B38" t="s">
        <v>194</v>
      </c>
      <c r="F38" s="33">
        <f>'Balance Sheet'!F30-'Balance Sheet'!E30</f>
        <v>10.86</v>
      </c>
      <c r="G38" s="33">
        <f>'Balance Sheet'!G30-'Balance Sheet'!F30</f>
        <v>8.6000000000000014</v>
      </c>
      <c r="H38" s="33">
        <f>'Balance Sheet'!H30-'Balance Sheet'!G30</f>
        <v>-1.240000000000002</v>
      </c>
      <c r="I38" s="33">
        <f>'Balance Sheet'!I30-'Balance Sheet'!H30</f>
        <v>7.48</v>
      </c>
      <c r="J38" s="33">
        <f>'Balance Sheet'!J30-'Balance Sheet'!I30</f>
        <v>21.610000000000003</v>
      </c>
      <c r="K38" s="33">
        <f>'Balance Sheet'!K30-'Balance Sheet'!J30</f>
        <v>9.4199999999999946</v>
      </c>
      <c r="L38" s="33">
        <f>'Balance Sheet'!L30-'Balance Sheet'!K30</f>
        <v>-11.549999999999997</v>
      </c>
      <c r="M38" s="33">
        <f>'Balance Sheet'!M30-'Balance Sheet'!L30</f>
        <v>-6.2299999999999969</v>
      </c>
      <c r="N38" s="33">
        <f>'Balance Sheet'!N30-'Balance Sheet'!M30</f>
        <v>81.599999999999994</v>
      </c>
      <c r="O38" s="33">
        <f>'Balance Sheet'!O30-'Balance Sheet'!N30</f>
        <v>-58.80599999999999</v>
      </c>
      <c r="P38" s="33">
        <f>'Balance Sheet'!P30-'Balance Sheet'!O30</f>
        <v>2.8868000000000009</v>
      </c>
      <c r="Q38" s="33">
        <f>'Balance Sheet'!Q30-'Balance Sheet'!P30</f>
        <v>1.5801600000000064</v>
      </c>
      <c r="R38" s="33">
        <f>'Balance Sheet'!R30-'Balance Sheet'!Q30</f>
        <v>4.2061919999999873</v>
      </c>
      <c r="S38" s="33">
        <f>'Balance Sheet'!S30-'Balance Sheet'!R30</f>
        <v>6.2934303999999912</v>
      </c>
    </row>
    <row r="39" spans="1:19">
      <c r="B39" t="s">
        <v>195</v>
      </c>
      <c r="F39" s="33">
        <f>-('Balance Sheet'!F31-'Balance Sheet'!E31)</f>
        <v>-2.089999999999999</v>
      </c>
      <c r="G39" s="33">
        <f>-('Balance Sheet'!G31-'Balance Sheet'!F31)</f>
        <v>-0.65000000000000036</v>
      </c>
      <c r="H39" s="33">
        <f>-('Balance Sheet'!H31-'Balance Sheet'!G31)</f>
        <v>-0.49000000000000021</v>
      </c>
      <c r="I39" s="33">
        <f>-('Balance Sheet'!I31-'Balance Sheet'!H31)</f>
        <v>-6.7299999999999986</v>
      </c>
      <c r="J39" s="33">
        <f>-('Balance Sheet'!J31-'Balance Sheet'!I31)</f>
        <v>-9.39</v>
      </c>
      <c r="K39" s="33">
        <f>-('Balance Sheet'!K31-'Balance Sheet'!J31)</f>
        <v>0.48999999999999844</v>
      </c>
      <c r="L39" s="33">
        <f>-('Balance Sheet'!L31-'Balance Sheet'!K31)</f>
        <v>-1.2899999999999991</v>
      </c>
      <c r="M39" s="33">
        <f>-('Balance Sheet'!M31-'Balance Sheet'!L31)</f>
        <v>-18.54</v>
      </c>
      <c r="N39" s="33">
        <f>-('Balance Sheet'!N31-'Balance Sheet'!M31)</f>
        <v>-15.149999999999999</v>
      </c>
      <c r="O39" s="33">
        <f>-('Balance Sheet'!O31-'Balance Sheet'!N31)</f>
        <v>23.661999999999999</v>
      </c>
      <c r="P39" s="33">
        <f>-('Balance Sheet'!P31-'Balance Sheet'!O31)</f>
        <v>-2.1655999999999977</v>
      </c>
      <c r="Q39" s="33">
        <f>-('Balance Sheet'!Q31-'Balance Sheet'!P31)</f>
        <v>-2.6967200000000062</v>
      </c>
      <c r="R39" s="33">
        <f>-('Balance Sheet'!R31-'Balance Sheet'!Q31)</f>
        <v>-2.9780640000000034</v>
      </c>
      <c r="S39" s="33">
        <f>-('Balance Sheet'!S31-'Balance Sheet'!R31)</f>
        <v>0.13432320000000431</v>
      </c>
    </row>
    <row r="40" spans="1:19">
      <c r="B40" t="s">
        <v>174</v>
      </c>
      <c r="F40" s="33">
        <f>'Balance Sheet'!F34-'Balance Sheet'!E34</f>
        <v>149.28999999999996</v>
      </c>
      <c r="G40" s="33">
        <f>'Balance Sheet'!G34-'Balance Sheet'!F34</f>
        <v>-35.759999999999991</v>
      </c>
      <c r="H40" s="33">
        <f>'Balance Sheet'!H34-'Balance Sheet'!G34</f>
        <v>-90.279999999999973</v>
      </c>
      <c r="I40" s="33">
        <f>'Balance Sheet'!I34-'Balance Sheet'!H34</f>
        <v>-465.68</v>
      </c>
      <c r="J40" s="33">
        <f>'Balance Sheet'!J34-'Balance Sheet'!I34</f>
        <v>8.3800000000000097</v>
      </c>
      <c r="K40" s="33">
        <f>'Balance Sheet'!K34-'Balance Sheet'!J34</f>
        <v>-22.490000000000009</v>
      </c>
      <c r="L40" s="33">
        <f>'Balance Sheet'!L34-'Balance Sheet'!K34</f>
        <v>-12.419999999999987</v>
      </c>
      <c r="M40" s="33">
        <f>'Balance Sheet'!M34-'Balance Sheet'!L34</f>
        <v>-10.370000000000005</v>
      </c>
      <c r="N40" s="33">
        <f>'Balance Sheet'!N34-'Balance Sheet'!M34</f>
        <v>-3.7800000000000011</v>
      </c>
      <c r="O40" s="33">
        <f>'Balance Sheet'!O34-'Balance Sheet'!N34</f>
        <v>-4.8873319918601723</v>
      </c>
      <c r="P40" s="33">
        <f>'Balance Sheet'!P34-'Balance Sheet'!O34</f>
        <v>4.1638112347032035</v>
      </c>
      <c r="Q40" s="33">
        <f>'Balance Sheet'!Q34-'Balance Sheet'!P34</f>
        <v>5.9132021446924128</v>
      </c>
      <c r="R40" s="33">
        <f>'Balance Sheet'!R34-'Balance Sheet'!Q34</f>
        <v>8.9540770486591583</v>
      </c>
      <c r="S40" s="33">
        <f>'Balance Sheet'!S34-'Balance Sheet'!R34</f>
        <v>6.5670952953331181</v>
      </c>
    </row>
    <row r="41" spans="1:19">
      <c r="B41" t="s">
        <v>176</v>
      </c>
      <c r="F41" s="33">
        <f>'Balance Sheet'!F36-'Balance Sheet'!E36</f>
        <v>0</v>
      </c>
      <c r="G41" s="33">
        <f>'Balance Sheet'!G36-'Balance Sheet'!F36</f>
        <v>0</v>
      </c>
      <c r="H41" s="33">
        <f>'Balance Sheet'!H36-'Balance Sheet'!G36</f>
        <v>0</v>
      </c>
      <c r="I41" s="33">
        <f>'Balance Sheet'!I36-'Balance Sheet'!H36</f>
        <v>0</v>
      </c>
      <c r="J41" s="33">
        <f>'Balance Sheet'!J36-'Balance Sheet'!I36</f>
        <v>2.71</v>
      </c>
      <c r="K41" s="33">
        <f>'Balance Sheet'!K36-'Balance Sheet'!J36</f>
        <v>-2.21</v>
      </c>
      <c r="L41" s="33">
        <f>'Balance Sheet'!L36-'Balance Sheet'!K36</f>
        <v>0.30000000000000004</v>
      </c>
      <c r="M41" s="33">
        <f>'Balance Sheet'!M36-'Balance Sheet'!L36</f>
        <v>-0.52</v>
      </c>
      <c r="N41" s="33">
        <f>'Balance Sheet'!N36-'Balance Sheet'!M36</f>
        <v>0.59</v>
      </c>
      <c r="O41" s="33">
        <f>'Balance Sheet'!O36-'Balance Sheet'!N36</f>
        <v>-0.87</v>
      </c>
      <c r="P41" s="33">
        <f>'Balance Sheet'!P36-'Balance Sheet'!O36</f>
        <v>0</v>
      </c>
      <c r="Q41" s="33">
        <f>'Balance Sheet'!Q36-'Balance Sheet'!P36</f>
        <v>0</v>
      </c>
      <c r="R41" s="33">
        <f>'Balance Sheet'!R36-'Balance Sheet'!Q36</f>
        <v>0</v>
      </c>
      <c r="S41" s="33">
        <f>'Balance Sheet'!S36-'Balance Sheet'!R36</f>
        <v>0</v>
      </c>
    </row>
    <row r="42" spans="1:19">
      <c r="B42" s="40" t="s">
        <v>200</v>
      </c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</row>
    <row r="43" spans="1:19">
      <c r="B43" s="40" t="s">
        <v>201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</row>
    <row r="44" spans="1:19">
      <c r="B44" s="40" t="s">
        <v>202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</row>
    <row r="46" spans="1:19">
      <c r="B46" s="32" t="s">
        <v>188</v>
      </c>
      <c r="F46" s="33">
        <f>SUM(F34:F41)</f>
        <v>258.90999999999997</v>
      </c>
      <c r="G46" s="33">
        <f>SUM(G34:G41)</f>
        <v>33.099999999999994</v>
      </c>
      <c r="H46" s="33">
        <f>SUM(H34:H41)</f>
        <v>-94.819999999999979</v>
      </c>
      <c r="I46" s="33">
        <f>SUM(I34:I41)</f>
        <v>-534.96</v>
      </c>
      <c r="J46" s="33">
        <f>SUM(J34:J41)</f>
        <v>-47.29</v>
      </c>
      <c r="K46" s="33">
        <f>SUM(K34:K41)</f>
        <v>78.47999999999999</v>
      </c>
      <c r="L46" s="33">
        <f>SUM(L34:L41)</f>
        <v>-125.35000000000001</v>
      </c>
      <c r="M46" s="33">
        <f>SUM(M34:M41)</f>
        <v>-34.100000000000009</v>
      </c>
      <c r="N46" s="33">
        <f>SUM(N34:N41)</f>
        <v>82.130000000000024</v>
      </c>
      <c r="O46" s="33">
        <f>SUM(O34:O41)</f>
        <v>-40.901331991860161</v>
      </c>
      <c r="P46" s="33">
        <f>SUM(P34:P41)</f>
        <v>4.8850112347032066</v>
      </c>
      <c r="Q46" s="33">
        <f>SUM(Q34:Q41)</f>
        <v>4.796642144692413</v>
      </c>
      <c r="R46" s="33">
        <f>SUM(R34:R41)</f>
        <v>10.182205048659142</v>
      </c>
      <c r="S46" s="33">
        <f>SUM(S34:S41)</f>
        <v>12.994848895333114</v>
      </c>
    </row>
    <row r="48" spans="1:19">
      <c r="A48" s="32" t="s">
        <v>111</v>
      </c>
      <c r="F48" s="33">
        <f>F46+F30+F18</f>
        <v>-126.64000000000027</v>
      </c>
      <c r="G48" s="33">
        <f>G46+G30+G18</f>
        <v>38.250000000000114</v>
      </c>
      <c r="H48" s="33">
        <f>H46+H30+H18</f>
        <v>67.140000000000114</v>
      </c>
      <c r="I48" s="33">
        <f>I46+I30+I18</f>
        <v>17.539999999999964</v>
      </c>
      <c r="J48" s="33">
        <f>J46+J30+J18</f>
        <v>88.299999999999869</v>
      </c>
      <c r="K48" s="33">
        <f>K46+K30+K18</f>
        <v>314.73</v>
      </c>
      <c r="L48" s="33">
        <f>L46+L30+L18</f>
        <v>891.95000000000016</v>
      </c>
      <c r="M48" s="33">
        <f>M46+M30+M18</f>
        <v>319.3400000000006</v>
      </c>
      <c r="N48" s="33">
        <f>N46+N30+N18</f>
        <v>967</v>
      </c>
      <c r="O48" s="33">
        <f>O46+O30+O18</f>
        <v>498.04541446342182</v>
      </c>
      <c r="P48" s="33">
        <f>P46+P30+P18</f>
        <v>1932.6969426332673</v>
      </c>
      <c r="Q48" s="33">
        <f>Q46+Q30+Q18</f>
        <v>686.47763603550459</v>
      </c>
      <c r="R48" s="33">
        <f>R46+R30+R18</f>
        <v>1747.2124746726836</v>
      </c>
      <c r="S48" s="33">
        <f>S46+S30+S18</f>
        <v>5708.1253599846968</v>
      </c>
    </row>
    <row r="50" spans="1:19">
      <c r="A50" s="32" t="s">
        <v>196</v>
      </c>
    </row>
    <row r="51" spans="1:19">
      <c r="B51" s="32" t="s">
        <v>197</v>
      </c>
      <c r="F51" s="33">
        <f>E53</f>
        <v>26.98</v>
      </c>
      <c r="G51" s="33">
        <f t="shared" ref="G51:S51" si="3">F53</f>
        <v>-99.660000000000267</v>
      </c>
      <c r="H51" s="33">
        <f t="shared" si="3"/>
        <v>-61.410000000000153</v>
      </c>
      <c r="I51" s="33">
        <f t="shared" si="3"/>
        <v>5.7299999999999613</v>
      </c>
      <c r="J51" s="33">
        <f t="shared" si="3"/>
        <v>23.269999999999925</v>
      </c>
      <c r="K51" s="33">
        <f t="shared" si="3"/>
        <v>111.56999999999979</v>
      </c>
      <c r="L51" s="33">
        <f t="shared" si="3"/>
        <v>426.29999999999984</v>
      </c>
      <c r="M51" s="33">
        <f t="shared" si="3"/>
        <v>1318.25</v>
      </c>
      <c r="N51" s="33">
        <f t="shared" si="3"/>
        <v>1637.5900000000006</v>
      </c>
      <c r="O51" s="33">
        <f t="shared" si="3"/>
        <v>2604.5900000000006</v>
      </c>
      <c r="P51" s="33">
        <f t="shared" si="3"/>
        <v>3102.6354144634224</v>
      </c>
      <c r="Q51" s="33">
        <f t="shared" si="3"/>
        <v>5035.3323570966895</v>
      </c>
      <c r="R51" s="33">
        <f t="shared" si="3"/>
        <v>5721.809993132194</v>
      </c>
      <c r="S51" s="33">
        <f t="shared" si="3"/>
        <v>7469.022467804878</v>
      </c>
    </row>
    <row r="52" spans="1:19">
      <c r="B52" s="34" t="s">
        <v>188</v>
      </c>
      <c r="F52" s="33">
        <f>F48</f>
        <v>-126.64000000000027</v>
      </c>
      <c r="G52" s="33">
        <f t="shared" ref="G52:S52" si="4">G48</f>
        <v>38.250000000000114</v>
      </c>
      <c r="H52" s="33">
        <f t="shared" si="4"/>
        <v>67.140000000000114</v>
      </c>
      <c r="I52" s="33">
        <f t="shared" si="4"/>
        <v>17.539999999999964</v>
      </c>
      <c r="J52" s="33">
        <f t="shared" si="4"/>
        <v>88.299999999999869</v>
      </c>
      <c r="K52" s="33">
        <f t="shared" si="4"/>
        <v>314.73</v>
      </c>
      <c r="L52" s="33">
        <f t="shared" si="4"/>
        <v>891.95000000000016</v>
      </c>
      <c r="M52" s="33">
        <f t="shared" si="4"/>
        <v>319.3400000000006</v>
      </c>
      <c r="N52" s="33">
        <f t="shared" si="4"/>
        <v>967</v>
      </c>
      <c r="O52" s="33">
        <f t="shared" si="4"/>
        <v>498.04541446342182</v>
      </c>
      <c r="P52" s="33">
        <f t="shared" si="4"/>
        <v>1932.6969426332673</v>
      </c>
      <c r="Q52" s="33">
        <f t="shared" si="4"/>
        <v>686.47763603550459</v>
      </c>
      <c r="R52" s="33">
        <f t="shared" si="4"/>
        <v>1747.2124746726836</v>
      </c>
      <c r="S52" s="33">
        <f t="shared" si="4"/>
        <v>5708.1253599846968</v>
      </c>
    </row>
    <row r="53" spans="1:19">
      <c r="B53" s="32" t="s">
        <v>198</v>
      </c>
      <c r="E53" s="33">
        <f>'Balance Sheet'!E18</f>
        <v>26.98</v>
      </c>
      <c r="F53" s="33">
        <f>F51+F52</f>
        <v>-99.660000000000267</v>
      </c>
      <c r="G53" s="33">
        <f t="shared" ref="G53:S53" si="5">G51+G52</f>
        <v>-61.410000000000153</v>
      </c>
      <c r="H53" s="33">
        <f t="shared" si="5"/>
        <v>5.7299999999999613</v>
      </c>
      <c r="I53" s="33">
        <f t="shared" si="5"/>
        <v>23.269999999999925</v>
      </c>
      <c r="J53" s="33">
        <f t="shared" si="5"/>
        <v>111.56999999999979</v>
      </c>
      <c r="K53" s="33">
        <f t="shared" si="5"/>
        <v>426.29999999999984</v>
      </c>
      <c r="L53" s="33">
        <f t="shared" si="5"/>
        <v>1318.25</v>
      </c>
      <c r="M53" s="33">
        <f t="shared" si="5"/>
        <v>1637.5900000000006</v>
      </c>
      <c r="N53" s="33">
        <f t="shared" si="5"/>
        <v>2604.5900000000006</v>
      </c>
      <c r="O53" s="33">
        <f t="shared" si="5"/>
        <v>3102.6354144634224</v>
      </c>
      <c r="P53" s="33">
        <f t="shared" si="5"/>
        <v>5035.3323570966895</v>
      </c>
      <c r="Q53" s="33">
        <f t="shared" si="5"/>
        <v>5721.809993132194</v>
      </c>
      <c r="R53" s="33">
        <f t="shared" si="5"/>
        <v>7469.022467804878</v>
      </c>
      <c r="S53" s="33">
        <f t="shared" si="5"/>
        <v>13177.147827789575</v>
      </c>
    </row>
    <row r="54" spans="1:19">
      <c r="B54" s="27" t="s">
        <v>199</v>
      </c>
      <c r="E54" s="33">
        <f>'Balance Sheet'!E18</f>
        <v>26.98</v>
      </c>
      <c r="F54" s="33">
        <f>'Balance Sheet'!F18</f>
        <v>50.73</v>
      </c>
      <c r="G54" s="33">
        <f>'Balance Sheet'!G18</f>
        <v>30.16</v>
      </c>
      <c r="H54" s="33">
        <f>'Balance Sheet'!H18</f>
        <v>10.64</v>
      </c>
      <c r="I54" s="33">
        <f>'Balance Sheet'!I18</f>
        <v>316.64999999999998</v>
      </c>
      <c r="J54" s="33">
        <f>'Balance Sheet'!J18</f>
        <v>281.31</v>
      </c>
      <c r="K54" s="33">
        <f>'Balance Sheet'!K18</f>
        <v>531.32000000000005</v>
      </c>
      <c r="L54" s="33">
        <f>'Balance Sheet'!L18</f>
        <v>407.12</v>
      </c>
      <c r="M54" s="33">
        <f>'Balance Sheet'!M18</f>
        <v>695.24</v>
      </c>
      <c r="N54" s="33">
        <f>'Balance Sheet'!N18</f>
        <v>402.36</v>
      </c>
      <c r="O54" s="33"/>
      <c r="P54" s="3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881C-A161-AB4B-A2FE-DB5ED29A95A9}">
  <dimension ref="A1:S17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F6" sqref="F6"/>
    </sheetView>
  </sheetViews>
  <sheetFormatPr baseColWidth="10" defaultRowHeight="16"/>
  <cols>
    <col min="1" max="1" width="5" style="6" customWidth="1"/>
    <col min="2" max="2" width="4.6640625" style="6" customWidth="1"/>
    <col min="3" max="3" width="31" style="6" customWidth="1"/>
    <col min="4" max="4" width="6" style="6" customWidth="1"/>
    <col min="5" max="5" width="9.33203125" style="6" customWidth="1"/>
    <col min="6" max="16384" width="10.83203125" style="6"/>
  </cols>
  <sheetData>
    <row r="1" spans="1:19" ht="19">
      <c r="A1" s="5" t="s">
        <v>117</v>
      </c>
      <c r="I1" s="2" t="s">
        <v>150</v>
      </c>
    </row>
    <row r="2" spans="1:19">
      <c r="A2" s="7" t="s">
        <v>1</v>
      </c>
      <c r="E2" s="21" t="s">
        <v>135</v>
      </c>
      <c r="F2" s="21" t="s">
        <v>136</v>
      </c>
      <c r="G2" s="21" t="s">
        <v>137</v>
      </c>
      <c r="H2" s="21" t="s">
        <v>138</v>
      </c>
      <c r="I2" s="21" t="s">
        <v>139</v>
      </c>
      <c r="J2" s="21" t="s">
        <v>140</v>
      </c>
      <c r="K2" s="21" t="s">
        <v>141</v>
      </c>
      <c r="L2" s="21" t="s">
        <v>142</v>
      </c>
      <c r="M2" s="21" t="s">
        <v>143</v>
      </c>
      <c r="N2" s="21" t="s">
        <v>144</v>
      </c>
      <c r="O2" s="21" t="s">
        <v>145</v>
      </c>
      <c r="P2" s="21" t="s">
        <v>146</v>
      </c>
      <c r="Q2" s="21" t="s">
        <v>147</v>
      </c>
      <c r="R2" s="21" t="s">
        <v>148</v>
      </c>
      <c r="S2" s="21" t="s">
        <v>149</v>
      </c>
    </row>
    <row r="4" spans="1:19">
      <c r="A4" s="8" t="s">
        <v>118</v>
      </c>
      <c r="F4" s="6">
        <f>E7</f>
        <v>1220.68</v>
      </c>
      <c r="G4" s="6">
        <f t="shared" ref="G4:S4" si="0">F7</f>
        <v>1096.08</v>
      </c>
      <c r="H4" s="6">
        <f t="shared" si="0"/>
        <v>1366.51</v>
      </c>
      <c r="I4" s="6">
        <f t="shared" si="0"/>
        <v>1567.53</v>
      </c>
      <c r="J4" s="6">
        <f t="shared" si="0"/>
        <v>1785.9</v>
      </c>
      <c r="K4" s="6">
        <f t="shared" si="0"/>
        <v>2066.38</v>
      </c>
      <c r="L4" s="6">
        <f t="shared" si="0"/>
        <v>2698.88</v>
      </c>
      <c r="M4" s="6">
        <f t="shared" si="0"/>
        <v>2668.57</v>
      </c>
      <c r="N4" s="6">
        <f t="shared" si="0"/>
        <v>3246.6</v>
      </c>
      <c r="O4" s="6">
        <f>N7</f>
        <v>3667.74</v>
      </c>
      <c r="P4" s="6">
        <f t="shared" si="0"/>
        <v>4050.1699999999996</v>
      </c>
      <c r="Q4" s="6">
        <f t="shared" si="0"/>
        <v>4452.99</v>
      </c>
      <c r="R4" s="6">
        <f t="shared" si="0"/>
        <v>4809.8739999999998</v>
      </c>
      <c r="S4" s="6">
        <f t="shared" si="0"/>
        <v>5238.1347999999998</v>
      </c>
    </row>
    <row r="5" spans="1:19">
      <c r="B5" s="6" t="s">
        <v>119</v>
      </c>
      <c r="F5" s="6">
        <f>MAX(0,F7-F4)</f>
        <v>0</v>
      </c>
      <c r="G5" s="6">
        <f t="shared" ref="G5:N5" si="1">MAX(0,G7-G4)</f>
        <v>270.43000000000006</v>
      </c>
      <c r="H5" s="6">
        <f t="shared" si="1"/>
        <v>201.01999999999998</v>
      </c>
      <c r="I5" s="6">
        <f t="shared" si="1"/>
        <v>218.37000000000012</v>
      </c>
      <c r="J5" s="6">
        <f t="shared" si="1"/>
        <v>280.48</v>
      </c>
      <c r="K5" s="6">
        <f t="shared" si="1"/>
        <v>632.5</v>
      </c>
      <c r="L5" s="6">
        <f t="shared" si="1"/>
        <v>0</v>
      </c>
      <c r="M5" s="6">
        <f t="shared" si="1"/>
        <v>578.02999999999975</v>
      </c>
      <c r="N5" s="6">
        <f t="shared" si="1"/>
        <v>421.13999999999987</v>
      </c>
      <c r="O5" s="16">
        <f>AVERAGE(J5:N5)</f>
        <v>382.42999999999995</v>
      </c>
      <c r="P5" s="16">
        <f t="shared" ref="P5:S5" si="2">AVERAGE(K5:O5)</f>
        <v>402.81999999999988</v>
      </c>
      <c r="Q5" s="16">
        <f t="shared" si="2"/>
        <v>356.8839999999999</v>
      </c>
      <c r="R5" s="16">
        <f t="shared" si="2"/>
        <v>428.26079999999985</v>
      </c>
      <c r="S5" s="16">
        <f t="shared" si="2"/>
        <v>398.30695999999983</v>
      </c>
    </row>
    <row r="6" spans="1:19">
      <c r="B6" s="6" t="s">
        <v>120</v>
      </c>
      <c r="F6" s="6">
        <f>(F7-F4-F5)</f>
        <v>-124.60000000000014</v>
      </c>
      <c r="G6" s="6">
        <f t="shared" ref="G6:N6" si="3">(G7-G4-G5)</f>
        <v>0</v>
      </c>
      <c r="H6" s="6">
        <f t="shared" si="3"/>
        <v>0</v>
      </c>
      <c r="I6" s="6">
        <f t="shared" si="3"/>
        <v>0</v>
      </c>
      <c r="J6" s="6">
        <f t="shared" si="3"/>
        <v>0</v>
      </c>
      <c r="K6" s="6">
        <f t="shared" si="3"/>
        <v>0</v>
      </c>
      <c r="L6" s="6">
        <f t="shared" si="3"/>
        <v>-30.309999999999945</v>
      </c>
      <c r="M6" s="6">
        <f t="shared" si="3"/>
        <v>0</v>
      </c>
      <c r="N6" s="6">
        <f t="shared" si="3"/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</row>
    <row r="7" spans="1:19">
      <c r="A7" s="8" t="s">
        <v>121</v>
      </c>
      <c r="E7" s="6">
        <f>'Balance Sheet'!E5</f>
        <v>1220.68</v>
      </c>
      <c r="F7" s="6">
        <f>'Balance Sheet'!F5</f>
        <v>1096.08</v>
      </c>
      <c r="G7" s="6">
        <f>'Balance Sheet'!G5</f>
        <v>1366.51</v>
      </c>
      <c r="H7" s="6">
        <f>'Balance Sheet'!H5</f>
        <v>1567.53</v>
      </c>
      <c r="I7" s="6">
        <f>'Balance Sheet'!I5</f>
        <v>1785.9</v>
      </c>
      <c r="J7" s="6">
        <f>'Balance Sheet'!J5</f>
        <v>2066.38</v>
      </c>
      <c r="K7" s="6">
        <f>'Balance Sheet'!K5</f>
        <v>2698.88</v>
      </c>
      <c r="L7" s="6">
        <f>'Balance Sheet'!L5</f>
        <v>2668.57</v>
      </c>
      <c r="M7" s="6">
        <f>'Balance Sheet'!M5</f>
        <v>3246.6</v>
      </c>
      <c r="N7" s="6">
        <f>'Balance Sheet'!N5</f>
        <v>3667.74</v>
      </c>
      <c r="O7" s="6">
        <f>O4+O5-O6</f>
        <v>4050.1699999999996</v>
      </c>
      <c r="P7" s="6">
        <f t="shared" ref="P7:S7" si="4">P4+P5-P6</f>
        <v>4452.99</v>
      </c>
      <c r="Q7" s="6">
        <f t="shared" si="4"/>
        <v>4809.8739999999998</v>
      </c>
      <c r="R7" s="6">
        <f t="shared" si="4"/>
        <v>5238.1347999999998</v>
      </c>
      <c r="S7" s="6">
        <f t="shared" si="4"/>
        <v>5636.4417599999997</v>
      </c>
    </row>
    <row r="10" spans="1:19">
      <c r="A10" s="8" t="s">
        <v>122</v>
      </c>
    </row>
    <row r="11" spans="1:19">
      <c r="B11" s="6" t="s">
        <v>123</v>
      </c>
      <c r="F11" s="6">
        <f>E14</f>
        <v>395.93</v>
      </c>
      <c r="G11" s="6">
        <f t="shared" ref="G11:S11" si="5">F14</f>
        <v>111.05000000000001</v>
      </c>
      <c r="H11" s="6">
        <f t="shared" si="5"/>
        <v>238.12</v>
      </c>
      <c r="I11" s="6">
        <f t="shared" si="5"/>
        <v>370.4</v>
      </c>
      <c r="J11" s="6">
        <f t="shared" si="5"/>
        <v>510.32</v>
      </c>
      <c r="K11" s="6">
        <f t="shared" si="5"/>
        <v>644.36000000000013</v>
      </c>
      <c r="L11" s="6">
        <f t="shared" si="5"/>
        <v>829.28</v>
      </c>
      <c r="M11" s="6">
        <f t="shared" si="5"/>
        <v>993.45</v>
      </c>
      <c r="N11" s="6">
        <f t="shared" si="5"/>
        <v>1179.6600000000003</v>
      </c>
      <c r="O11" s="6">
        <f t="shared" si="5"/>
        <v>1406.52</v>
      </c>
      <c r="P11" s="6">
        <f t="shared" si="5"/>
        <v>1677.1099700633088</v>
      </c>
      <c r="Q11" s="6">
        <f t="shared" si="5"/>
        <v>1974.61215658689</v>
      </c>
      <c r="R11" s="6">
        <f t="shared" si="5"/>
        <v>2295.9575968198401</v>
      </c>
      <c r="S11" s="6">
        <f t="shared" si="5"/>
        <v>2645.9149415040324</v>
      </c>
    </row>
    <row r="12" spans="1:19">
      <c r="B12" s="6" t="s">
        <v>124</v>
      </c>
      <c r="F12" s="6">
        <f>PnL!F21</f>
        <v>111.12</v>
      </c>
      <c r="G12" s="6">
        <f>PnL!G21</f>
        <v>127.88</v>
      </c>
      <c r="H12" s="6">
        <f>PnL!H21</f>
        <v>132.94999999999999</v>
      </c>
      <c r="I12" s="6">
        <f>PnL!I21</f>
        <v>141.44</v>
      </c>
      <c r="J12" s="6">
        <f>PnL!J21</f>
        <v>160.88999999999999</v>
      </c>
      <c r="K12" s="6">
        <f>PnL!K21</f>
        <v>176.17</v>
      </c>
      <c r="L12" s="6">
        <f>PnL!L21</f>
        <v>201.52</v>
      </c>
      <c r="M12" s="6">
        <f>PnL!M21</f>
        <v>209.16</v>
      </c>
      <c r="N12" s="6">
        <f>PnL!N21</f>
        <v>245.04</v>
      </c>
      <c r="O12" s="16">
        <f>PnL!O21</f>
        <v>270.58997006330873</v>
      </c>
      <c r="P12" s="16">
        <f>PnL!P21</f>
        <v>297.50218652358126</v>
      </c>
      <c r="Q12" s="16">
        <f>PnL!Q21</f>
        <v>321.34544023295001</v>
      </c>
      <c r="R12" s="16">
        <f>PnL!R21</f>
        <v>349.95734468419244</v>
      </c>
      <c r="S12" s="16">
        <f>PnL!S21</f>
        <v>376.5680470454285</v>
      </c>
    </row>
    <row r="13" spans="1:19">
      <c r="B13" s="6" t="s">
        <v>125</v>
      </c>
      <c r="F13" s="6">
        <f>F15-F12-F11</f>
        <v>-396</v>
      </c>
      <c r="G13" s="6">
        <f t="shared" ref="G13:N13" si="6">G15-G12-G11</f>
        <v>-0.81000000000000227</v>
      </c>
      <c r="H13" s="6">
        <f t="shared" si="6"/>
        <v>-0.67000000000001592</v>
      </c>
      <c r="I13" s="6">
        <f t="shared" si="6"/>
        <v>-1.5199999999999818</v>
      </c>
      <c r="J13" s="6">
        <f t="shared" si="6"/>
        <v>-26.849999999999966</v>
      </c>
      <c r="K13" s="6">
        <f t="shared" si="6"/>
        <v>8.7499999999998863</v>
      </c>
      <c r="L13" s="6">
        <f t="shared" si="6"/>
        <v>-37.349999999999909</v>
      </c>
      <c r="M13" s="6">
        <f t="shared" si="6"/>
        <v>-22.949999999999932</v>
      </c>
      <c r="N13" s="6">
        <f t="shared" si="6"/>
        <v>-18.180000000000291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</row>
    <row r="14" spans="1:19">
      <c r="A14" s="8" t="s">
        <v>126</v>
      </c>
      <c r="E14" s="6">
        <f>'Balance Sheet'!E6</f>
        <v>395.93</v>
      </c>
      <c r="F14" s="6">
        <f>F11+F12+F13</f>
        <v>111.05000000000001</v>
      </c>
      <c r="G14" s="6">
        <f t="shared" ref="G14:N14" si="7">G11+G12+G13</f>
        <v>238.12</v>
      </c>
      <c r="H14" s="6">
        <f t="shared" si="7"/>
        <v>370.4</v>
      </c>
      <c r="I14" s="6">
        <f t="shared" si="7"/>
        <v>510.32</v>
      </c>
      <c r="J14" s="6">
        <f t="shared" si="7"/>
        <v>644.36000000000013</v>
      </c>
      <c r="K14" s="6">
        <f t="shared" si="7"/>
        <v>829.28</v>
      </c>
      <c r="L14" s="6">
        <f t="shared" si="7"/>
        <v>993.45</v>
      </c>
      <c r="M14" s="6">
        <f t="shared" si="7"/>
        <v>1179.6600000000003</v>
      </c>
      <c r="N14" s="6">
        <f t="shared" si="7"/>
        <v>1406.52</v>
      </c>
      <c r="O14" s="6">
        <f t="shared" ref="O14" si="8">O11+O12+O13</f>
        <v>1677.1099700633088</v>
      </c>
      <c r="P14" s="6">
        <f t="shared" ref="P14" si="9">P11+P12+P13</f>
        <v>1974.61215658689</v>
      </c>
      <c r="Q14" s="6">
        <f t="shared" ref="Q14" si="10">Q11+Q12+Q13</f>
        <v>2295.9575968198401</v>
      </c>
      <c r="R14" s="6">
        <f t="shared" ref="R14" si="11">R11+R12+R13</f>
        <v>2645.9149415040324</v>
      </c>
      <c r="S14" s="6">
        <f t="shared" ref="S14" si="12">S11+S12+S13</f>
        <v>3022.482988549461</v>
      </c>
    </row>
    <row r="15" spans="1:19">
      <c r="B15" s="6" t="s">
        <v>127</v>
      </c>
      <c r="E15" s="6">
        <f>'Balance Sheet'!E6</f>
        <v>395.93</v>
      </c>
      <c r="F15" s="6">
        <f>'Balance Sheet'!F6</f>
        <v>111.05</v>
      </c>
      <c r="G15" s="6">
        <f>'Balance Sheet'!G6</f>
        <v>238.12</v>
      </c>
      <c r="H15" s="6">
        <f>'Balance Sheet'!H6</f>
        <v>370.4</v>
      </c>
      <c r="I15" s="6">
        <f>'Balance Sheet'!I6</f>
        <v>510.32</v>
      </c>
      <c r="J15" s="6">
        <f>'Balance Sheet'!J6</f>
        <v>644.36</v>
      </c>
      <c r="K15" s="6">
        <f>'Balance Sheet'!K6</f>
        <v>829.28</v>
      </c>
      <c r="L15" s="6">
        <f>'Balance Sheet'!L6</f>
        <v>993.45</v>
      </c>
      <c r="M15" s="6">
        <f>'Balance Sheet'!M6</f>
        <v>1179.6600000000001</v>
      </c>
      <c r="N15" s="6">
        <f>'Balance Sheet'!N6</f>
        <v>1406.52</v>
      </c>
    </row>
    <row r="17" spans="1:19">
      <c r="A17" s="8" t="s">
        <v>8</v>
      </c>
      <c r="E17" s="6">
        <f>E7-E14</f>
        <v>824.75</v>
      </c>
      <c r="F17" s="6">
        <f t="shared" ref="F17:S17" si="13">F7-F14</f>
        <v>985.03</v>
      </c>
      <c r="G17" s="6">
        <f t="shared" si="13"/>
        <v>1128.3899999999999</v>
      </c>
      <c r="H17" s="6">
        <f t="shared" si="13"/>
        <v>1197.1300000000001</v>
      </c>
      <c r="I17" s="6">
        <f t="shared" si="13"/>
        <v>1275.5800000000002</v>
      </c>
      <c r="J17" s="6">
        <f t="shared" si="13"/>
        <v>1422.02</v>
      </c>
      <c r="K17" s="6">
        <f t="shared" si="13"/>
        <v>1869.6000000000001</v>
      </c>
      <c r="L17" s="6">
        <f t="shared" si="13"/>
        <v>1675.1200000000001</v>
      </c>
      <c r="M17" s="6">
        <f t="shared" si="13"/>
        <v>2066.9399999999996</v>
      </c>
      <c r="N17" s="6">
        <f t="shared" si="13"/>
        <v>2261.2199999999998</v>
      </c>
      <c r="O17" s="6">
        <f t="shared" si="13"/>
        <v>2373.0600299366906</v>
      </c>
      <c r="P17" s="6">
        <f t="shared" si="13"/>
        <v>2478.37784341311</v>
      </c>
      <c r="Q17" s="6">
        <f t="shared" si="13"/>
        <v>2513.9164031801597</v>
      </c>
      <c r="R17" s="6">
        <f t="shared" si="13"/>
        <v>2592.2198584959674</v>
      </c>
      <c r="S17" s="6">
        <f t="shared" si="13"/>
        <v>2613.9587714505387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151B-ADFC-5045-8AB5-7FB476304E61}">
  <dimension ref="A1:S17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M17" sqref="M17"/>
    </sheetView>
  </sheetViews>
  <sheetFormatPr baseColWidth="10" defaultRowHeight="16"/>
  <cols>
    <col min="1" max="1" width="5" style="6" customWidth="1"/>
    <col min="2" max="2" width="4.6640625" style="6" customWidth="1"/>
    <col min="3" max="3" width="31" style="6" customWidth="1"/>
    <col min="4" max="4" width="6" style="6" customWidth="1"/>
    <col min="5" max="5" width="9.33203125" style="6" customWidth="1"/>
    <col min="6" max="16384" width="10.83203125" style="6"/>
  </cols>
  <sheetData>
    <row r="1" spans="1:19" ht="19">
      <c r="A1" s="5" t="s">
        <v>128</v>
      </c>
      <c r="I1" s="2" t="s">
        <v>150</v>
      </c>
    </row>
    <row r="2" spans="1:19">
      <c r="A2" s="7" t="s">
        <v>1</v>
      </c>
      <c r="E2" s="21" t="s">
        <v>135</v>
      </c>
      <c r="F2" s="21" t="s">
        <v>136</v>
      </c>
      <c r="G2" s="21" t="s">
        <v>137</v>
      </c>
      <c r="H2" s="21" t="s">
        <v>138</v>
      </c>
      <c r="I2" s="21" t="s">
        <v>139</v>
      </c>
      <c r="J2" s="21" t="s">
        <v>140</v>
      </c>
      <c r="K2" s="21" t="s">
        <v>141</v>
      </c>
      <c r="L2" s="21" t="s">
        <v>142</v>
      </c>
      <c r="M2" s="21" t="s">
        <v>143</v>
      </c>
      <c r="N2" s="21" t="s">
        <v>144</v>
      </c>
      <c r="O2" s="21" t="s">
        <v>145</v>
      </c>
      <c r="P2" s="21" t="s">
        <v>146</v>
      </c>
      <c r="Q2" s="21" t="s">
        <v>147</v>
      </c>
      <c r="R2" s="21" t="s">
        <v>148</v>
      </c>
      <c r="S2" s="21" t="s">
        <v>149</v>
      </c>
    </row>
    <row r="4" spans="1:19">
      <c r="A4" s="8" t="s">
        <v>129</v>
      </c>
    </row>
    <row r="5" spans="1:19">
      <c r="B5" s="6" t="s">
        <v>123</v>
      </c>
      <c r="F5" s="6">
        <f>E8</f>
        <v>0</v>
      </c>
      <c r="G5" s="6">
        <f>F8</f>
        <v>100.85</v>
      </c>
      <c r="H5" s="6">
        <f>G8</f>
        <v>161.76</v>
      </c>
      <c r="I5" s="6">
        <f>H8</f>
        <v>158.94999999999999</v>
      </c>
      <c r="J5" s="6">
        <f>I8</f>
        <v>88.92</v>
      </c>
      <c r="K5" s="6">
        <f>J8</f>
        <v>10.65</v>
      </c>
      <c r="L5" s="6">
        <f>K8</f>
        <v>103.68</v>
      </c>
      <c r="M5" s="6">
        <f>L8</f>
        <v>2.97</v>
      </c>
      <c r="N5" s="6">
        <f>M8</f>
        <v>4.21</v>
      </c>
      <c r="O5" s="6">
        <f>N8</f>
        <v>22.6</v>
      </c>
      <c r="P5" s="6">
        <f>O8</f>
        <v>22.6</v>
      </c>
      <c r="Q5" s="6">
        <f>P8</f>
        <v>22.6</v>
      </c>
      <c r="R5" s="6">
        <f>Q8</f>
        <v>22.6</v>
      </c>
      <c r="S5" s="6">
        <f>R8</f>
        <v>22.6</v>
      </c>
    </row>
    <row r="6" spans="1:19">
      <c r="B6" s="6" t="s">
        <v>130</v>
      </c>
      <c r="F6" s="6">
        <f>MAX(0,F8-F5)</f>
        <v>100.85</v>
      </c>
      <c r="G6" s="6">
        <f t="shared" ref="G6:N6" si="0">MAX(0,G8-G5)</f>
        <v>60.91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93.03</v>
      </c>
      <c r="L6" s="6">
        <f t="shared" si="0"/>
        <v>0</v>
      </c>
      <c r="M6" s="6">
        <f t="shared" si="0"/>
        <v>1.2399999999999998</v>
      </c>
      <c r="N6" s="6">
        <f t="shared" si="0"/>
        <v>18.39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</row>
    <row r="7" spans="1:19">
      <c r="B7" s="6" t="s">
        <v>131</v>
      </c>
      <c r="F7" s="6">
        <f>MAX(0,F5-F8)</f>
        <v>0</v>
      </c>
      <c r="G7" s="6">
        <f t="shared" ref="G7:N7" si="1">MAX(0,G5-G8)</f>
        <v>0</v>
      </c>
      <c r="H7" s="6">
        <f t="shared" si="1"/>
        <v>2.8100000000000023</v>
      </c>
      <c r="I7" s="6">
        <f t="shared" si="1"/>
        <v>70.029999999999987</v>
      </c>
      <c r="J7" s="6">
        <f t="shared" si="1"/>
        <v>78.27</v>
      </c>
      <c r="K7" s="6">
        <f t="shared" si="1"/>
        <v>0</v>
      </c>
      <c r="L7" s="6">
        <f t="shared" si="1"/>
        <v>100.71000000000001</v>
      </c>
      <c r="M7" s="6">
        <f t="shared" si="1"/>
        <v>0</v>
      </c>
      <c r="N7" s="6">
        <f t="shared" si="1"/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</row>
    <row r="8" spans="1:19">
      <c r="A8" s="8" t="s">
        <v>126</v>
      </c>
      <c r="E8" s="6">
        <f>'Balance Sheet'!E27</f>
        <v>0</v>
      </c>
      <c r="F8" s="6">
        <f>'Balance Sheet'!F27</f>
        <v>100.85</v>
      </c>
      <c r="G8" s="6">
        <f>'Balance Sheet'!G27</f>
        <v>161.76</v>
      </c>
      <c r="H8" s="6">
        <f>'Balance Sheet'!H27</f>
        <v>158.94999999999999</v>
      </c>
      <c r="I8" s="6">
        <f>'Balance Sheet'!I27</f>
        <v>88.92</v>
      </c>
      <c r="J8" s="6">
        <f>'Balance Sheet'!J27</f>
        <v>10.65</v>
      </c>
      <c r="K8" s="6">
        <f>'Balance Sheet'!K27</f>
        <v>103.68</v>
      </c>
      <c r="L8" s="6">
        <f>'Balance Sheet'!L27</f>
        <v>2.97</v>
      </c>
      <c r="M8" s="6">
        <f>'Balance Sheet'!M27</f>
        <v>4.21</v>
      </c>
      <c r="N8" s="6">
        <f>'Balance Sheet'!N27</f>
        <v>22.6</v>
      </c>
      <c r="O8" s="6">
        <f>O5+O6-O7</f>
        <v>22.6</v>
      </c>
      <c r="P8" s="6">
        <f t="shared" ref="P8:S8" si="2">P5+P6-P7</f>
        <v>22.6</v>
      </c>
      <c r="Q8" s="6">
        <f t="shared" si="2"/>
        <v>22.6</v>
      </c>
      <c r="R8" s="6">
        <f t="shared" si="2"/>
        <v>22.6</v>
      </c>
      <c r="S8" s="6">
        <f t="shared" si="2"/>
        <v>22.6</v>
      </c>
    </row>
    <row r="10" spans="1:19">
      <c r="A10" s="8" t="s">
        <v>132</v>
      </c>
    </row>
    <row r="11" spans="1:19">
      <c r="B11" s="6" t="s">
        <v>123</v>
      </c>
      <c r="F11" s="6">
        <f>E14</f>
        <v>0</v>
      </c>
      <c r="G11" s="6">
        <f t="shared" ref="G11:S11" si="3">F14</f>
        <v>0</v>
      </c>
      <c r="H11" s="6">
        <f t="shared" si="3"/>
        <v>0</v>
      </c>
      <c r="I11" s="6">
        <f t="shared" si="3"/>
        <v>0</v>
      </c>
      <c r="J11" s="6">
        <f t="shared" si="3"/>
        <v>0</v>
      </c>
      <c r="K11" s="6">
        <f t="shared" si="3"/>
        <v>0</v>
      </c>
      <c r="L11" s="6">
        <f t="shared" si="3"/>
        <v>0</v>
      </c>
      <c r="M11" s="6">
        <f t="shared" si="3"/>
        <v>0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  <c r="R11" s="6">
        <f t="shared" si="3"/>
        <v>0</v>
      </c>
      <c r="S11" s="6">
        <f t="shared" si="3"/>
        <v>0</v>
      </c>
    </row>
    <row r="12" spans="1:19">
      <c r="B12" s="6" t="s">
        <v>130</v>
      </c>
      <c r="F12" s="6">
        <f>MAX(0,F11-F14)</f>
        <v>0</v>
      </c>
      <c r="G12" s="6">
        <f t="shared" ref="G12:N12" si="4">MAX(0,G11-G14)</f>
        <v>0</v>
      </c>
      <c r="H12" s="6">
        <f t="shared" si="4"/>
        <v>0</v>
      </c>
      <c r="I12" s="6">
        <f t="shared" si="4"/>
        <v>0</v>
      </c>
      <c r="J12" s="6">
        <f t="shared" si="4"/>
        <v>0</v>
      </c>
      <c r="K12" s="6">
        <f t="shared" si="4"/>
        <v>0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</row>
    <row r="13" spans="1:19">
      <c r="B13" s="6" t="s">
        <v>131</v>
      </c>
      <c r="F13" s="6">
        <f>MAX(0,F14-F11)</f>
        <v>0</v>
      </c>
      <c r="G13" s="6">
        <f t="shared" ref="G13:N13" si="5">MAX(0,G14-G11)</f>
        <v>0</v>
      </c>
      <c r="H13" s="6">
        <f t="shared" si="5"/>
        <v>0</v>
      </c>
      <c r="I13" s="6">
        <f t="shared" si="5"/>
        <v>0</v>
      </c>
      <c r="J13" s="6">
        <f t="shared" si="5"/>
        <v>0</v>
      </c>
      <c r="K13" s="6">
        <f t="shared" si="5"/>
        <v>0</v>
      </c>
      <c r="L13" s="6">
        <f t="shared" si="5"/>
        <v>0</v>
      </c>
      <c r="M13" s="6">
        <f t="shared" si="5"/>
        <v>0</v>
      </c>
      <c r="N13" s="6">
        <f t="shared" si="5"/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</row>
    <row r="14" spans="1:19">
      <c r="A14" s="8" t="s">
        <v>126</v>
      </c>
      <c r="E14" s="6">
        <f>'Balance Sheet'!E28</f>
        <v>0</v>
      </c>
      <c r="F14" s="6">
        <f>'Balance Sheet'!F28</f>
        <v>0</v>
      </c>
      <c r="G14" s="6">
        <f>'Balance Sheet'!G28</f>
        <v>0</v>
      </c>
      <c r="H14" s="6">
        <f>'Balance Sheet'!H28</f>
        <v>0</v>
      </c>
      <c r="I14" s="6">
        <f>'Balance Sheet'!I28</f>
        <v>0</v>
      </c>
      <c r="J14" s="6">
        <f>'Balance Sheet'!J28</f>
        <v>0</v>
      </c>
      <c r="K14" s="6">
        <f>'Balance Sheet'!K28</f>
        <v>0</v>
      </c>
      <c r="L14" s="6">
        <f>'Balance Sheet'!L28</f>
        <v>0</v>
      </c>
      <c r="M14" s="6">
        <f>'Balance Sheet'!M28</f>
        <v>0</v>
      </c>
      <c r="N14" s="6">
        <f>'Balance Sheet'!N28</f>
        <v>0</v>
      </c>
      <c r="O14" s="6">
        <f>O11+O12-O13</f>
        <v>0</v>
      </c>
      <c r="P14" s="6">
        <f t="shared" ref="P14:S14" si="6">P11+P12-P13</f>
        <v>0</v>
      </c>
      <c r="Q14" s="6">
        <f t="shared" si="6"/>
        <v>0</v>
      </c>
      <c r="R14" s="6">
        <f t="shared" si="6"/>
        <v>0</v>
      </c>
      <c r="S14" s="6">
        <f t="shared" si="6"/>
        <v>0</v>
      </c>
    </row>
    <row r="16" spans="1:19">
      <c r="A16" s="8" t="s">
        <v>133</v>
      </c>
      <c r="F16" s="6">
        <f>AVERAGE(F5,F8,F11,F14)</f>
        <v>25.212499999999999</v>
      </c>
      <c r="G16" s="6">
        <f t="shared" ref="G16:S16" si="7">AVERAGE(G5,G8,G11,G14)</f>
        <v>65.652500000000003</v>
      </c>
      <c r="H16" s="6">
        <f t="shared" si="7"/>
        <v>80.177499999999995</v>
      </c>
      <c r="I16" s="6">
        <f t="shared" si="7"/>
        <v>61.967500000000001</v>
      </c>
      <c r="J16" s="6">
        <f t="shared" si="7"/>
        <v>24.892500000000002</v>
      </c>
      <c r="K16" s="6">
        <f t="shared" si="7"/>
        <v>28.582500000000003</v>
      </c>
      <c r="L16" s="6">
        <f t="shared" si="7"/>
        <v>26.662500000000001</v>
      </c>
      <c r="M16" s="6">
        <f t="shared" si="7"/>
        <v>1.7949999999999999</v>
      </c>
      <c r="N16" s="6">
        <f t="shared" si="7"/>
        <v>6.7025000000000006</v>
      </c>
      <c r="O16" s="6">
        <f t="shared" si="7"/>
        <v>11.3</v>
      </c>
      <c r="P16" s="6">
        <f t="shared" si="7"/>
        <v>11.3</v>
      </c>
      <c r="Q16" s="6">
        <f t="shared" si="7"/>
        <v>11.3</v>
      </c>
      <c r="R16" s="6">
        <f t="shared" si="7"/>
        <v>11.3</v>
      </c>
      <c r="S16" s="6">
        <f t="shared" si="7"/>
        <v>11.3</v>
      </c>
    </row>
    <row r="17" spans="1:19">
      <c r="A17" s="8" t="s">
        <v>134</v>
      </c>
      <c r="F17" s="9">
        <f>PnL!F19/'Debt Schedule'!F16</f>
        <v>4.6028755577590479</v>
      </c>
      <c r="G17" s="9">
        <f>PnL!G19/'Debt Schedule'!G16</f>
        <v>1.0045314344465177</v>
      </c>
      <c r="H17" s="9">
        <f>PnL!H19/'Debt Schedule'!H16</f>
        <v>1.168407595647158</v>
      </c>
      <c r="I17" s="9">
        <f>PnL!I19/'Debt Schedule'!I16</f>
        <v>1.8834066244402305</v>
      </c>
      <c r="J17" s="9">
        <f>PnL!J19/'Debt Schedule'!J16</f>
        <v>1.9897559505875262</v>
      </c>
      <c r="K17" s="9">
        <f>PnL!K19/'Debt Schedule'!K16</f>
        <v>1.4935712411440565</v>
      </c>
      <c r="L17" s="9">
        <f>PnL!L19/'Debt Schedule'!L16</f>
        <v>1.3198312236286918</v>
      </c>
      <c r="M17" s="9">
        <f>PnL!M19/'Debt Schedule'!M16</f>
        <v>33.292479108635099</v>
      </c>
      <c r="N17" s="9">
        <f>PnL!N19/'Debt Schedule'!N16</f>
        <v>16.164117866467734</v>
      </c>
      <c r="O17" s="9">
        <f>AVERAGE(K17:N17)</f>
        <v>13.067499859968896</v>
      </c>
      <c r="P17" s="9">
        <f t="shared" ref="P17:S17" si="8">AVERAGE(L17:O17)</f>
        <v>15.960982014675105</v>
      </c>
      <c r="Q17" s="9">
        <f t="shared" si="8"/>
        <v>19.62126971243671</v>
      </c>
      <c r="R17" s="9">
        <f t="shared" si="8"/>
        <v>16.203467363387112</v>
      </c>
      <c r="S17" s="9">
        <f t="shared" si="8"/>
        <v>16.213304737616959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9F42-B16E-B34D-A0D4-A9A3988A6CDA}">
  <dimension ref="A1:S16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J12" sqref="J12"/>
    </sheetView>
  </sheetViews>
  <sheetFormatPr baseColWidth="10" defaultRowHeight="16"/>
  <cols>
    <col min="1" max="1" width="5" style="6" customWidth="1"/>
    <col min="2" max="2" width="4.6640625" style="6" customWidth="1"/>
    <col min="3" max="3" width="47" style="6" customWidth="1"/>
    <col min="4" max="4" width="6" style="6" customWidth="1"/>
    <col min="5" max="5" width="9.33203125" style="6" customWidth="1"/>
    <col min="6" max="16384" width="10.83203125" style="6"/>
  </cols>
  <sheetData>
    <row r="1" spans="1:19" ht="19">
      <c r="A1" s="5" t="s">
        <v>151</v>
      </c>
      <c r="I1" s="2" t="s">
        <v>150</v>
      </c>
    </row>
    <row r="2" spans="1:19">
      <c r="A2" s="7" t="s">
        <v>1</v>
      </c>
      <c r="E2" s="21" t="s">
        <v>135</v>
      </c>
      <c r="F2" s="21" t="s">
        <v>136</v>
      </c>
      <c r="G2" s="21" t="s">
        <v>137</v>
      </c>
      <c r="H2" s="21" t="s">
        <v>138</v>
      </c>
      <c r="I2" s="21" t="s">
        <v>139</v>
      </c>
      <c r="J2" s="21" t="s">
        <v>140</v>
      </c>
      <c r="K2" s="21" t="s">
        <v>141</v>
      </c>
      <c r="L2" s="21" t="s">
        <v>142</v>
      </c>
      <c r="M2" s="21" t="s">
        <v>143</v>
      </c>
      <c r="N2" s="21" t="s">
        <v>144</v>
      </c>
      <c r="O2" s="21" t="s">
        <v>145</v>
      </c>
      <c r="P2" s="21" t="s">
        <v>146</v>
      </c>
      <c r="Q2" s="21" t="s">
        <v>147</v>
      </c>
      <c r="R2" s="21" t="s">
        <v>148</v>
      </c>
      <c r="S2" s="21" t="s">
        <v>149</v>
      </c>
    </row>
    <row r="4" spans="1:19">
      <c r="A4" s="8" t="s">
        <v>23</v>
      </c>
    </row>
    <row r="5" spans="1:19">
      <c r="B5" s="6" t="s">
        <v>152</v>
      </c>
      <c r="F5" s="6">
        <f>'Balance Sheet'!F23</f>
        <v>141.21</v>
      </c>
      <c r="G5" s="6">
        <f>'Balance Sheet'!G23</f>
        <v>141.21</v>
      </c>
      <c r="H5" s="6">
        <f>'Balance Sheet'!H23</f>
        <v>141.21</v>
      </c>
      <c r="I5" s="6">
        <f>'Balance Sheet'!I23</f>
        <v>141.21</v>
      </c>
      <c r="J5" s="6">
        <f>'Balance Sheet'!J23</f>
        <v>148.88</v>
      </c>
      <c r="K5" s="6">
        <f>'Balance Sheet'!K23</f>
        <v>149.12</v>
      </c>
      <c r="L5" s="6">
        <f>'Balance Sheet'!L23</f>
        <v>149.44</v>
      </c>
      <c r="M5" s="6">
        <f>'Balance Sheet'!M23</f>
        <v>149.76</v>
      </c>
      <c r="N5" s="6">
        <f>'Balance Sheet'!N23</f>
        <v>150.24</v>
      </c>
      <c r="O5" s="16"/>
      <c r="P5" s="16"/>
      <c r="Q5" s="16"/>
      <c r="R5" s="16"/>
      <c r="S5" s="16"/>
    </row>
    <row r="6" spans="1:19">
      <c r="O6" s="16"/>
      <c r="P6" s="16"/>
      <c r="Q6" s="16"/>
      <c r="R6" s="16"/>
      <c r="S6" s="16"/>
    </row>
    <row r="7" spans="1:19">
      <c r="A7" s="8" t="s">
        <v>25</v>
      </c>
    </row>
    <row r="8" spans="1:19">
      <c r="B8" s="8" t="s">
        <v>25</v>
      </c>
    </row>
    <row r="9" spans="1:19">
      <c r="C9" s="6" t="s">
        <v>153</v>
      </c>
      <c r="F9" s="6">
        <f>E13</f>
        <v>1480.59</v>
      </c>
      <c r="G9" s="6">
        <f t="shared" ref="G9:S9" si="0">F13</f>
        <v>1644.43</v>
      </c>
      <c r="H9" s="6">
        <f t="shared" si="0"/>
        <v>1852.34</v>
      </c>
      <c r="I9" s="6">
        <f t="shared" si="0"/>
        <v>2206.41</v>
      </c>
      <c r="J9" s="6">
        <f t="shared" si="0"/>
        <v>2690.8</v>
      </c>
      <c r="K9" s="6">
        <f t="shared" si="0"/>
        <v>3660.68</v>
      </c>
      <c r="L9" s="6">
        <f t="shared" si="0"/>
        <v>4575.63</v>
      </c>
      <c r="M9" s="6">
        <f t="shared" si="0"/>
        <v>5359.15</v>
      </c>
      <c r="N9" s="6">
        <f t="shared" si="0"/>
        <v>6455.85</v>
      </c>
      <c r="O9" s="6">
        <f t="shared" si="0"/>
        <v>7966.6</v>
      </c>
      <c r="P9" s="6">
        <f t="shared" si="0"/>
        <v>9473.1936046293049</v>
      </c>
      <c r="Q9" s="6">
        <f t="shared" si="0"/>
        <v>11241.573685037052</v>
      </c>
      <c r="R9" s="6">
        <f t="shared" si="0"/>
        <v>13387.875773763393</v>
      </c>
      <c r="S9" s="6">
        <f t="shared" si="0"/>
        <v>16262.379941557729</v>
      </c>
    </row>
    <row r="10" spans="1:19">
      <c r="C10" s="6" t="s">
        <v>155</v>
      </c>
      <c r="F10" s="6">
        <f>PnL!F29</f>
        <v>187.96</v>
      </c>
      <c r="G10" s="6">
        <f>PnL!G29</f>
        <v>232.75</v>
      </c>
      <c r="H10" s="6">
        <f>PnL!H29</f>
        <v>358.56</v>
      </c>
      <c r="I10" s="6">
        <f>PnL!I29</f>
        <v>500.31</v>
      </c>
      <c r="J10" s="6">
        <f>PnL!J29</f>
        <v>765.62</v>
      </c>
      <c r="K10" s="6">
        <f>PnL!K29</f>
        <v>841.81</v>
      </c>
      <c r="L10" s="6">
        <f>PnL!L29</f>
        <v>845.23</v>
      </c>
      <c r="M10" s="6">
        <f>PnL!M29</f>
        <v>1283.0899999999999</v>
      </c>
      <c r="N10" s="6">
        <f>PnL!N29</f>
        <v>1802.92</v>
      </c>
      <c r="O10" s="6">
        <f>PnL!O29</f>
        <v>1625.848518556405</v>
      </c>
      <c r="P10" s="6">
        <f>PnL!P29</f>
        <v>2033.713243936757</v>
      </c>
      <c r="Q10" s="6">
        <f>PnL!Q29</f>
        <v>2539.3346784168152</v>
      </c>
      <c r="R10" s="6">
        <f>PnL!R29</f>
        <v>3389.9587910315936</v>
      </c>
      <c r="S10" s="6">
        <f>PnL!S29</f>
        <v>3322.7729081878861</v>
      </c>
    </row>
    <row r="11" spans="1:19">
      <c r="C11" s="6" t="s">
        <v>156</v>
      </c>
      <c r="F11" s="6">
        <f>F10/100*PnL!F35</f>
        <v>24.716740000000001</v>
      </c>
      <c r="G11" s="6">
        <f>G10/100*PnL!G35</f>
        <v>14.127925000000001</v>
      </c>
      <c r="H11" s="6">
        <f>H10/100*PnL!H35</f>
        <v>14.127264</v>
      </c>
      <c r="I11" s="6">
        <f>I10/100*PnL!I35</f>
        <v>42.426288</v>
      </c>
      <c r="J11" s="6">
        <f>J10/100*PnL!J35</f>
        <v>105.11962600000001</v>
      </c>
      <c r="K11" s="6">
        <f>K10/100*PnL!K35</f>
        <v>142.35007099999999</v>
      </c>
      <c r="L11" s="6">
        <f>L10/100*PnL!L35</f>
        <v>194.65646900000004</v>
      </c>
      <c r="M11" s="6">
        <f>M10/100*PnL!M35</f>
        <v>302.42431299999998</v>
      </c>
      <c r="N11" s="6">
        <f>N10/100*PnL!N35</f>
        <v>455.41759200000001</v>
      </c>
      <c r="O11" s="6">
        <f>O10/100*PnL!O35</f>
        <v>306.67452812710036</v>
      </c>
      <c r="P11" s="6">
        <f>P10/100*PnL!P35</f>
        <v>428.36077536900939</v>
      </c>
      <c r="Q11" s="6">
        <f>Q10/100*PnL!Q35</f>
        <v>545.56770969847435</v>
      </c>
      <c r="R11" s="6">
        <f>R10/100*PnL!R35</f>
        <v>671.90747344685803</v>
      </c>
      <c r="S11" s="6">
        <f>S10/100*PnL!S35</f>
        <v>679.01694423216236</v>
      </c>
    </row>
    <row r="12" spans="1:19">
      <c r="C12" s="6" t="s">
        <v>157</v>
      </c>
      <c r="F12" s="6">
        <f>F13-F9-F10+F11</f>
        <v>0.59674000000013905</v>
      </c>
      <c r="G12" s="6">
        <f t="shared" ref="G12:N12" si="1">G13-G9-G10+G11</f>
        <v>-10.712075000000144</v>
      </c>
      <c r="H12" s="6">
        <f t="shared" si="1"/>
        <v>9.6372639999999343</v>
      </c>
      <c r="I12" s="6">
        <f t="shared" si="1"/>
        <v>26.506288000000325</v>
      </c>
      <c r="J12" s="6">
        <f t="shared" si="1"/>
        <v>309.37962599999969</v>
      </c>
      <c r="K12" s="6">
        <f t="shared" si="1"/>
        <v>215.49007100000031</v>
      </c>
      <c r="L12" s="6">
        <f t="shared" si="1"/>
        <v>132.94646899999955</v>
      </c>
      <c r="M12" s="6">
        <f t="shared" si="1"/>
        <v>116.03431300000079</v>
      </c>
      <c r="N12" s="6">
        <f t="shared" si="1"/>
        <v>163.24759199999994</v>
      </c>
      <c r="O12" s="6">
        <f>AVERAGE(J12:N12)</f>
        <v>187.41961420000004</v>
      </c>
      <c r="P12" s="6">
        <f t="shared" ref="P12:S12" si="2">AVERAGE(K12:O12)</f>
        <v>163.02761184000013</v>
      </c>
      <c r="Q12" s="6">
        <f t="shared" si="2"/>
        <v>152.53512000800009</v>
      </c>
      <c r="R12" s="6">
        <f t="shared" si="2"/>
        <v>156.45285020960023</v>
      </c>
      <c r="S12" s="6">
        <f t="shared" si="2"/>
        <v>164.53655765152013</v>
      </c>
    </row>
    <row r="13" spans="1:19">
      <c r="C13" s="8" t="s">
        <v>154</v>
      </c>
      <c r="E13" s="6">
        <f>'Balance Sheet'!E25</f>
        <v>1480.59</v>
      </c>
      <c r="F13" s="6">
        <f>'Balance Sheet'!F25</f>
        <v>1644.43</v>
      </c>
      <c r="G13" s="6">
        <f>'Balance Sheet'!G25</f>
        <v>1852.34</v>
      </c>
      <c r="H13" s="6">
        <f>'Balance Sheet'!H25</f>
        <v>2206.41</v>
      </c>
      <c r="I13" s="6">
        <f>'Balance Sheet'!I25</f>
        <v>2690.8</v>
      </c>
      <c r="J13" s="6">
        <f>'Balance Sheet'!J25</f>
        <v>3660.68</v>
      </c>
      <c r="K13" s="6">
        <f>'Balance Sheet'!K25</f>
        <v>4575.63</v>
      </c>
      <c r="L13" s="6">
        <f>'Balance Sheet'!L25</f>
        <v>5359.15</v>
      </c>
      <c r="M13" s="6">
        <f>'Balance Sheet'!M25</f>
        <v>6455.85</v>
      </c>
      <c r="N13" s="6">
        <f>'Balance Sheet'!N25</f>
        <v>7966.6</v>
      </c>
      <c r="O13" s="6">
        <f>O9+O10-O11+O12</f>
        <v>9473.1936046293049</v>
      </c>
      <c r="P13" s="6">
        <f t="shared" ref="P13:S13" si="3">P9+P10-P11+P12</f>
        <v>11241.573685037052</v>
      </c>
      <c r="Q13" s="6">
        <f t="shared" si="3"/>
        <v>13387.875773763393</v>
      </c>
      <c r="R13" s="6">
        <f t="shared" si="3"/>
        <v>16262.379941557729</v>
      </c>
      <c r="S13" s="6">
        <f t="shared" si="3"/>
        <v>19070.672463164974</v>
      </c>
    </row>
    <row r="14" spans="1:19">
      <c r="O14" s="16"/>
      <c r="P14" s="16"/>
      <c r="Q14" s="16"/>
      <c r="R14" s="16"/>
      <c r="S14" s="16"/>
    </row>
    <row r="15" spans="1:19">
      <c r="B15" s="8"/>
    </row>
    <row r="16" spans="1:19">
      <c r="A16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Balance Sheet</vt:lpstr>
      <vt:lpstr>PnL</vt:lpstr>
      <vt:lpstr>Cash Flow Actual</vt:lpstr>
      <vt:lpstr>Cash Flow</vt:lpstr>
      <vt:lpstr>Asset Schedule</vt:lpstr>
      <vt:lpstr>Debt Schedule</vt:lpstr>
      <vt:lpstr>Reserves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Choudhury</dc:creator>
  <cp:lastModifiedBy>Soham Choudhury</cp:lastModifiedBy>
  <dcterms:created xsi:type="dcterms:W3CDTF">2024-10-14T08:26:20Z</dcterms:created>
  <dcterms:modified xsi:type="dcterms:W3CDTF">2024-10-17T17:09:58Z</dcterms:modified>
</cp:coreProperties>
</file>