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0c0kug/Documents/personnal_repos/NSE-Analyser/Random_Data_Dumps/"/>
    </mc:Choice>
  </mc:AlternateContent>
  <xr:revisionPtr revIDLastSave="0" documentId="13_ncr:1_{593779C1-FAEC-264F-BE98-A13901CBE3FA}" xr6:coauthVersionLast="47" xr6:coauthVersionMax="47" xr10:uidLastSave="{00000000-0000-0000-0000-000000000000}"/>
  <bookViews>
    <workbookView xWindow="0" yWindow="740" windowWidth="30240" windowHeight="18900" activeTab="4" xr2:uid="{4CCFBB44-29B3-1C4F-B906-914A903D7B44}"/>
  </bookViews>
  <sheets>
    <sheet name="Assumptions" sheetId="5" r:id="rId1"/>
    <sheet name="Balance Sheet" sheetId="4" r:id="rId2"/>
    <sheet name="PnL" sheetId="1" r:id="rId3"/>
    <sheet name="Cash Flow" sheetId="6" r:id="rId4"/>
    <sheet name="Asset Schedule" sheetId="7" r:id="rId5"/>
    <sheet name="Debt Schedule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4" l="1"/>
  <c r="Q28" i="4"/>
  <c r="R28" i="4"/>
  <c r="S28" i="4"/>
  <c r="O28" i="4"/>
  <c r="P27" i="4"/>
  <c r="Q27" i="4"/>
  <c r="R27" i="4"/>
  <c r="S27" i="4"/>
  <c r="O27" i="4"/>
  <c r="P19" i="1"/>
  <c r="Q19" i="1"/>
  <c r="R19" i="1"/>
  <c r="S19" i="1"/>
  <c r="O19" i="1"/>
  <c r="O16" i="10"/>
  <c r="P16" i="10"/>
  <c r="Q16" i="10"/>
  <c r="R16" i="10"/>
  <c r="S16" i="10"/>
  <c r="P17" i="10"/>
  <c r="Q17" i="10"/>
  <c r="S17" i="10" s="1"/>
  <c r="R17" i="10"/>
  <c r="O17" i="10"/>
  <c r="G17" i="10"/>
  <c r="H17" i="10"/>
  <c r="I17" i="10"/>
  <c r="J17" i="10"/>
  <c r="K17" i="10"/>
  <c r="L17" i="10"/>
  <c r="M17" i="10"/>
  <c r="N17" i="10"/>
  <c r="F17" i="10"/>
  <c r="G16" i="10"/>
  <c r="H16" i="10"/>
  <c r="I16" i="10"/>
  <c r="J16" i="10"/>
  <c r="K16" i="10"/>
  <c r="L16" i="10"/>
  <c r="M16" i="10"/>
  <c r="N16" i="10"/>
  <c r="F16" i="10"/>
  <c r="P8" i="10"/>
  <c r="O8" i="10"/>
  <c r="P14" i="10"/>
  <c r="P11" i="10"/>
  <c r="Q11" i="10"/>
  <c r="Q14" i="10" s="1"/>
  <c r="R11" i="10" s="1"/>
  <c r="R14" i="10" s="1"/>
  <c r="S11" i="10" s="1"/>
  <c r="S14" i="10" s="1"/>
  <c r="O14" i="10"/>
  <c r="G12" i="10"/>
  <c r="H12" i="10"/>
  <c r="I12" i="10"/>
  <c r="J12" i="10"/>
  <c r="K12" i="10"/>
  <c r="L12" i="10"/>
  <c r="M12" i="10"/>
  <c r="N12" i="10"/>
  <c r="G13" i="10"/>
  <c r="H13" i="10"/>
  <c r="I13" i="10"/>
  <c r="J13" i="10"/>
  <c r="K13" i="10"/>
  <c r="L13" i="10"/>
  <c r="M13" i="10"/>
  <c r="N13" i="10"/>
  <c r="F13" i="10"/>
  <c r="F12" i="10"/>
  <c r="G6" i="10"/>
  <c r="H6" i="10"/>
  <c r="I6" i="10"/>
  <c r="J6" i="10"/>
  <c r="K6" i="10"/>
  <c r="L6" i="10"/>
  <c r="M6" i="10"/>
  <c r="N6" i="10"/>
  <c r="G7" i="10"/>
  <c r="H7" i="10"/>
  <c r="I7" i="10"/>
  <c r="J7" i="10"/>
  <c r="K7" i="10"/>
  <c r="L7" i="10"/>
  <c r="M7" i="10"/>
  <c r="N7" i="10"/>
  <c r="F7" i="10"/>
  <c r="F6" i="10"/>
  <c r="G11" i="10"/>
  <c r="H11" i="10"/>
  <c r="I11" i="10"/>
  <c r="J11" i="10"/>
  <c r="K11" i="10"/>
  <c r="L11" i="10"/>
  <c r="M11" i="10"/>
  <c r="N11" i="10"/>
  <c r="O11" i="10"/>
  <c r="F14" i="10"/>
  <c r="G14" i="10"/>
  <c r="H14" i="10"/>
  <c r="I14" i="10"/>
  <c r="J14" i="10"/>
  <c r="K14" i="10"/>
  <c r="L14" i="10"/>
  <c r="M14" i="10"/>
  <c r="N14" i="10"/>
  <c r="F11" i="10"/>
  <c r="E14" i="10"/>
  <c r="G5" i="10"/>
  <c r="H5" i="10"/>
  <c r="I5" i="10"/>
  <c r="J5" i="10"/>
  <c r="K5" i="10"/>
  <c r="L5" i="10"/>
  <c r="M5" i="10"/>
  <c r="N5" i="10"/>
  <c r="O5" i="10"/>
  <c r="P5" i="10"/>
  <c r="Q5" i="10"/>
  <c r="Q8" i="10" s="1"/>
  <c r="R5" i="10" s="1"/>
  <c r="R8" i="10" s="1"/>
  <c r="S5" i="10" s="1"/>
  <c r="S8" i="10" s="1"/>
  <c r="F8" i="10"/>
  <c r="G8" i="10"/>
  <c r="H8" i="10"/>
  <c r="I8" i="10"/>
  <c r="J8" i="10"/>
  <c r="K8" i="10"/>
  <c r="L8" i="10"/>
  <c r="M8" i="10"/>
  <c r="N8" i="10"/>
  <c r="F5" i="10"/>
  <c r="E8" i="10"/>
  <c r="F31" i="5"/>
  <c r="F33" i="5"/>
  <c r="F35" i="5"/>
  <c r="F37" i="5"/>
  <c r="F39" i="5"/>
  <c r="F41" i="5"/>
  <c r="F29" i="5"/>
  <c r="P8" i="4"/>
  <c r="Q8" i="4"/>
  <c r="R8" i="4"/>
  <c r="S8" i="4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E17" i="7"/>
  <c r="G15" i="7"/>
  <c r="O4" i="7"/>
  <c r="P5" i="7"/>
  <c r="Q5" i="7"/>
  <c r="R5" i="7"/>
  <c r="S5" i="7"/>
  <c r="O5" i="7"/>
  <c r="G11" i="7"/>
  <c r="G12" i="7"/>
  <c r="H12" i="7"/>
  <c r="I12" i="7"/>
  <c r="J12" i="7"/>
  <c r="K12" i="7"/>
  <c r="L12" i="7"/>
  <c r="M12" i="7"/>
  <c r="N12" i="7"/>
  <c r="F14" i="7"/>
  <c r="F13" i="7"/>
  <c r="F12" i="7"/>
  <c r="H35" i="5"/>
  <c r="I35" i="5"/>
  <c r="J35" i="5"/>
  <c r="K35" i="5"/>
  <c r="L35" i="5"/>
  <c r="M35" i="5"/>
  <c r="N35" i="5"/>
  <c r="H37" i="5"/>
  <c r="I37" i="5"/>
  <c r="J37" i="5"/>
  <c r="K37" i="5"/>
  <c r="L37" i="5"/>
  <c r="M37" i="5"/>
  <c r="N37" i="5"/>
  <c r="H39" i="5"/>
  <c r="I39" i="5"/>
  <c r="J39" i="5"/>
  <c r="K39" i="5"/>
  <c r="L39" i="5"/>
  <c r="M39" i="5"/>
  <c r="N39" i="5"/>
  <c r="H41" i="5"/>
  <c r="I41" i="5"/>
  <c r="J41" i="5"/>
  <c r="K41" i="5"/>
  <c r="L41" i="5"/>
  <c r="M41" i="5"/>
  <c r="N41" i="5"/>
  <c r="G41" i="5"/>
  <c r="G39" i="5"/>
  <c r="G37" i="5"/>
  <c r="G35" i="5"/>
  <c r="N33" i="5"/>
  <c r="M33" i="5"/>
  <c r="L33" i="5"/>
  <c r="K33" i="5"/>
  <c r="J33" i="5"/>
  <c r="I33" i="5"/>
  <c r="H33" i="5"/>
  <c r="G33" i="5"/>
  <c r="N31" i="5"/>
  <c r="M31" i="5"/>
  <c r="L31" i="5"/>
  <c r="K31" i="5"/>
  <c r="J31" i="5"/>
  <c r="I31" i="5"/>
  <c r="H31" i="5"/>
  <c r="G31" i="5"/>
  <c r="N29" i="5"/>
  <c r="M29" i="5"/>
  <c r="L29" i="5"/>
  <c r="K29" i="5"/>
  <c r="J29" i="5"/>
  <c r="I29" i="5"/>
  <c r="H29" i="5"/>
  <c r="G29" i="5"/>
  <c r="G21" i="5"/>
  <c r="H21" i="5"/>
  <c r="I21" i="5"/>
  <c r="J21" i="5"/>
  <c r="K21" i="5"/>
  <c r="L21" i="5"/>
  <c r="M21" i="5"/>
  <c r="N21" i="5"/>
  <c r="F21" i="5"/>
  <c r="G19" i="5"/>
  <c r="H19" i="5"/>
  <c r="I19" i="5"/>
  <c r="J19" i="5"/>
  <c r="K19" i="5"/>
  <c r="L19" i="5"/>
  <c r="M19" i="5"/>
  <c r="N19" i="5"/>
  <c r="F19" i="5"/>
  <c r="G17" i="5"/>
  <c r="H17" i="5"/>
  <c r="I17" i="5"/>
  <c r="J17" i="5"/>
  <c r="K17" i="5"/>
  <c r="L17" i="5"/>
  <c r="M17" i="5"/>
  <c r="N17" i="5"/>
  <c r="F17" i="5"/>
  <c r="N15" i="7"/>
  <c r="M15" i="7"/>
  <c r="L15" i="7"/>
  <c r="K15" i="7"/>
  <c r="J15" i="7"/>
  <c r="I15" i="7"/>
  <c r="H15" i="7"/>
  <c r="F15" i="7"/>
  <c r="E15" i="7"/>
  <c r="E14" i="7"/>
  <c r="F11" i="7"/>
  <c r="G6" i="7"/>
  <c r="H6" i="7"/>
  <c r="I6" i="7"/>
  <c r="J6" i="7"/>
  <c r="K6" i="7"/>
  <c r="L6" i="7"/>
  <c r="M6" i="7"/>
  <c r="N6" i="7"/>
  <c r="F6" i="7"/>
  <c r="G5" i="7"/>
  <c r="H5" i="7"/>
  <c r="I5" i="7"/>
  <c r="J5" i="7"/>
  <c r="K5" i="7"/>
  <c r="L5" i="7"/>
  <c r="M5" i="7"/>
  <c r="N5" i="7"/>
  <c r="F5" i="7"/>
  <c r="G4" i="7"/>
  <c r="H4" i="7"/>
  <c r="I4" i="7"/>
  <c r="J4" i="7"/>
  <c r="K4" i="7"/>
  <c r="L4" i="7"/>
  <c r="M4" i="7"/>
  <c r="N4" i="7"/>
  <c r="F4" i="7"/>
  <c r="F7" i="7"/>
  <c r="G7" i="7"/>
  <c r="H7" i="7"/>
  <c r="I7" i="7"/>
  <c r="J7" i="7"/>
  <c r="K7" i="7"/>
  <c r="L7" i="7"/>
  <c r="M7" i="7"/>
  <c r="N7" i="7"/>
  <c r="E7" i="7"/>
  <c r="F13" i="5"/>
  <c r="G13" i="5"/>
  <c r="H13" i="5"/>
  <c r="I13" i="5"/>
  <c r="J13" i="5"/>
  <c r="K13" i="5"/>
  <c r="L13" i="5"/>
  <c r="M13" i="5"/>
  <c r="N13" i="5"/>
  <c r="G23" i="5"/>
  <c r="H23" i="5"/>
  <c r="I23" i="5"/>
  <c r="J23" i="5"/>
  <c r="K23" i="5"/>
  <c r="L23" i="5"/>
  <c r="M23" i="5"/>
  <c r="N23" i="5"/>
  <c r="F23" i="5"/>
  <c r="G25" i="5"/>
  <c r="H25" i="5"/>
  <c r="I25" i="5"/>
  <c r="J25" i="5"/>
  <c r="K25" i="5"/>
  <c r="L25" i="5"/>
  <c r="M25" i="5"/>
  <c r="N25" i="5"/>
  <c r="F25" i="5"/>
  <c r="G15" i="5"/>
  <c r="H15" i="5"/>
  <c r="I15" i="5"/>
  <c r="J15" i="5"/>
  <c r="K15" i="5"/>
  <c r="L15" i="5"/>
  <c r="M15" i="5"/>
  <c r="N15" i="5"/>
  <c r="F15" i="5"/>
  <c r="G11" i="5"/>
  <c r="H11" i="5"/>
  <c r="I11" i="5"/>
  <c r="J11" i="5"/>
  <c r="K11" i="5"/>
  <c r="L11" i="5"/>
  <c r="M11" i="5"/>
  <c r="N11" i="5"/>
  <c r="F11" i="5"/>
  <c r="G9" i="5"/>
  <c r="H9" i="5"/>
  <c r="I9" i="5"/>
  <c r="J9" i="5"/>
  <c r="K9" i="5"/>
  <c r="L9" i="5"/>
  <c r="M9" i="5"/>
  <c r="N9" i="5"/>
  <c r="F9" i="5"/>
  <c r="G13" i="7" l="1"/>
  <c r="G14" i="7" s="1"/>
  <c r="H11" i="7" s="1"/>
  <c r="O35" i="5"/>
  <c r="P35" i="5" s="1"/>
  <c r="O15" i="5"/>
  <c r="P15" i="5" s="1"/>
  <c r="Q15" i="5" s="1"/>
  <c r="O13" i="5"/>
  <c r="P13" i="5" s="1"/>
  <c r="Q13" i="5" s="1"/>
  <c r="O41" i="5"/>
  <c r="P41" i="5" s="1"/>
  <c r="O9" i="5"/>
  <c r="P9" i="5" s="1"/>
  <c r="Q9" i="5" s="1"/>
  <c r="R9" i="5" s="1"/>
  <c r="S9" i="5" s="1"/>
  <c r="T9" i="5" s="1"/>
  <c r="O29" i="5"/>
  <c r="P29" i="5" s="1"/>
  <c r="O25" i="5"/>
  <c r="P25" i="5" s="1"/>
  <c r="O33" i="5"/>
  <c r="P33" i="5" s="1"/>
  <c r="Q33" i="5" s="1"/>
  <c r="R33" i="5" s="1"/>
  <c r="O39" i="5"/>
  <c r="O23" i="5"/>
  <c r="P23" i="5" s="1"/>
  <c r="O37" i="5"/>
  <c r="P37" i="5"/>
  <c r="Q37" i="5" s="1"/>
  <c r="O31" i="5"/>
  <c r="O17" i="5"/>
  <c r="O21" i="5"/>
  <c r="P21" i="5" s="1"/>
  <c r="Q21" i="5" s="1"/>
  <c r="O19" i="5"/>
  <c r="P19" i="5" s="1"/>
  <c r="O11" i="5"/>
  <c r="P11" i="5" s="1"/>
  <c r="H13" i="7" l="1"/>
  <c r="H14" i="7" s="1"/>
  <c r="I11" i="7" s="1"/>
  <c r="Q35" i="5"/>
  <c r="R35" i="5" s="1"/>
  <c r="S35" i="5" s="1"/>
  <c r="R13" i="5"/>
  <c r="P39" i="5"/>
  <c r="S33" i="5"/>
  <c r="T33" i="5" s="1"/>
  <c r="R37" i="5"/>
  <c r="S37" i="5" s="1"/>
  <c r="T37" i="5" s="1"/>
  <c r="Q41" i="5"/>
  <c r="R41" i="5" s="1"/>
  <c r="P31" i="5"/>
  <c r="Q31" i="5" s="1"/>
  <c r="Q29" i="5"/>
  <c r="R29" i="5" s="1"/>
  <c r="P17" i="5"/>
  <c r="Q19" i="5"/>
  <c r="R19" i="5" s="1"/>
  <c r="Q23" i="5"/>
  <c r="R23" i="5" s="1"/>
  <c r="Q25" i="5"/>
  <c r="R21" i="5"/>
  <c r="S21" i="5" s="1"/>
  <c r="Q11" i="5"/>
  <c r="R11" i="5" s="1"/>
  <c r="R15" i="5"/>
  <c r="I13" i="7" l="1"/>
  <c r="I14" i="7"/>
  <c r="J11" i="7" s="1"/>
  <c r="T35" i="5"/>
  <c r="S11" i="5"/>
  <c r="T11" i="5" s="1"/>
  <c r="S13" i="5"/>
  <c r="T13" i="5" s="1"/>
  <c r="S23" i="5"/>
  <c r="T23" i="5" s="1"/>
  <c r="Q39" i="5"/>
  <c r="R39" i="5" s="1"/>
  <c r="S41" i="5"/>
  <c r="T41" i="5" s="1"/>
  <c r="R31" i="5"/>
  <c r="S31" i="5" s="1"/>
  <c r="T31" i="5" s="1"/>
  <c r="S29" i="5"/>
  <c r="T29" i="5" s="1"/>
  <c r="Q17" i="5"/>
  <c r="R17" i="5" s="1"/>
  <c r="R25" i="5"/>
  <c r="S25" i="5" s="1"/>
  <c r="T21" i="5"/>
  <c r="S19" i="5"/>
  <c r="T19" i="5" s="1"/>
  <c r="S15" i="5"/>
  <c r="T15" i="5" s="1"/>
  <c r="J13" i="7" l="1"/>
  <c r="J14" i="7" s="1"/>
  <c r="K11" i="7" s="1"/>
  <c r="S39" i="5"/>
  <c r="T39" i="5" s="1"/>
  <c r="S17" i="5"/>
  <c r="T17" i="5" s="1"/>
  <c r="T25" i="5"/>
  <c r="K13" i="7" l="1"/>
  <c r="K14" i="7"/>
  <c r="L11" i="7" s="1"/>
  <c r="L13" i="7" l="1"/>
  <c r="L14" i="7" s="1"/>
  <c r="M11" i="7" s="1"/>
  <c r="M13" i="7" l="1"/>
  <c r="M14" i="7" s="1"/>
  <c r="N11" i="7" s="1"/>
  <c r="N13" i="7" l="1"/>
  <c r="N14" i="7" s="1"/>
  <c r="O11" i="7" s="1"/>
  <c r="O7" i="7"/>
  <c r="O5" i="4" s="1"/>
  <c r="O21" i="1" l="1"/>
  <c r="P4" i="7"/>
  <c r="P7" i="7" s="1"/>
  <c r="Q4" i="7" l="1"/>
  <c r="Q7" i="7" s="1"/>
  <c r="P5" i="4"/>
  <c r="O12" i="7"/>
  <c r="O14" i="7" s="1"/>
  <c r="P21" i="1"/>
  <c r="P12" i="7" l="1"/>
  <c r="O6" i="4"/>
  <c r="O8" i="4" s="1"/>
  <c r="P11" i="7"/>
  <c r="R4" i="7"/>
  <c r="R7" i="7" s="1"/>
  <c r="Q5" i="4"/>
  <c r="Q21" i="1" s="1"/>
  <c r="P14" i="7" l="1"/>
  <c r="Q12" i="7"/>
  <c r="S4" i="7"/>
  <c r="S7" i="7" s="1"/>
  <c r="S5" i="4" s="1"/>
  <c r="R5" i="4"/>
  <c r="R21" i="1" s="1"/>
  <c r="P6" i="4"/>
  <c r="Q11" i="7"/>
  <c r="Q14" i="7" s="1"/>
  <c r="R12" i="7" l="1"/>
  <c r="S21" i="1"/>
  <c r="S12" i="7" s="1"/>
  <c r="Q6" i="4"/>
  <c r="R11" i="7"/>
  <c r="R14" i="7" l="1"/>
  <c r="S11" i="7"/>
  <c r="S14" i="7" s="1"/>
  <c r="S6" i="4" s="1"/>
  <c r="R6" i="4"/>
</calcChain>
</file>

<file path=xl/sharedStrings.xml><?xml version="1.0" encoding="utf-8"?>
<sst xmlns="http://schemas.openxmlformats.org/spreadsheetml/2006/main" count="235" uniqueCount="152">
  <si>
    <t>FY20</t>
  </si>
  <si>
    <t>FY21</t>
  </si>
  <si>
    <t>FY22</t>
  </si>
  <si>
    <t>FY23</t>
  </si>
  <si>
    <t>FY24</t>
  </si>
  <si>
    <t>Profit &amp; Loss Statement</t>
  </si>
  <si>
    <t>(All figures in Rs. CR unless mentioned otherwise)</t>
  </si>
  <si>
    <t>Balance Sheet</t>
  </si>
  <si>
    <t>Assets</t>
  </si>
  <si>
    <t>Non Current Assets</t>
  </si>
  <si>
    <t>Gross Block</t>
  </si>
  <si>
    <t>Less: Accumulated Depreciation</t>
  </si>
  <si>
    <t>Less: Impairment of Assets</t>
  </si>
  <si>
    <t>Net Block</t>
  </si>
  <si>
    <t>Lease Adjustment A/c</t>
  </si>
  <si>
    <t>Capital Work in Progress</t>
  </si>
  <si>
    <t>Long Term Investments</t>
  </si>
  <si>
    <t>Long Term Loans &amp; Advances</t>
  </si>
  <si>
    <t>Other Non Current Assets</t>
  </si>
  <si>
    <t>Current Assets</t>
  </si>
  <si>
    <t>Inventory</t>
  </si>
  <si>
    <t>Accounts Receivable</t>
  </si>
  <si>
    <t>Short Term Investments</t>
  </si>
  <si>
    <t>Cash &amp; Bank Balances</t>
  </si>
  <si>
    <t>Other Current Assets</t>
  </si>
  <si>
    <t>Short Term Loans and Advances</t>
  </si>
  <si>
    <t>Liabilities</t>
  </si>
  <si>
    <t>Shareholders Funds</t>
  </si>
  <si>
    <t>Share Capital</t>
  </si>
  <si>
    <t>Share Warrants</t>
  </si>
  <si>
    <t>Reserves</t>
  </si>
  <si>
    <t>Non Current Liabilities</t>
  </si>
  <si>
    <t>Secured Loans</t>
  </si>
  <si>
    <t>Unsecured Loans</t>
  </si>
  <si>
    <t>Deferred Tax Assets/Liabilities</t>
  </si>
  <si>
    <t>Other Long Term Liabilities</t>
  </si>
  <si>
    <t>Long Term Provisions</t>
  </si>
  <si>
    <t>Current Liabilities</t>
  </si>
  <si>
    <t>Accounts Payable</t>
  </si>
  <si>
    <t>Short Term Loans</t>
  </si>
  <si>
    <t>Other Current Liabilities</t>
  </si>
  <si>
    <t>Share Application Money</t>
  </si>
  <si>
    <t>Short Term Provisions</t>
  </si>
  <si>
    <t>FY15</t>
  </si>
  <si>
    <t>FY16</t>
  </si>
  <si>
    <t>FY17</t>
  </si>
  <si>
    <t>FY18</t>
  </si>
  <si>
    <t>FY19</t>
  </si>
  <si>
    <t>Profit Before Taxation &amp; Exceptional Items</t>
  </si>
  <si>
    <t>Gross Sales</t>
  </si>
  <si>
    <t>Less: Excise Duty</t>
  </si>
  <si>
    <t>Net Sales</t>
  </si>
  <si>
    <t>Operating Expenses</t>
  </si>
  <si>
    <t>Increase/Decrease in Stock</t>
  </si>
  <si>
    <t>Raw Material</t>
  </si>
  <si>
    <t>Material Cost (%)</t>
  </si>
  <si>
    <t>Other Manufacturing Expenses</t>
  </si>
  <si>
    <t>Employee Cost</t>
  </si>
  <si>
    <t>Selling and Distribution Expenses</t>
  </si>
  <si>
    <t>Power &amp; Fuel Cost</t>
  </si>
  <si>
    <t>General and Administration Expenses</t>
  </si>
  <si>
    <t>Miscellaneous Expenses</t>
  </si>
  <si>
    <t>Operating Profit</t>
  </si>
  <si>
    <t>Other Income</t>
  </si>
  <si>
    <t>OPM (%)</t>
  </si>
  <si>
    <t>Interest</t>
  </si>
  <si>
    <t>PBDT</t>
  </si>
  <si>
    <t>Depreciation and Amortization</t>
  </si>
  <si>
    <t>Exceptional Income / Expenses</t>
  </si>
  <si>
    <t>Profit Before Tax</t>
  </si>
  <si>
    <t>Provision for Taxs</t>
  </si>
  <si>
    <t>Current Income Tax</t>
  </si>
  <si>
    <t>Deferred Tax</t>
  </si>
  <si>
    <t>Other taxes</t>
  </si>
  <si>
    <t>Profit After Tax</t>
  </si>
  <si>
    <t>Extra items</t>
  </si>
  <si>
    <t>Minority Interest</t>
  </si>
  <si>
    <t>Share of Associate</t>
  </si>
  <si>
    <t>Net Profit</t>
  </si>
  <si>
    <t>Number of shares(Crs)</t>
  </si>
  <si>
    <t>Dividend Payout Ratio(%)</t>
  </si>
  <si>
    <t>Assumption Sheet</t>
  </si>
  <si>
    <t>Balance Sheet Assumptions</t>
  </si>
  <si>
    <t>Liabilites as a % of Gross Block</t>
  </si>
  <si>
    <t>FY25</t>
  </si>
  <si>
    <t>FY26</t>
  </si>
  <si>
    <t>FY27</t>
  </si>
  <si>
    <t>FY28</t>
  </si>
  <si>
    <t>FY29</t>
  </si>
  <si>
    <t>FY30</t>
  </si>
  <si>
    <t>Provisions as a % of Gross Block</t>
  </si>
  <si>
    <t>Deferred tax growth rate</t>
  </si>
  <si>
    <t>Deferred tax as a % of depriciation</t>
  </si>
  <si>
    <t>Inventory # of days</t>
  </si>
  <si>
    <t>Loans and advances as % of net sales</t>
  </si>
  <si>
    <t>Capital WIP as % of net sales</t>
  </si>
  <si>
    <t>Investments as % of gross block</t>
  </si>
  <si>
    <t>Acc receivable # of days</t>
  </si>
  <si>
    <t>PnL Sheet Assumptions</t>
  </si>
  <si>
    <t>Net Sales Growth Rate</t>
  </si>
  <si>
    <t>Other income as % of Net Sales</t>
  </si>
  <si>
    <t>Increase in stock as % of Net Sales</t>
  </si>
  <si>
    <t>Material consumed as % of net sales</t>
  </si>
  <si>
    <t xml:space="preserve">Payment and employee benefits growth rate </t>
  </si>
  <si>
    <t>Manufacturing, selling and other expenses as % of Net Sales</t>
  </si>
  <si>
    <t>Duties and taxes as % of net sales</t>
  </si>
  <si>
    <t>Cash Flow Statement</t>
  </si>
  <si>
    <t>Cash from Operating Activity</t>
  </si>
  <si>
    <t>Adjustments</t>
  </si>
  <si>
    <t>OCF Before Working Capital</t>
  </si>
  <si>
    <t>Working Capital Changes</t>
  </si>
  <si>
    <t>Taxes Paid</t>
  </si>
  <si>
    <t>Cash from Investing Activity</t>
  </si>
  <si>
    <t>Net Fixed Assets Purchased</t>
  </si>
  <si>
    <t>Fixed Assets Purchased</t>
  </si>
  <si>
    <t>Fixed Assets Sold</t>
  </si>
  <si>
    <t>Investment Purchased</t>
  </si>
  <si>
    <t>Investment Sold</t>
  </si>
  <si>
    <t>Interest Recieved</t>
  </si>
  <si>
    <t>Dividends Recieved</t>
  </si>
  <si>
    <t>Subsidiary Investments</t>
  </si>
  <si>
    <t>Cash from Financing Activity</t>
  </si>
  <si>
    <t>Proceeds From Shares</t>
  </si>
  <si>
    <t>Net Long Term Borrowings</t>
  </si>
  <si>
    <t>Proceeds From Borrowings</t>
  </si>
  <si>
    <t>Repayment From Borrowings</t>
  </si>
  <si>
    <t>Interest Paid</t>
  </si>
  <si>
    <t>Dividend Paid</t>
  </si>
  <si>
    <t>Net Cash Flow</t>
  </si>
  <si>
    <t>Opening Cash &amp; Cash Equivalents</t>
  </si>
  <si>
    <t>Effect of FX</t>
  </si>
  <si>
    <t>Closing Cash &amp; Cash Equivalents</t>
  </si>
  <si>
    <t>Net Capex (est)</t>
  </si>
  <si>
    <t>Free Cash Flow (est)</t>
  </si>
  <si>
    <t>Asset Schedule</t>
  </si>
  <si>
    <t>Operating Gross Block</t>
  </si>
  <si>
    <t>Add : CAPEX</t>
  </si>
  <si>
    <t>Less : Disposal Of Assets</t>
  </si>
  <si>
    <t>Closing Gross Block</t>
  </si>
  <si>
    <t>Accumulated Depriciation</t>
  </si>
  <si>
    <t>Opening Balance</t>
  </si>
  <si>
    <t>Add : Current Year Depreciation</t>
  </si>
  <si>
    <t>Less : Depreciation Non Expense</t>
  </si>
  <si>
    <t>Closing Balance</t>
  </si>
  <si>
    <t>Closing Balance as per Balance Sheet</t>
  </si>
  <si>
    <t>Debt Schedule</t>
  </si>
  <si>
    <t>Secured Loan</t>
  </si>
  <si>
    <t>Add : New Issue</t>
  </si>
  <si>
    <t>Less : Repayments</t>
  </si>
  <si>
    <t>Unsecured Loan</t>
  </si>
  <si>
    <t>Average Loan Outstanding</t>
  </si>
  <si>
    <t>Interest Rate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</si>
</sst>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Aptos Narrow"/>
      <scheme val="minor"/>
    </font>
    <font>
      <sz val="12"/>
      <color theme="8"/>
      <name val="Helvetica"/>
      <family val="2"/>
    </font>
    <font>
      <sz val="12"/>
      <color theme="8"/>
      <name val="Aptos Narrow"/>
      <family val="2"/>
      <scheme val="minor"/>
    </font>
    <font>
      <sz val="12"/>
      <color rgb="FFFF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4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2" fontId="0" fillId="0" borderId="0" xfId="0" applyNumberFormat="1" applyFill="1"/>
    <xf numFmtId="2" fontId="3" fillId="0" borderId="0" xfId="0" applyNumberFormat="1" applyFont="1" applyFill="1"/>
    <xf numFmtId="10" fontId="0" fillId="0" borderId="0" xfId="0" applyNumberForma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8" fillId="0" borderId="0" xfId="0" applyNumberFormat="1" applyFont="1"/>
    <xf numFmtId="2" fontId="7" fillId="0" borderId="0" xfId="0" applyNumberFormat="1" applyFont="1"/>
    <xf numFmtId="2" fontId="9" fillId="0" borderId="0" xfId="0" applyNumberFormat="1" applyFont="1"/>
    <xf numFmtId="2" fontId="6" fillId="0" borderId="0" xfId="0" applyNumberFormat="1" applyFont="1"/>
    <xf numFmtId="2" fontId="10" fillId="0" borderId="0" xfId="0" applyNumberFormat="1" applyFont="1"/>
    <xf numFmtId="2" fontId="1" fillId="0" borderId="0" xfId="0" applyNumberFormat="1" applyFont="1"/>
    <xf numFmtId="2" fontId="11" fillId="0" borderId="0" xfId="0" applyNumberFormat="1" applyFont="1" applyFill="1"/>
    <xf numFmtId="10" fontId="11" fillId="0" borderId="0" xfId="0" applyNumberFormat="1" applyFont="1" applyFill="1"/>
    <xf numFmtId="2" fontId="1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71D0-1B13-D04D-8C7D-408209DD3558}">
  <dimension ref="A1:T41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P35" sqref="P35"/>
    </sheetView>
  </sheetViews>
  <sheetFormatPr baseColWidth="10" defaultRowHeight="16" x14ac:dyDescent="0.2"/>
  <cols>
    <col min="1" max="1" width="5" style="7" customWidth="1"/>
    <col min="2" max="2" width="4.6640625" style="7" customWidth="1"/>
    <col min="3" max="3" width="44.33203125" style="7" customWidth="1"/>
    <col min="4" max="4" width="6" style="7" customWidth="1"/>
    <col min="5" max="5" width="6.83203125" style="7" hidden="1" customWidth="1"/>
    <col min="6" max="14" width="10.83203125" style="7"/>
    <col min="15" max="15" width="10.83203125" style="11"/>
    <col min="16" max="20" width="10.83203125" style="23"/>
    <col min="21" max="16384" width="10.83203125" style="7"/>
  </cols>
  <sheetData>
    <row r="1" spans="1:20" ht="19" x14ac:dyDescent="0.25">
      <c r="A1" s="6" t="s">
        <v>81</v>
      </c>
      <c r="P1" s="25"/>
      <c r="Q1" s="25"/>
      <c r="R1" s="25"/>
      <c r="S1" s="25"/>
      <c r="T1" s="25"/>
    </row>
    <row r="2" spans="1:20" x14ac:dyDescent="0.2">
      <c r="A2" s="8" t="s">
        <v>6</v>
      </c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0</v>
      </c>
      <c r="K2" s="9" t="s">
        <v>1</v>
      </c>
      <c r="L2" s="9" t="s">
        <v>2</v>
      </c>
      <c r="M2" s="9" t="s">
        <v>3</v>
      </c>
      <c r="N2" s="9" t="s">
        <v>4</v>
      </c>
      <c r="O2" s="12" t="s">
        <v>84</v>
      </c>
      <c r="P2" s="12" t="s">
        <v>85</v>
      </c>
      <c r="Q2" s="12" t="s">
        <v>86</v>
      </c>
      <c r="R2" s="12" t="s">
        <v>87</v>
      </c>
      <c r="S2" s="12" t="s">
        <v>88</v>
      </c>
      <c r="T2" s="12" t="s">
        <v>89</v>
      </c>
    </row>
    <row r="7" spans="1:20" x14ac:dyDescent="0.2">
      <c r="A7" s="9" t="s">
        <v>82</v>
      </c>
    </row>
    <row r="8" spans="1:20" x14ac:dyDescent="0.2">
      <c r="A8" s="9"/>
    </row>
    <row r="9" spans="1:20" s="10" customFormat="1" x14ac:dyDescent="0.2">
      <c r="B9" s="10" t="s">
        <v>83</v>
      </c>
      <c r="F9" s="10">
        <f>SUM('Balance Sheet'!F33:F35)/'Balance Sheet'!F5</f>
        <v>1.7258320560543026</v>
      </c>
      <c r="G9" s="10">
        <f>SUM('Balance Sheet'!G33:G35)/'Balance Sheet'!G5</f>
        <v>1.6394976985166592</v>
      </c>
      <c r="H9" s="10">
        <f>SUM('Balance Sheet'!H33:H35)/'Balance Sheet'!H5</f>
        <v>1.1064668618782416</v>
      </c>
      <c r="I9" s="10">
        <f>SUM('Balance Sheet'!I33:I35)/'Balance Sheet'!I5</f>
        <v>1.3611512402710118</v>
      </c>
      <c r="J9" s="10">
        <f>SUM('Balance Sheet'!J33:J35)/'Balance Sheet'!J5</f>
        <v>0.90309623592949995</v>
      </c>
      <c r="K9" s="10">
        <f>SUM('Balance Sheet'!K33:K35)/'Balance Sheet'!K5</f>
        <v>0.7272275907042921</v>
      </c>
      <c r="L9" s="10">
        <f>SUM('Balance Sheet'!L33:L35)/'Balance Sheet'!L5</f>
        <v>0.63704156158541836</v>
      </c>
      <c r="M9" s="10">
        <f>SUM('Balance Sheet'!M33:M35)/'Balance Sheet'!M5</f>
        <v>0.79003264954105834</v>
      </c>
      <c r="N9" s="10">
        <f>SUM('Balance Sheet'!N33:N35)/'Balance Sheet'!N5</f>
        <v>0.96350886376896949</v>
      </c>
      <c r="O9" s="13">
        <f>AVERAGE(J9:N9)</f>
        <v>0.80418138030584763</v>
      </c>
      <c r="P9" s="24">
        <f t="shared" ref="P9:T9" si="0">AVERAGE(K9:O9)</f>
        <v>0.78439840918111714</v>
      </c>
      <c r="Q9" s="24">
        <f t="shared" si="0"/>
        <v>0.79583257287648212</v>
      </c>
      <c r="R9" s="24">
        <f t="shared" si="0"/>
        <v>0.82759077513469492</v>
      </c>
      <c r="S9" s="24">
        <f t="shared" si="0"/>
        <v>0.83510240025342219</v>
      </c>
      <c r="T9" s="24">
        <f t="shared" si="0"/>
        <v>0.80942110755031282</v>
      </c>
    </row>
    <row r="10" spans="1:20" s="10" customFormat="1" x14ac:dyDescent="0.2">
      <c r="O10" s="13"/>
      <c r="P10" s="24"/>
      <c r="Q10" s="24"/>
      <c r="R10" s="24"/>
      <c r="S10" s="24"/>
      <c r="T10" s="24"/>
    </row>
    <row r="11" spans="1:20" s="10" customFormat="1" x14ac:dyDescent="0.2">
      <c r="B11" s="10" t="s">
        <v>90</v>
      </c>
      <c r="F11" s="10">
        <f>'Balance Sheet'!F37/'Balance Sheet'!F6</f>
        <v>0.2726699684826655</v>
      </c>
      <c r="G11" s="10">
        <f>'Balance Sheet'!G37/'Balance Sheet'!G6</f>
        <v>0.25113388207626403</v>
      </c>
      <c r="H11" s="10">
        <f>'Balance Sheet'!H37/'Balance Sheet'!H6</f>
        <v>0.32400107991360694</v>
      </c>
      <c r="I11" s="10">
        <f>'Balance Sheet'!I37/'Balance Sheet'!I6</f>
        <v>0.36851387364790722</v>
      </c>
      <c r="J11" s="10">
        <f>'Balance Sheet'!J37/'Balance Sheet'!J6</f>
        <v>0.22183251598485318</v>
      </c>
      <c r="K11" s="10">
        <f>'Balance Sheet'!K37/'Balance Sheet'!K6</f>
        <v>6.2548234613158407E-2</v>
      </c>
      <c r="L11" s="10">
        <f>'Balance Sheet'!L37/'Balance Sheet'!L6</f>
        <v>4.1602496351099701E-2</v>
      </c>
      <c r="M11" s="10">
        <f>'Balance Sheet'!M37/'Balance Sheet'!M6</f>
        <v>4.7106793482867941E-2</v>
      </c>
      <c r="N11" s="10">
        <f>'Balance Sheet'!N37/'Balance Sheet'!N6</f>
        <v>3.1275772829394533E-2</v>
      </c>
      <c r="O11" s="13">
        <f>AVERAGE(J11:N11)</f>
        <v>8.087316265227476E-2</v>
      </c>
      <c r="P11" s="24">
        <f t="shared" ref="P11:T11" si="1">AVERAGE(K11:O11)</f>
        <v>5.268129198575907E-2</v>
      </c>
      <c r="Q11" s="24">
        <f t="shared" si="1"/>
        <v>5.0707903460279202E-2</v>
      </c>
      <c r="R11" s="24">
        <f t="shared" si="1"/>
        <v>5.2528984882115104E-2</v>
      </c>
      <c r="S11" s="24">
        <f t="shared" si="1"/>
        <v>5.3613423161964532E-2</v>
      </c>
      <c r="T11" s="24">
        <f t="shared" si="1"/>
        <v>5.8080953228478539E-2</v>
      </c>
    </row>
    <row r="12" spans="1:20" s="10" customFormat="1" x14ac:dyDescent="0.2">
      <c r="O12" s="13"/>
      <c r="P12" s="24"/>
      <c r="Q12" s="24"/>
      <c r="R12" s="24"/>
      <c r="S12" s="24"/>
      <c r="T12" s="24"/>
    </row>
    <row r="13" spans="1:20" s="10" customFormat="1" x14ac:dyDescent="0.2">
      <c r="B13" s="10" t="s">
        <v>91</v>
      </c>
      <c r="F13" s="10">
        <f>(('Balance Sheet'!F29/'Balance Sheet'!E29)-1)</f>
        <v>0.2287047841306884</v>
      </c>
      <c r="G13" s="10">
        <f>(('Balance Sheet'!G29/'Balance Sheet'!F29)-1)</f>
        <v>2.1182336182336186</v>
      </c>
      <c r="H13" s="10">
        <f>(('Balance Sheet'!H29/'Balance Sheet'!G29)-1)</f>
        <v>-0.15730165981422262</v>
      </c>
      <c r="I13" s="10">
        <f>(('Balance Sheet'!I29/'Balance Sheet'!H29)-1)</f>
        <v>-0.58258041199855437</v>
      </c>
      <c r="J13" s="10">
        <f>(('Balance Sheet'!J29/'Balance Sheet'!I29)-1)</f>
        <v>-0.2865800865800866</v>
      </c>
      <c r="K13" s="10">
        <f>(('Balance Sheet'!K29/'Balance Sheet'!J29)-1)</f>
        <v>1.5364077669902909</v>
      </c>
      <c r="L13" s="10">
        <f>(('Balance Sheet'!L29/'Balance Sheet'!K29)-1)</f>
        <v>-0.34976076555023916</v>
      </c>
      <c r="M13" s="10">
        <f>(('Balance Sheet'!M29/'Balance Sheet'!L29)-1)</f>
        <v>0.50551876379690963</v>
      </c>
      <c r="N13" s="10">
        <f>(('Balance Sheet'!N29/'Balance Sheet'!M29)-1)</f>
        <v>1.4173998044965774E-2</v>
      </c>
      <c r="O13" s="13">
        <f>AVERAGE(J13:N13)</f>
        <v>0.28395193534036817</v>
      </c>
      <c r="P13" s="24">
        <f t="shared" ref="P13:T13" si="2">AVERAGE(K13:O13)</f>
        <v>0.39805833972445909</v>
      </c>
      <c r="Q13" s="24">
        <f t="shared" si="2"/>
        <v>0.17038845427129271</v>
      </c>
      <c r="R13" s="24">
        <f t="shared" si="2"/>
        <v>0.27441829823559905</v>
      </c>
      <c r="S13" s="24">
        <f t="shared" si="2"/>
        <v>0.22819820512333697</v>
      </c>
      <c r="T13" s="24">
        <f t="shared" si="2"/>
        <v>0.27100304653901119</v>
      </c>
    </row>
    <row r="14" spans="1:20" s="10" customFormat="1" x14ac:dyDescent="0.2">
      <c r="O14" s="13"/>
      <c r="P14" s="24"/>
      <c r="Q14" s="24"/>
      <c r="R14" s="24"/>
      <c r="S14" s="24"/>
      <c r="T14" s="24"/>
    </row>
    <row r="15" spans="1:20" s="10" customFormat="1" x14ac:dyDescent="0.2">
      <c r="B15" s="10" t="s">
        <v>92</v>
      </c>
      <c r="F15" s="10">
        <f>'Balance Sheet'!F29/'Balance Sheet'!F6</f>
        <v>0.18964430436740207</v>
      </c>
      <c r="G15" s="10">
        <f>'Balance Sheet'!G29/'Balance Sheet'!G6</f>
        <v>0.27578531832689401</v>
      </c>
      <c r="H15" s="10">
        <f>'Balance Sheet'!H29/'Balance Sheet'!H6</f>
        <v>0.14940604751619871</v>
      </c>
      <c r="I15" s="10">
        <f>'Balance Sheet'!I29/'Balance Sheet'!I6</f>
        <v>4.5265715629409002E-2</v>
      </c>
      <c r="J15" s="10">
        <f>'Balance Sheet'!J29/'Balance Sheet'!J6</f>
        <v>2.5575765100254517E-2</v>
      </c>
      <c r="K15" s="10">
        <f>'Balance Sheet'!K29/'Balance Sheet'!K6</f>
        <v>5.0405170750530581E-2</v>
      </c>
      <c r="L15" s="10">
        <f>'Balance Sheet'!L29/'Balance Sheet'!L6</f>
        <v>2.735920277819719E-2</v>
      </c>
      <c r="M15" s="10">
        <f>'Balance Sheet'!M29/'Balance Sheet'!M6</f>
        <v>3.4687960937897361E-2</v>
      </c>
      <c r="N15" s="10">
        <f>'Balance Sheet'!N29/'Balance Sheet'!N6</f>
        <v>2.9505446065466543E-2</v>
      </c>
      <c r="O15" s="13">
        <f t="shared" ref="O15:O50" si="3">AVERAGE(J15:N15)</f>
        <v>3.3506709126469233E-2</v>
      </c>
      <c r="P15" s="24">
        <f t="shared" ref="P15:P50" si="4">AVERAGE(K15:O15)</f>
        <v>3.5092897931712184E-2</v>
      </c>
      <c r="Q15" s="24">
        <f t="shared" ref="Q15:Q50" si="5">AVERAGE(L15:P15)</f>
        <v>3.2030443367948504E-2</v>
      </c>
      <c r="R15" s="24">
        <f t="shared" ref="R15:R50" si="6">AVERAGE(M15:Q15)</f>
        <v>3.2964691485898763E-2</v>
      </c>
      <c r="S15" s="24">
        <f t="shared" ref="S15:S50" si="7">AVERAGE(N15:R15)</f>
        <v>3.2620037595499043E-2</v>
      </c>
      <c r="T15" s="24">
        <f t="shared" ref="T15:T50" si="8">AVERAGE(O15:S15)</f>
        <v>3.3242955901505541E-2</v>
      </c>
    </row>
    <row r="16" spans="1:20" s="10" customFormat="1" x14ac:dyDescent="0.2">
      <c r="O16" s="13"/>
      <c r="P16" s="24"/>
      <c r="Q16" s="24"/>
      <c r="R16" s="24"/>
      <c r="S16" s="24"/>
      <c r="T16" s="24"/>
    </row>
    <row r="17" spans="1:20" x14ac:dyDescent="0.2">
      <c r="B17" s="7" t="s">
        <v>93</v>
      </c>
      <c r="F17" s="7">
        <f>365*('Balance Sheet'!E15+'Balance Sheet'!F15)/(2*PnL!F8)</f>
        <v>90.963506468430197</v>
      </c>
      <c r="G17" s="7">
        <f>365*('Balance Sheet'!F15+'Balance Sheet'!G15)/(2*PnL!G8)</f>
        <v>107.27061572712505</v>
      </c>
      <c r="H17" s="7">
        <f>365*('Balance Sheet'!G15+'Balance Sheet'!H15)/(2*PnL!H8)</f>
        <v>107.04272705097975</v>
      </c>
      <c r="I17" s="7">
        <f>365*('Balance Sheet'!H15+'Balance Sheet'!I15)/(2*PnL!I8)</f>
        <v>107.11419664168092</v>
      </c>
      <c r="J17" s="7">
        <f>365*('Balance Sheet'!I15+'Balance Sheet'!J15)/(2*PnL!J8)</f>
        <v>117.02572150060348</v>
      </c>
      <c r="K17" s="7">
        <f>365*('Balance Sheet'!J15+'Balance Sheet'!K15)/(2*PnL!K8)</f>
        <v>115.31418850179732</v>
      </c>
      <c r="L17" s="7">
        <f>365*('Balance Sheet'!K15+'Balance Sheet'!L15)/(2*PnL!L8)</f>
        <v>79.229599326543479</v>
      </c>
      <c r="M17" s="7">
        <f>365*('Balance Sheet'!L15+'Balance Sheet'!M15)/(2*PnL!M8)</f>
        <v>93.19457277116318</v>
      </c>
      <c r="N17" s="7">
        <f>365*('Balance Sheet'!M15+'Balance Sheet'!N15)/(2*PnL!N8)</f>
        <v>92.743357148006311</v>
      </c>
      <c r="O17" s="11">
        <f t="shared" si="3"/>
        <v>99.501487849622748</v>
      </c>
      <c r="P17" s="23">
        <f t="shared" si="4"/>
        <v>95.996641119426613</v>
      </c>
      <c r="Q17" s="23">
        <f t="shared" si="5"/>
        <v>92.133131642952478</v>
      </c>
      <c r="R17" s="23">
        <f t="shared" si="6"/>
        <v>94.713838106234277</v>
      </c>
      <c r="S17" s="23">
        <f t="shared" si="7"/>
        <v>95.017691173248494</v>
      </c>
      <c r="T17" s="23">
        <f t="shared" si="8"/>
        <v>95.472557978296919</v>
      </c>
    </row>
    <row r="19" spans="1:20" x14ac:dyDescent="0.2">
      <c r="B19" s="7" t="s">
        <v>97</v>
      </c>
      <c r="F19" s="7">
        <f>365*AVERAGE('Balance Sheet'!E16:F16)/PnL!F5</f>
        <v>85.654311014627439</v>
      </c>
      <c r="G19" s="7">
        <f>365*AVERAGE('Balance Sheet'!F16:G16)/PnL!G5</f>
        <v>83.701964684406889</v>
      </c>
      <c r="H19" s="7">
        <f>365*AVERAGE('Balance Sheet'!G16:H16)/PnL!H5</f>
        <v>66.425880055713833</v>
      </c>
      <c r="I19" s="7">
        <f>365*AVERAGE('Balance Sheet'!H16:I16)/PnL!I5</f>
        <v>59.994371082768247</v>
      </c>
      <c r="J19" s="7">
        <f>365*AVERAGE('Balance Sheet'!I16:J16)/PnL!J5</f>
        <v>57.209010243546111</v>
      </c>
      <c r="K19" s="7">
        <f>365*AVERAGE('Balance Sheet'!J16:K16)/PnL!K5</f>
        <v>59.560239552422992</v>
      </c>
      <c r="L19" s="7">
        <f>365*AVERAGE('Balance Sheet'!K16:L16)/PnL!L5</f>
        <v>40.857833979035966</v>
      </c>
      <c r="M19" s="7">
        <f>365*AVERAGE('Balance Sheet'!L16:M16)/PnL!M5</f>
        <v>32.896435512887216</v>
      </c>
      <c r="N19" s="7">
        <f>365*AVERAGE('Balance Sheet'!M16:N16)/PnL!N5</f>
        <v>33.321649674269267</v>
      </c>
      <c r="O19" s="11">
        <f t="shared" si="3"/>
        <v>44.76903379243231</v>
      </c>
      <c r="P19" s="23">
        <f t="shared" si="4"/>
        <v>42.281038502209547</v>
      </c>
      <c r="Q19" s="23">
        <f t="shared" si="5"/>
        <v>38.82519829216686</v>
      </c>
      <c r="R19" s="23">
        <f t="shared" si="6"/>
        <v>38.418671154793039</v>
      </c>
      <c r="S19" s="23">
        <f t="shared" si="7"/>
        <v>39.523118283174206</v>
      </c>
      <c r="T19" s="23">
        <f t="shared" si="8"/>
        <v>40.763412004955192</v>
      </c>
    </row>
    <row r="21" spans="1:20" s="10" customFormat="1" x14ac:dyDescent="0.2">
      <c r="B21" s="10" t="s">
        <v>94</v>
      </c>
      <c r="F21" s="10">
        <f>'Balance Sheet'!F20/PnL!F5</f>
        <v>4.5893156320912773E-2</v>
      </c>
      <c r="G21" s="10">
        <f>'Balance Sheet'!G20/PnL!G5</f>
        <v>5.66005832600016E-2</v>
      </c>
      <c r="H21" s="10">
        <f>'Balance Sheet'!H20/PnL!H5</f>
        <v>3.3437169051343286E-2</v>
      </c>
      <c r="I21" s="10">
        <f>'Balance Sheet'!I20/PnL!I5</f>
        <v>2.4563117130316635E-2</v>
      </c>
      <c r="J21" s="10">
        <f>'Balance Sheet'!J20/PnL!J5</f>
        <v>2.4310443433994529E-2</v>
      </c>
      <c r="K21" s="10">
        <f>'Balance Sheet'!K20/PnL!K5</f>
        <v>1.6754566247698253E-2</v>
      </c>
      <c r="L21" s="10">
        <f>'Balance Sheet'!L20/PnL!L5</f>
        <v>3.2698119268159978E-2</v>
      </c>
      <c r="M21" s="10">
        <f>'Balance Sheet'!M20/PnL!M5</f>
        <v>4.3014563595406223E-2</v>
      </c>
      <c r="N21" s="10">
        <f>'Balance Sheet'!N20/PnL!N5</f>
        <v>3.8328795128895352E-2</v>
      </c>
      <c r="O21" s="13">
        <f t="shared" si="3"/>
        <v>3.102129753483087E-2</v>
      </c>
      <c r="P21" s="24">
        <f t="shared" si="4"/>
        <v>3.2363468354998134E-2</v>
      </c>
      <c r="Q21" s="24">
        <f t="shared" si="5"/>
        <v>3.548524877645811E-2</v>
      </c>
      <c r="R21" s="24">
        <f t="shared" si="6"/>
        <v>3.6042674678117739E-2</v>
      </c>
      <c r="S21" s="24">
        <f t="shared" si="7"/>
        <v>3.4648296894660036E-2</v>
      </c>
      <c r="T21" s="24">
        <f t="shared" si="8"/>
        <v>3.3912197247812984E-2</v>
      </c>
    </row>
    <row r="22" spans="1:20" s="10" customFormat="1" x14ac:dyDescent="0.2">
      <c r="O22" s="13"/>
      <c r="P22" s="24"/>
      <c r="Q22" s="24"/>
      <c r="R22" s="24"/>
      <c r="S22" s="24"/>
      <c r="T22" s="24"/>
    </row>
    <row r="23" spans="1:20" s="10" customFormat="1" x14ac:dyDescent="0.2">
      <c r="B23" s="10" t="s">
        <v>95</v>
      </c>
      <c r="F23" s="10">
        <f>'Balance Sheet'!F10/'Balance Sheet'!F5</f>
        <v>0.12597620611634189</v>
      </c>
      <c r="G23" s="10">
        <f>'Balance Sheet'!G10/'Balance Sheet'!G5</f>
        <v>0.12065773393535356</v>
      </c>
      <c r="H23" s="10">
        <f>'Balance Sheet'!H10/'Balance Sheet'!H5</f>
        <v>8.6754320491473857E-2</v>
      </c>
      <c r="I23" s="10">
        <f>'Balance Sheet'!I10/'Balance Sheet'!I5</f>
        <v>0.10806876084887171</v>
      </c>
      <c r="J23" s="10">
        <f>'Balance Sheet'!J10/'Balance Sheet'!J5</f>
        <v>0.11671618966501805</v>
      </c>
      <c r="K23" s="10">
        <f>'Balance Sheet'!K10/'Balance Sheet'!K5</f>
        <v>3.6700409058572442E-2</v>
      </c>
      <c r="L23" s="10">
        <f>'Balance Sheet'!L10/'Balance Sheet'!L5</f>
        <v>0.14069333013561569</v>
      </c>
      <c r="M23" s="10">
        <f>'Balance Sheet'!M10/'Balance Sheet'!M5</f>
        <v>7.7240805766032164E-2</v>
      </c>
      <c r="N23" s="10">
        <f>'Balance Sheet'!N10/'Balance Sheet'!N5</f>
        <v>0.15771292403496434</v>
      </c>
      <c r="O23" s="13">
        <f t="shared" si="3"/>
        <v>0.10581273173204053</v>
      </c>
      <c r="P23" s="24">
        <f t="shared" si="4"/>
        <v>0.10363204014544505</v>
      </c>
      <c r="Q23" s="24">
        <f t="shared" si="5"/>
        <v>0.11701836636281955</v>
      </c>
      <c r="R23" s="24">
        <f t="shared" si="6"/>
        <v>0.11228337360826032</v>
      </c>
      <c r="S23" s="24">
        <f t="shared" si="7"/>
        <v>0.11929188717670595</v>
      </c>
      <c r="T23" s="24">
        <f t="shared" si="8"/>
        <v>0.11160767980505429</v>
      </c>
    </row>
    <row r="24" spans="1:20" s="10" customFormat="1" x14ac:dyDescent="0.2">
      <c r="O24" s="13"/>
      <c r="P24" s="24"/>
      <c r="Q24" s="24"/>
      <c r="R24" s="24"/>
      <c r="S24" s="24"/>
      <c r="T24" s="24"/>
    </row>
    <row r="25" spans="1:20" s="10" customFormat="1" x14ac:dyDescent="0.2">
      <c r="B25" s="10" t="s">
        <v>96</v>
      </c>
      <c r="F25" s="10">
        <f>'Balance Sheet'!F17/'Balance Sheet'!F5</f>
        <v>0</v>
      </c>
      <c r="G25" s="10">
        <f>'Balance Sheet'!G17/'Balance Sheet'!G5</f>
        <v>0</v>
      </c>
      <c r="H25" s="10">
        <f>'Balance Sheet'!H17/'Balance Sheet'!H5</f>
        <v>0</v>
      </c>
      <c r="I25" s="10">
        <f>'Balance Sheet'!I17/'Balance Sheet'!I5</f>
        <v>0</v>
      </c>
      <c r="J25" s="10">
        <f>'Balance Sheet'!J17/'Balance Sheet'!J5</f>
        <v>1.935752378555735E-2</v>
      </c>
      <c r="K25" s="10">
        <f>'Balance Sheet'!K17/'Balance Sheet'!K5</f>
        <v>0.23088466326772586</v>
      </c>
      <c r="L25" s="10">
        <f>'Balance Sheet'!L17/'Balance Sheet'!L5</f>
        <v>0.28631439310192347</v>
      </c>
      <c r="M25" s="10">
        <f>'Balance Sheet'!M17/'Balance Sheet'!M5</f>
        <v>0.41597055381013986</v>
      </c>
      <c r="N25" s="10">
        <f>'Balance Sheet'!N17/'Balance Sheet'!N5</f>
        <v>0.49687818656720495</v>
      </c>
      <c r="O25" s="13">
        <f t="shared" si="3"/>
        <v>0.28988106410651027</v>
      </c>
      <c r="P25" s="24">
        <f t="shared" si="4"/>
        <v>0.34398577217070087</v>
      </c>
      <c r="Q25" s="24">
        <f t="shared" si="5"/>
        <v>0.36660599395129589</v>
      </c>
      <c r="R25" s="24">
        <f t="shared" si="6"/>
        <v>0.38266431412117041</v>
      </c>
      <c r="S25" s="24">
        <f t="shared" si="7"/>
        <v>0.37600306618337653</v>
      </c>
      <c r="T25" s="24">
        <f t="shared" si="8"/>
        <v>0.35182804210661078</v>
      </c>
    </row>
    <row r="27" spans="1:20" x14ac:dyDescent="0.2">
      <c r="A27" s="9" t="s">
        <v>98</v>
      </c>
    </row>
    <row r="29" spans="1:20" x14ac:dyDescent="0.2">
      <c r="B29" s="7" t="s">
        <v>99</v>
      </c>
      <c r="F29" s="10" t="e">
        <f>PnL!F5/PnL!E5-1</f>
        <v>#DIV/0!</v>
      </c>
      <c r="G29" s="10">
        <f>PnL!G5/PnL!F5-1</f>
        <v>6.0401054208447214E-2</v>
      </c>
      <c r="H29" s="10">
        <f>PnL!H5/PnL!G5-1</f>
        <v>0.23093859770332292</v>
      </c>
      <c r="I29" s="10">
        <f>PnL!I5/PnL!H5-1</f>
        <v>0.17949547361937634</v>
      </c>
      <c r="J29" s="10">
        <f>PnL!J5/PnL!I5-1</f>
        <v>0.10574099467162568</v>
      </c>
      <c r="K29" s="10">
        <f>PnL!K5/PnL!J5-1</f>
        <v>-4.2718248687706462E-3</v>
      </c>
      <c r="L29" s="10">
        <f>PnL!L5/PnL!K5-1</f>
        <v>0.38801646453743821</v>
      </c>
      <c r="M29" s="10">
        <f>PnL!M5/PnL!L5-1</f>
        <v>0.15601912853087896</v>
      </c>
      <c r="N29" s="10">
        <f>PnL!N5/PnL!M5-1</f>
        <v>0.27868736257582682</v>
      </c>
      <c r="O29" s="13">
        <f t="shared" si="3"/>
        <v>0.18483842508939979</v>
      </c>
      <c r="P29" s="24">
        <f t="shared" si="4"/>
        <v>0.20065791117295464</v>
      </c>
      <c r="Q29" s="24">
        <f t="shared" si="5"/>
        <v>0.2416438583812997</v>
      </c>
      <c r="R29" s="24">
        <f t="shared" si="6"/>
        <v>0.21236933715007197</v>
      </c>
      <c r="S29" s="24">
        <f t="shared" si="7"/>
        <v>0.22363937887391055</v>
      </c>
      <c r="T29" s="24">
        <f t="shared" si="8"/>
        <v>0.21262978213352732</v>
      </c>
    </row>
    <row r="30" spans="1:20" x14ac:dyDescent="0.2">
      <c r="F30" s="10"/>
      <c r="G30" s="10"/>
      <c r="H30" s="10"/>
      <c r="I30" s="10"/>
      <c r="J30" s="10"/>
      <c r="K30" s="10"/>
      <c r="L30" s="10"/>
      <c r="M30" s="10"/>
      <c r="N30" s="10"/>
      <c r="O30" s="13"/>
      <c r="P30" s="24"/>
      <c r="Q30" s="24"/>
      <c r="R30" s="24"/>
      <c r="S30" s="24"/>
      <c r="T30" s="24"/>
    </row>
    <row r="31" spans="1:20" x14ac:dyDescent="0.2">
      <c r="B31" s="7" t="s">
        <v>100</v>
      </c>
      <c r="F31" s="10" t="e">
        <f>PnL!F7/PnL!E7-1</f>
        <v>#DIV/0!</v>
      </c>
      <c r="G31" s="10">
        <f>PnL!G17/PnL!G5</f>
        <v>1.3674247107335839E-2</v>
      </c>
      <c r="H31" s="10">
        <f>PnL!H17/PnL!H5</f>
        <v>9.51802797803941E-3</v>
      </c>
      <c r="I31" s="10">
        <f>PnL!I17/PnL!I5</f>
        <v>7.986926385784323E-3</v>
      </c>
      <c r="J31" s="10">
        <f>PnL!J17/PnL!J5</f>
        <v>1.0508553276066116E-2</v>
      </c>
      <c r="K31" s="10">
        <f>PnL!K17/PnL!K5</f>
        <v>1.4138620122540016E-2</v>
      </c>
      <c r="L31" s="10">
        <f>PnL!L17/PnL!L5</f>
        <v>8.5981697444066415E-3</v>
      </c>
      <c r="M31" s="10">
        <f>PnL!M17/PnL!M5</f>
        <v>9.6712594043853808E-3</v>
      </c>
      <c r="N31" s="10">
        <f>PnL!N17/PnL!N5</f>
        <v>1.2244282527617266E-2</v>
      </c>
      <c r="O31" s="13">
        <f t="shared" si="3"/>
        <v>1.1032177015003083E-2</v>
      </c>
      <c r="P31" s="24">
        <f t="shared" si="4"/>
        <v>1.1136901762790478E-2</v>
      </c>
      <c r="Q31" s="24">
        <f t="shared" si="5"/>
        <v>1.0536558090840569E-2</v>
      </c>
      <c r="R31" s="24">
        <f t="shared" si="6"/>
        <v>1.0924235760127354E-2</v>
      </c>
      <c r="S31" s="24">
        <f t="shared" si="7"/>
        <v>1.1174831031275751E-2</v>
      </c>
      <c r="T31" s="24">
        <f t="shared" si="8"/>
        <v>1.0960940732007447E-2</v>
      </c>
    </row>
    <row r="32" spans="1:20" x14ac:dyDescent="0.2">
      <c r="F32" s="10"/>
      <c r="G32" s="10"/>
      <c r="H32" s="10"/>
      <c r="I32" s="10"/>
      <c r="J32" s="10"/>
      <c r="K32" s="10"/>
      <c r="L32" s="10"/>
      <c r="M32" s="10"/>
      <c r="N32" s="10"/>
      <c r="O32" s="13"/>
      <c r="P32" s="24"/>
      <c r="Q32" s="24"/>
      <c r="R32" s="24"/>
      <c r="S32" s="24"/>
      <c r="T32" s="24"/>
    </row>
    <row r="33" spans="2:20" x14ac:dyDescent="0.2">
      <c r="B33" s="7" t="s">
        <v>101</v>
      </c>
      <c r="F33" s="10" t="e">
        <f>PnL!F9/PnL!E9-1</f>
        <v>#DIV/0!</v>
      </c>
      <c r="G33" s="10">
        <f>PnL!G7/PnL!G5</f>
        <v>-3.7906445677548854E-2</v>
      </c>
      <c r="H33" s="10">
        <f>PnL!H7/PnL!H5</f>
        <v>-1.2274179468886948E-3</v>
      </c>
      <c r="I33" s="10">
        <f>PnL!I7/PnL!I5</f>
        <v>-1.3486860642034675E-2</v>
      </c>
      <c r="J33" s="10">
        <f>PnL!J7/PnL!J5</f>
        <v>-2.6857456723990508E-2</v>
      </c>
      <c r="K33" s="10">
        <f>PnL!K7/PnL!K5</f>
        <v>7.7079421261727682E-3</v>
      </c>
      <c r="L33" s="10">
        <f>PnL!L7/PnL!L5</f>
        <v>-4.0376900234026236E-2</v>
      </c>
      <c r="M33" s="10">
        <f>PnL!M7/PnL!M5</f>
        <v>2.4582180895931179E-3</v>
      </c>
      <c r="N33" s="10">
        <f>PnL!N7/PnL!N5</f>
        <v>-2.3366024665954156E-2</v>
      </c>
      <c r="O33" s="13">
        <f t="shared" si="3"/>
        <v>-1.6086844281641002E-2</v>
      </c>
      <c r="P33" s="24">
        <f t="shared" si="4"/>
        <v>-1.3932721793171102E-2</v>
      </c>
      <c r="Q33" s="24">
        <f t="shared" si="5"/>
        <v>-1.8260854577039878E-2</v>
      </c>
      <c r="R33" s="24">
        <f t="shared" si="6"/>
        <v>-1.3837645445642602E-2</v>
      </c>
      <c r="S33" s="24">
        <f t="shared" si="7"/>
        <v>-1.7096818152689746E-2</v>
      </c>
      <c r="T33" s="24">
        <f t="shared" si="8"/>
        <v>-1.5842976850036865E-2</v>
      </c>
    </row>
    <row r="34" spans="2:20" x14ac:dyDescent="0.2">
      <c r="F34" s="10"/>
      <c r="G34" s="10"/>
      <c r="H34" s="10"/>
      <c r="I34" s="10"/>
      <c r="J34" s="10"/>
      <c r="K34" s="10"/>
      <c r="L34" s="10"/>
      <c r="M34" s="10"/>
      <c r="N34" s="10"/>
      <c r="O34" s="13"/>
      <c r="P34" s="24"/>
      <c r="Q34" s="24"/>
      <c r="R34" s="24"/>
      <c r="S34" s="24"/>
      <c r="T34" s="24"/>
    </row>
    <row r="35" spans="2:20" x14ac:dyDescent="0.2">
      <c r="B35" s="7" t="s">
        <v>102</v>
      </c>
      <c r="F35" s="10" t="e">
        <f>PnL!F11/PnL!E11-1</f>
        <v>#DIV/0!</v>
      </c>
      <c r="G35" s="10">
        <f>PnL!G8/PnL!G5</f>
        <v>0.77337767175988892</v>
      </c>
      <c r="H35" s="10">
        <f>PnL!H8/PnL!H5</f>
        <v>0.72664324085603171</v>
      </c>
      <c r="I35" s="10">
        <f>PnL!I8/PnL!I5</f>
        <v>0.71720420008640606</v>
      </c>
      <c r="J35" s="10">
        <f>PnL!J8/PnL!J5</f>
        <v>0.69245465716113908</v>
      </c>
      <c r="K35" s="10">
        <f>PnL!K8/PnL!K5</f>
        <v>0.7043287084164086</v>
      </c>
      <c r="L35" s="10">
        <f>PnL!L8/PnL!L5</f>
        <v>0.79039246920621187</v>
      </c>
      <c r="M35" s="10">
        <f>PnL!M8/PnL!M5</f>
        <v>0.71500264393122093</v>
      </c>
      <c r="N35" s="10">
        <f>PnL!N8/PnL!N5</f>
        <v>0.72283729428407983</v>
      </c>
      <c r="O35" s="13">
        <f t="shared" si="3"/>
        <v>0.72500315459981202</v>
      </c>
      <c r="P35" s="24">
        <f t="shared" si="4"/>
        <v>0.73151285408754663</v>
      </c>
      <c r="Q35" s="24">
        <f t="shared" si="5"/>
        <v>0.73694968322177434</v>
      </c>
      <c r="R35" s="24">
        <f t="shared" si="6"/>
        <v>0.72626112602488679</v>
      </c>
      <c r="S35" s="24">
        <f t="shared" si="7"/>
        <v>0.72851282244361992</v>
      </c>
      <c r="T35" s="24">
        <f t="shared" si="8"/>
        <v>0.72964792807552803</v>
      </c>
    </row>
    <row r="36" spans="2:20" x14ac:dyDescent="0.2">
      <c r="F36" s="10"/>
      <c r="G36" s="10"/>
      <c r="H36" s="10"/>
      <c r="I36" s="10"/>
      <c r="J36" s="10"/>
      <c r="K36" s="10"/>
      <c r="L36" s="10"/>
      <c r="M36" s="10"/>
      <c r="N36" s="10"/>
      <c r="O36" s="13"/>
      <c r="P36" s="24"/>
      <c r="Q36" s="24"/>
      <c r="R36" s="24"/>
      <c r="S36" s="24"/>
      <c r="T36" s="24"/>
    </row>
    <row r="37" spans="2:20" x14ac:dyDescent="0.2">
      <c r="B37" s="7" t="s">
        <v>103</v>
      </c>
      <c r="F37" s="10" t="e">
        <f>PnL!F13/PnL!E13-1</f>
        <v>#DIV/0!</v>
      </c>
      <c r="G37" s="10">
        <f>PnL!G11/PnL!G5</f>
        <v>4.1653636647927685E-2</v>
      </c>
      <c r="H37" s="10">
        <f>PnL!H11/PnL!H5</f>
        <v>3.8292190460998091E-2</v>
      </c>
      <c r="I37" s="10">
        <f>PnL!I11/PnL!I5</f>
        <v>3.7599163489052102E-2</v>
      </c>
      <c r="J37" s="10">
        <f>PnL!J11/PnL!J5</f>
        <v>4.1421525603202732E-2</v>
      </c>
      <c r="K37" s="10">
        <f>PnL!K11/PnL!K5</f>
        <v>4.0232114037053172E-2</v>
      </c>
      <c r="L37" s="10">
        <f>PnL!L11/PnL!L5</f>
        <v>3.3320058735996118E-2</v>
      </c>
      <c r="M37" s="10">
        <f>PnL!M11/PnL!M5</f>
        <v>3.2377170610826081E-2</v>
      </c>
      <c r="N37" s="10">
        <f>PnL!N11/PnL!N5</f>
        <v>3.3789297228738809E-2</v>
      </c>
      <c r="O37" s="13">
        <f t="shared" si="3"/>
        <v>3.6228033243163385E-2</v>
      </c>
      <c r="P37" s="24">
        <f t="shared" si="4"/>
        <v>3.518933477115551E-2</v>
      </c>
      <c r="Q37" s="24">
        <f t="shared" si="5"/>
        <v>3.4180778917975982E-2</v>
      </c>
      <c r="R37" s="24">
        <f t="shared" si="6"/>
        <v>3.4352922954371957E-2</v>
      </c>
      <c r="S37" s="24">
        <f t="shared" si="7"/>
        <v>3.474807342308113E-2</v>
      </c>
      <c r="T37" s="24">
        <f t="shared" si="8"/>
        <v>3.4939828661949592E-2</v>
      </c>
    </row>
    <row r="38" spans="2:20" x14ac:dyDescent="0.2">
      <c r="F38" s="10"/>
      <c r="G38" s="10"/>
      <c r="H38" s="10"/>
      <c r="I38" s="10"/>
      <c r="J38" s="10"/>
      <c r="K38" s="10"/>
      <c r="L38" s="10"/>
      <c r="M38" s="10"/>
      <c r="N38" s="10"/>
      <c r="O38" s="13"/>
      <c r="P38" s="24"/>
      <c r="Q38" s="24"/>
      <c r="R38" s="24"/>
      <c r="S38" s="24"/>
      <c r="T38" s="24"/>
    </row>
    <row r="39" spans="2:20" x14ac:dyDescent="0.2">
      <c r="B39" s="7" t="s">
        <v>104</v>
      </c>
      <c r="F39" s="10" t="e">
        <f>PnL!F15/PnL!E15-1</f>
        <v>#DIV/0!</v>
      </c>
      <c r="G39" s="10">
        <f>(PnL!G10+PnL!G13)/PnL!G5</f>
        <v>7.5016545093561607E-2</v>
      </c>
      <c r="H39" s="10">
        <f>(PnL!H10+PnL!H13)/PnL!H5</f>
        <v>6.719928629560537E-2</v>
      </c>
      <c r="I39" s="10">
        <f>(PnL!I10+PnL!I13)/PnL!I5</f>
        <v>7.9342061598762767E-2</v>
      </c>
      <c r="J39" s="10">
        <f>(PnL!J10+PnL!J13)/PnL!J5</f>
        <v>9.9493202113262236E-2</v>
      </c>
      <c r="K39" s="10">
        <f>(PnL!K10+PnL!K13)/PnL!K5</f>
        <v>7.074200743156174E-2</v>
      </c>
      <c r="L39" s="10">
        <f>(PnL!L10+PnL!L13)/PnL!L5</f>
        <v>6.3264108766478533E-2</v>
      </c>
      <c r="M39" s="10">
        <f>(PnL!M10+PnL!M13)/PnL!M5</f>
        <v>6.3942732307988928E-2</v>
      </c>
      <c r="N39" s="10">
        <f>(PnL!N10+PnL!N13)/PnL!N5</f>
        <v>7.5810557312200391E-2</v>
      </c>
      <c r="O39" s="13">
        <f t="shared" si="3"/>
        <v>7.4650521586298355E-2</v>
      </c>
      <c r="P39" s="24">
        <f t="shared" si="4"/>
        <v>6.9681985480905581E-2</v>
      </c>
      <c r="Q39" s="24">
        <f t="shared" si="5"/>
        <v>6.946998109077436E-2</v>
      </c>
      <c r="R39" s="24">
        <f t="shared" si="6"/>
        <v>7.0711155555633523E-2</v>
      </c>
      <c r="S39" s="24">
        <f t="shared" si="7"/>
        <v>7.2064840205162434E-2</v>
      </c>
      <c r="T39" s="24">
        <f t="shared" si="8"/>
        <v>7.1315696783754851E-2</v>
      </c>
    </row>
    <row r="40" spans="2:20" x14ac:dyDescent="0.2">
      <c r="F40" s="10"/>
      <c r="G40" s="10"/>
      <c r="H40" s="10"/>
      <c r="I40" s="10"/>
      <c r="J40" s="10"/>
      <c r="K40" s="10"/>
      <c r="L40" s="10"/>
      <c r="M40" s="10"/>
      <c r="N40" s="10"/>
      <c r="O40" s="13"/>
      <c r="P40" s="24"/>
      <c r="Q40" s="24"/>
      <c r="R40" s="24"/>
      <c r="S40" s="24"/>
      <c r="T40" s="24"/>
    </row>
    <row r="41" spans="2:20" x14ac:dyDescent="0.2">
      <c r="B41" s="7" t="s">
        <v>105</v>
      </c>
      <c r="F41" s="10" t="e">
        <f>PnL!F17/PnL!E17-1</f>
        <v>#DIV/0!</v>
      </c>
      <c r="G41" s="10">
        <f>PnL!G25/PnL!G5</f>
        <v>2.3317673068951224E-2</v>
      </c>
      <c r="H41" s="10">
        <f>PnL!H25/PnL!H5</f>
        <v>3.0756346459763287E-2</v>
      </c>
      <c r="I41" s="10">
        <f>PnL!I25/PnL!I5</f>
        <v>3.2027850304612707E-2</v>
      </c>
      <c r="J41" s="10">
        <f>PnL!J25/PnL!J5</f>
        <v>2.7675128398235549E-2</v>
      </c>
      <c r="K41" s="10">
        <f>PnL!K25/PnL!K5</f>
        <v>1.9373924476498001E-2</v>
      </c>
      <c r="L41" s="10">
        <f>PnL!L25/PnL!L5</f>
        <v>2.2175952329446007E-2</v>
      </c>
      <c r="M41" s="10">
        <f>PnL!M25/PnL!M5</f>
        <v>3.0066388900308907E-2</v>
      </c>
      <c r="N41" s="10">
        <f>PnL!N25/PnL!N5</f>
        <v>3.0842420829027953E-2</v>
      </c>
      <c r="O41" s="13">
        <f t="shared" si="3"/>
        <v>2.6026762986703283E-2</v>
      </c>
      <c r="P41" s="24">
        <f t="shared" si="4"/>
        <v>2.5697089904396831E-2</v>
      </c>
      <c r="Q41" s="24">
        <f t="shared" si="5"/>
        <v>2.6961722989976601E-2</v>
      </c>
      <c r="R41" s="24">
        <f t="shared" si="6"/>
        <v>2.7918877122082714E-2</v>
      </c>
      <c r="S41" s="24">
        <f t="shared" si="7"/>
        <v>2.7489374766437473E-2</v>
      </c>
      <c r="T41" s="24">
        <f t="shared" si="8"/>
        <v>2.6818765553919384E-2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F19:N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2095-5DE4-3B4F-94D2-468700AC18AD}">
  <dimension ref="A1:S3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P32" sqref="P32"/>
    </sheetView>
  </sheetViews>
  <sheetFormatPr baseColWidth="10" defaultRowHeight="16" x14ac:dyDescent="0.2"/>
  <cols>
    <col min="1" max="1" width="5" customWidth="1"/>
    <col min="2" max="2" width="4.6640625" customWidth="1"/>
    <col min="3" max="3" width="31" customWidth="1"/>
    <col min="4" max="4" width="6" customWidth="1"/>
    <col min="5" max="5" width="14.1640625" customWidth="1"/>
  </cols>
  <sheetData>
    <row r="1" spans="1:19" ht="19" x14ac:dyDescent="0.25">
      <c r="A1" s="2" t="s">
        <v>7</v>
      </c>
    </row>
    <row r="2" spans="1:19" x14ac:dyDescent="0.2">
      <c r="A2" s="3" t="s">
        <v>6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84</v>
      </c>
      <c r="P2" s="1" t="s">
        <v>85</v>
      </c>
      <c r="Q2" s="1" t="s">
        <v>86</v>
      </c>
      <c r="R2" s="1" t="s">
        <v>87</v>
      </c>
      <c r="S2" s="1" t="s">
        <v>88</v>
      </c>
    </row>
    <row r="3" spans="1:19" x14ac:dyDescent="0.2">
      <c r="A3" s="5" t="s">
        <v>8</v>
      </c>
      <c r="E3" s="15">
        <v>3312.17</v>
      </c>
      <c r="F3" s="15">
        <v>3851.51</v>
      </c>
      <c r="G3" s="15">
        <v>4552.71</v>
      </c>
      <c r="H3" s="15">
        <v>4448.1000000000004</v>
      </c>
      <c r="I3" s="15">
        <v>5628.3</v>
      </c>
      <c r="J3" s="15">
        <v>5960.58</v>
      </c>
      <c r="K3" s="15">
        <v>7014.7</v>
      </c>
      <c r="L3" s="15">
        <v>7411.9</v>
      </c>
      <c r="M3" s="15">
        <v>9424.1299999999992</v>
      </c>
      <c r="N3" s="15">
        <v>12066.01</v>
      </c>
    </row>
    <row r="4" spans="1:19" x14ac:dyDescent="0.2">
      <c r="B4" s="5" t="s">
        <v>9</v>
      </c>
      <c r="E4" s="15">
        <v>1049.83</v>
      </c>
      <c r="F4" s="15">
        <v>1205.06</v>
      </c>
      <c r="G4" s="15">
        <v>1407.04</v>
      </c>
      <c r="H4" s="15">
        <v>1466.86</v>
      </c>
      <c r="I4" s="15">
        <v>1681.01</v>
      </c>
      <c r="J4" s="15">
        <v>1894.18</v>
      </c>
      <c r="K4" s="15">
        <v>2200.25</v>
      </c>
      <c r="L4" s="15">
        <v>2243.59</v>
      </c>
      <c r="M4" s="15">
        <v>2474.46</v>
      </c>
      <c r="N4" s="15">
        <v>3310.55</v>
      </c>
    </row>
    <row r="5" spans="1:19" x14ac:dyDescent="0.2">
      <c r="C5" s="4" t="s">
        <v>10</v>
      </c>
      <c r="E5" s="15">
        <v>1220.68</v>
      </c>
      <c r="F5" s="15">
        <v>1096.08</v>
      </c>
      <c r="G5" s="15">
        <v>1366.51</v>
      </c>
      <c r="H5" s="15">
        <v>1567.53</v>
      </c>
      <c r="I5" s="15">
        <v>1785.9</v>
      </c>
      <c r="J5" s="15">
        <v>2066.38</v>
      </c>
      <c r="K5" s="15">
        <v>2698.88</v>
      </c>
      <c r="L5" s="15">
        <v>2668.57</v>
      </c>
      <c r="M5" s="15">
        <v>3246.6</v>
      </c>
      <c r="N5" s="15">
        <v>3667.74</v>
      </c>
      <c r="O5" s="7">
        <f>'Asset Schedule'!O7</f>
        <v>4050.1699999999996</v>
      </c>
      <c r="P5" s="7">
        <f>'Asset Schedule'!P7</f>
        <v>4452.99</v>
      </c>
      <c r="Q5" s="7">
        <f>'Asset Schedule'!Q7</f>
        <v>4809.8739999999998</v>
      </c>
      <c r="R5" s="7">
        <f>'Asset Schedule'!R7</f>
        <v>5238.1347999999998</v>
      </c>
      <c r="S5" s="7">
        <f>'Asset Schedule'!S7</f>
        <v>5636.4417599999997</v>
      </c>
    </row>
    <row r="6" spans="1:19" x14ac:dyDescent="0.2">
      <c r="C6" s="4" t="s">
        <v>11</v>
      </c>
      <c r="E6" s="15">
        <v>395.93</v>
      </c>
      <c r="F6" s="15">
        <v>111.05</v>
      </c>
      <c r="G6" s="15">
        <v>238.12</v>
      </c>
      <c r="H6" s="15">
        <v>370.4</v>
      </c>
      <c r="I6" s="15">
        <v>510.32</v>
      </c>
      <c r="J6" s="15">
        <v>644.36</v>
      </c>
      <c r="K6" s="15">
        <v>829.28</v>
      </c>
      <c r="L6" s="15">
        <v>993.45</v>
      </c>
      <c r="M6" s="15">
        <v>1179.6600000000001</v>
      </c>
      <c r="N6" s="15">
        <v>1406.52</v>
      </c>
      <c r="O6" s="7">
        <f>'Asset Schedule'!O14</f>
        <v>1677.1099700633088</v>
      </c>
      <c r="P6" s="7">
        <f>'Asset Schedule'!P14</f>
        <v>1974.61215658689</v>
      </c>
      <c r="Q6" s="7">
        <f>'Asset Schedule'!Q14</f>
        <v>2295.9575968198401</v>
      </c>
      <c r="R6" s="7">
        <f>'Asset Schedule'!R14</f>
        <v>2645.9149415040324</v>
      </c>
      <c r="S6" s="7">
        <f>'Asset Schedule'!S14</f>
        <v>3022.482988549461</v>
      </c>
    </row>
    <row r="7" spans="1:19" x14ac:dyDescent="0.2">
      <c r="C7" s="4" t="s">
        <v>12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</row>
    <row r="8" spans="1:19" x14ac:dyDescent="0.2">
      <c r="C8" s="4" t="s">
        <v>13</v>
      </c>
      <c r="E8" s="15">
        <v>824.74</v>
      </c>
      <c r="F8" s="15">
        <v>985.03</v>
      </c>
      <c r="G8" s="15">
        <v>1128.3900000000001</v>
      </c>
      <c r="H8" s="15">
        <v>1197.1300000000001</v>
      </c>
      <c r="I8" s="15">
        <v>1275.58</v>
      </c>
      <c r="J8" s="15">
        <v>1422.01</v>
      </c>
      <c r="K8" s="15">
        <v>1869.6</v>
      </c>
      <c r="L8" s="15">
        <v>1675.12</v>
      </c>
      <c r="M8" s="15">
        <v>2066.94</v>
      </c>
      <c r="N8" s="15">
        <v>2261.2199999999998</v>
      </c>
      <c r="O8" s="7">
        <f>O5-O6</f>
        <v>2373.0600299366906</v>
      </c>
      <c r="P8" s="7">
        <f t="shared" ref="P8:S8" si="0">P5-P6</f>
        <v>2478.37784341311</v>
      </c>
      <c r="Q8" s="7">
        <f t="shared" si="0"/>
        <v>2513.9164031801597</v>
      </c>
      <c r="R8" s="7">
        <f t="shared" si="0"/>
        <v>2592.2198584959674</v>
      </c>
      <c r="S8" s="7">
        <f t="shared" si="0"/>
        <v>2613.9587714505387</v>
      </c>
    </row>
    <row r="9" spans="1:19" x14ac:dyDescent="0.2">
      <c r="C9" s="4" t="s">
        <v>14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</row>
    <row r="10" spans="1:19" x14ac:dyDescent="0.2">
      <c r="C10" s="4" t="s">
        <v>15</v>
      </c>
      <c r="E10" s="15">
        <v>177.21</v>
      </c>
      <c r="F10" s="15">
        <v>138.08000000000001</v>
      </c>
      <c r="G10" s="15">
        <v>164.88</v>
      </c>
      <c r="H10" s="15">
        <v>135.99</v>
      </c>
      <c r="I10" s="15">
        <v>193</v>
      </c>
      <c r="J10" s="15">
        <v>241.18</v>
      </c>
      <c r="K10" s="15">
        <v>99.05</v>
      </c>
      <c r="L10" s="15">
        <v>375.45</v>
      </c>
      <c r="M10" s="15">
        <v>250.77</v>
      </c>
      <c r="N10" s="15">
        <v>578.45000000000005</v>
      </c>
    </row>
    <row r="11" spans="1:19" x14ac:dyDescent="0.2">
      <c r="C11" s="4" t="s">
        <v>16</v>
      </c>
      <c r="E11" s="15">
        <v>0.02</v>
      </c>
      <c r="F11" s="15">
        <v>0.09</v>
      </c>
      <c r="G11" s="15">
        <v>32.81</v>
      </c>
      <c r="H11" s="15">
        <v>31.55</v>
      </c>
      <c r="I11" s="15">
        <v>29.39</v>
      </c>
      <c r="J11" s="15">
        <v>25.48</v>
      </c>
      <c r="K11" s="15">
        <v>11.82</v>
      </c>
      <c r="L11" s="15">
        <v>9.26</v>
      </c>
      <c r="M11" s="15">
        <v>0</v>
      </c>
      <c r="N11" s="15">
        <v>0</v>
      </c>
    </row>
    <row r="12" spans="1:19" x14ac:dyDescent="0.2">
      <c r="C12" s="4" t="s">
        <v>17</v>
      </c>
      <c r="E12" s="15">
        <v>56.7</v>
      </c>
      <c r="F12" s="15">
        <v>101.56</v>
      </c>
      <c r="G12" s="15">
        <v>144.25</v>
      </c>
      <c r="H12" s="15">
        <v>156.56</v>
      </c>
      <c r="I12" s="15">
        <v>199.25</v>
      </c>
      <c r="J12" s="15">
        <v>218.65</v>
      </c>
      <c r="K12" s="15">
        <v>202.42</v>
      </c>
      <c r="L12" s="15">
        <v>197</v>
      </c>
      <c r="M12" s="15">
        <v>185.91</v>
      </c>
      <c r="N12" s="15">
        <v>401.98</v>
      </c>
    </row>
    <row r="13" spans="1:19" x14ac:dyDescent="0.2">
      <c r="C13" s="4" t="s">
        <v>18</v>
      </c>
      <c r="E13" s="15">
        <v>8.3000000000000007</v>
      </c>
      <c r="F13" s="15">
        <v>1.36</v>
      </c>
      <c r="G13" s="15">
        <v>2.38</v>
      </c>
      <c r="H13" s="15">
        <v>0.97</v>
      </c>
      <c r="I13" s="15">
        <v>6.9</v>
      </c>
      <c r="J13" s="15">
        <v>3.34</v>
      </c>
      <c r="K13" s="15">
        <v>59.17</v>
      </c>
      <c r="L13" s="15">
        <v>13.92</v>
      </c>
      <c r="M13" s="15">
        <v>11.77</v>
      </c>
      <c r="N13" s="15">
        <v>34.11</v>
      </c>
    </row>
    <row r="14" spans="1:19" x14ac:dyDescent="0.2">
      <c r="B14" s="5" t="s">
        <v>19</v>
      </c>
      <c r="E14" s="15">
        <v>2245.1999999999998</v>
      </c>
      <c r="F14" s="15">
        <v>2625.39</v>
      </c>
      <c r="G14" s="15">
        <v>3079.26</v>
      </c>
      <c r="H14" s="15">
        <v>2925.64</v>
      </c>
      <c r="I14" s="15">
        <v>3924.16</v>
      </c>
      <c r="J14" s="15">
        <v>4049.92</v>
      </c>
      <c r="K14" s="15">
        <v>4772.6400000000003</v>
      </c>
      <c r="L14" s="15">
        <v>5141.1400000000003</v>
      </c>
      <c r="M14" s="15">
        <v>6908.75</v>
      </c>
      <c r="N14" s="15">
        <v>8713.9599999999991</v>
      </c>
    </row>
    <row r="15" spans="1:19" x14ac:dyDescent="0.2">
      <c r="C15" s="4" t="s">
        <v>20</v>
      </c>
      <c r="E15" s="15">
        <v>903.98</v>
      </c>
      <c r="F15" s="15">
        <v>980.42</v>
      </c>
      <c r="G15" s="15">
        <v>1519.82</v>
      </c>
      <c r="H15" s="15">
        <v>1365.7</v>
      </c>
      <c r="I15" s="15">
        <v>1995.79</v>
      </c>
      <c r="J15" s="15">
        <v>1924.95</v>
      </c>
      <c r="K15" s="15">
        <v>1987.91</v>
      </c>
      <c r="L15" s="15">
        <v>2199.65</v>
      </c>
      <c r="M15" s="15">
        <v>2951.38</v>
      </c>
      <c r="N15" s="15">
        <v>3675.11</v>
      </c>
    </row>
    <row r="16" spans="1:19" x14ac:dyDescent="0.2">
      <c r="C16" s="4" t="s">
        <v>21</v>
      </c>
      <c r="E16" s="15">
        <v>1085.22</v>
      </c>
      <c r="F16" s="15">
        <v>1349.16</v>
      </c>
      <c r="G16" s="15">
        <v>1173.42</v>
      </c>
      <c r="H16" s="15">
        <v>1290.82</v>
      </c>
      <c r="I16" s="15">
        <v>1334.32</v>
      </c>
      <c r="J16" s="15">
        <v>1433.64</v>
      </c>
      <c r="K16" s="15">
        <v>1435.77</v>
      </c>
      <c r="L16" s="15">
        <v>1296.3900000000001</v>
      </c>
      <c r="M16" s="15">
        <v>1246.5999999999999</v>
      </c>
      <c r="N16" s="15">
        <v>2047.12</v>
      </c>
    </row>
    <row r="17" spans="1:19" x14ac:dyDescent="0.2">
      <c r="C17" s="4" t="s">
        <v>22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40</v>
      </c>
      <c r="K17" s="15">
        <v>623.13</v>
      </c>
      <c r="L17" s="15">
        <v>764.05</v>
      </c>
      <c r="M17" s="15">
        <v>1350.49</v>
      </c>
      <c r="N17" s="15">
        <v>1822.42</v>
      </c>
    </row>
    <row r="18" spans="1:19" x14ac:dyDescent="0.2">
      <c r="C18" s="4" t="s">
        <v>23</v>
      </c>
      <c r="E18" s="15">
        <v>26.98</v>
      </c>
      <c r="F18" s="15">
        <v>50.73</v>
      </c>
      <c r="G18" s="15">
        <v>30.16</v>
      </c>
      <c r="H18" s="15">
        <v>10.64</v>
      </c>
      <c r="I18" s="15">
        <v>316.64999999999998</v>
      </c>
      <c r="J18" s="15">
        <v>281.31</v>
      </c>
      <c r="K18" s="15">
        <v>531.32000000000005</v>
      </c>
      <c r="L18" s="15">
        <v>407.12</v>
      </c>
      <c r="M18" s="15">
        <v>695.24</v>
      </c>
      <c r="N18" s="15">
        <v>402.36</v>
      </c>
    </row>
    <row r="19" spans="1:19" x14ac:dyDescent="0.2">
      <c r="C19" s="4" t="s">
        <v>24</v>
      </c>
      <c r="E19" s="15">
        <v>15.74</v>
      </c>
      <c r="F19" s="15">
        <v>7.04</v>
      </c>
      <c r="G19" s="15">
        <v>44.55</v>
      </c>
      <c r="H19" s="15">
        <v>32.1</v>
      </c>
      <c r="I19" s="15">
        <v>81.260000000000005</v>
      </c>
      <c r="J19" s="15">
        <v>155.35</v>
      </c>
      <c r="K19" s="15">
        <v>47.21</v>
      </c>
      <c r="L19" s="15">
        <v>74.88</v>
      </c>
      <c r="M19" s="15">
        <v>58.19</v>
      </c>
      <c r="N19" s="15">
        <v>75.52</v>
      </c>
    </row>
    <row r="20" spans="1:19" x14ac:dyDescent="0.2">
      <c r="C20" s="4" t="s">
        <v>25</v>
      </c>
      <c r="E20" s="15">
        <v>213.28</v>
      </c>
      <c r="F20" s="15">
        <v>238.04</v>
      </c>
      <c r="G20" s="15">
        <v>311.31</v>
      </c>
      <c r="H20" s="15">
        <v>226.38</v>
      </c>
      <c r="I20" s="15">
        <v>196.15</v>
      </c>
      <c r="J20" s="15">
        <v>214.66</v>
      </c>
      <c r="K20" s="15">
        <v>147.31</v>
      </c>
      <c r="L20" s="15">
        <v>399.04</v>
      </c>
      <c r="M20" s="15">
        <v>606.84</v>
      </c>
      <c r="N20" s="15">
        <v>691.43</v>
      </c>
    </row>
    <row r="21" spans="1:19" x14ac:dyDescent="0.2">
      <c r="A21" s="5" t="s">
        <v>26</v>
      </c>
      <c r="E21" s="15">
        <v>3312.17</v>
      </c>
      <c r="F21" s="15">
        <v>3851.51</v>
      </c>
      <c r="G21" s="15">
        <v>4552.71</v>
      </c>
      <c r="H21" s="15">
        <v>4448.1000000000004</v>
      </c>
      <c r="I21" s="15">
        <v>5628.3</v>
      </c>
      <c r="J21" s="15">
        <v>5960.58</v>
      </c>
      <c r="K21" s="15">
        <v>7014.7</v>
      </c>
      <c r="L21" s="15">
        <v>7411.9</v>
      </c>
      <c r="M21" s="15">
        <v>9424.1299999999992</v>
      </c>
      <c r="N21" s="15">
        <v>12066.01</v>
      </c>
    </row>
    <row r="22" spans="1:19" x14ac:dyDescent="0.2">
      <c r="B22" s="5" t="s">
        <v>27</v>
      </c>
      <c r="E22" s="15">
        <v>1621.8</v>
      </c>
      <c r="F22" s="15">
        <v>1785.64</v>
      </c>
      <c r="G22" s="15">
        <v>1993.54</v>
      </c>
      <c r="H22" s="15">
        <v>2347.62</v>
      </c>
      <c r="I22" s="15">
        <v>2846.95</v>
      </c>
      <c r="J22" s="15">
        <v>3836.41</v>
      </c>
      <c r="K22" s="15">
        <v>4753.9399999999996</v>
      </c>
      <c r="L22" s="15">
        <v>5543.74</v>
      </c>
      <c r="M22" s="15">
        <v>6637.21</v>
      </c>
      <c r="N22" s="15">
        <v>8187.13</v>
      </c>
    </row>
    <row r="23" spans="1:19" x14ac:dyDescent="0.2">
      <c r="C23" s="4" t="s">
        <v>28</v>
      </c>
      <c r="E23" s="15">
        <v>141.21</v>
      </c>
      <c r="F23" s="15">
        <v>141.21</v>
      </c>
      <c r="G23" s="15">
        <v>141.21</v>
      </c>
      <c r="H23" s="15">
        <v>141.21</v>
      </c>
      <c r="I23" s="15">
        <v>141.21</v>
      </c>
      <c r="J23" s="15">
        <v>148.88</v>
      </c>
      <c r="K23" s="15">
        <v>149.12</v>
      </c>
      <c r="L23" s="15">
        <v>149.44</v>
      </c>
      <c r="M23" s="15">
        <v>149.76</v>
      </c>
      <c r="N23" s="15">
        <v>150.24</v>
      </c>
    </row>
    <row r="24" spans="1:19" x14ac:dyDescent="0.2">
      <c r="C24" s="4" t="s">
        <v>29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</row>
    <row r="25" spans="1:19" x14ac:dyDescent="0.2">
      <c r="C25" s="4" t="s">
        <v>30</v>
      </c>
      <c r="E25" s="15">
        <v>1480.59</v>
      </c>
      <c r="F25" s="15">
        <v>1644.43</v>
      </c>
      <c r="G25" s="15">
        <v>1852.34</v>
      </c>
      <c r="H25" s="15">
        <v>2206.41</v>
      </c>
      <c r="I25" s="15">
        <v>2690.8</v>
      </c>
      <c r="J25" s="15">
        <v>3660.68</v>
      </c>
      <c r="K25" s="15">
        <v>4575.63</v>
      </c>
      <c r="L25" s="15">
        <v>5359.15</v>
      </c>
      <c r="M25" s="15">
        <v>6455.85</v>
      </c>
      <c r="N25" s="15">
        <v>7966.6</v>
      </c>
    </row>
    <row r="26" spans="1:19" x14ac:dyDescent="0.2">
      <c r="B26" s="5" t="s">
        <v>31</v>
      </c>
      <c r="E26" s="15">
        <v>23.42</v>
      </c>
      <c r="F26" s="15">
        <v>141.13999999999999</v>
      </c>
      <c r="G26" s="15">
        <v>255.92</v>
      </c>
      <c r="H26" s="15">
        <v>242.02</v>
      </c>
      <c r="I26" s="15">
        <v>153.97</v>
      </c>
      <c r="J26" s="15">
        <v>100.08</v>
      </c>
      <c r="K26" s="15">
        <v>227.35</v>
      </c>
      <c r="L26" s="15">
        <v>101.76</v>
      </c>
      <c r="M26" s="15">
        <v>129.06</v>
      </c>
      <c r="N26" s="15">
        <v>244.78</v>
      </c>
    </row>
    <row r="27" spans="1:19" x14ac:dyDescent="0.2">
      <c r="C27" s="4" t="s">
        <v>32</v>
      </c>
      <c r="E27" s="15">
        <v>0</v>
      </c>
      <c r="F27" s="15">
        <v>100.85</v>
      </c>
      <c r="G27" s="15">
        <v>161.76</v>
      </c>
      <c r="H27" s="15">
        <v>158.94999999999999</v>
      </c>
      <c r="I27" s="15">
        <v>88.92</v>
      </c>
      <c r="J27" s="15">
        <v>10.65</v>
      </c>
      <c r="K27" s="15">
        <v>103.68</v>
      </c>
      <c r="L27" s="15">
        <v>2.97</v>
      </c>
      <c r="M27" s="15">
        <v>4.21</v>
      </c>
      <c r="N27" s="15">
        <v>22.6</v>
      </c>
      <c r="O27" s="7">
        <f>'Debt Schedule'!O8</f>
        <v>22.6</v>
      </c>
      <c r="P27" s="7">
        <f>'Debt Schedule'!P8</f>
        <v>22.6</v>
      </c>
      <c r="Q27" s="7">
        <f>'Debt Schedule'!Q8</f>
        <v>22.6</v>
      </c>
      <c r="R27" s="7">
        <f>'Debt Schedule'!R8</f>
        <v>22.6</v>
      </c>
      <c r="S27" s="7">
        <f>'Debt Schedule'!S8</f>
        <v>22.6</v>
      </c>
    </row>
    <row r="28" spans="1:19" x14ac:dyDescent="0.2">
      <c r="C28" s="4" t="s">
        <v>33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7">
        <f>'Debt Schedule'!O14</f>
        <v>0</v>
      </c>
      <c r="P28" s="7">
        <f>'Debt Schedule'!P14</f>
        <v>0</v>
      </c>
      <c r="Q28" s="7">
        <f>'Debt Schedule'!Q14</f>
        <v>0</v>
      </c>
      <c r="R28" s="7">
        <f>'Debt Schedule'!R14</f>
        <v>0</v>
      </c>
      <c r="S28" s="7">
        <f>'Debt Schedule'!S14</f>
        <v>0</v>
      </c>
    </row>
    <row r="29" spans="1:19" x14ac:dyDescent="0.2">
      <c r="C29" s="4" t="s">
        <v>34</v>
      </c>
      <c r="E29" s="15">
        <v>17.14</v>
      </c>
      <c r="F29" s="15">
        <v>21.06</v>
      </c>
      <c r="G29" s="15">
        <v>65.67</v>
      </c>
      <c r="H29" s="15">
        <v>55.34</v>
      </c>
      <c r="I29" s="15">
        <v>23.1</v>
      </c>
      <c r="J29" s="15">
        <v>16.48</v>
      </c>
      <c r="K29" s="15">
        <v>41.8</v>
      </c>
      <c r="L29" s="15">
        <v>27.18</v>
      </c>
      <c r="M29" s="15">
        <v>40.92</v>
      </c>
      <c r="N29" s="15">
        <v>41.5</v>
      </c>
    </row>
    <row r="30" spans="1:19" x14ac:dyDescent="0.2">
      <c r="C30" s="4" t="s">
        <v>35</v>
      </c>
      <c r="E30" s="15">
        <v>0</v>
      </c>
      <c r="F30" s="15">
        <v>10.86</v>
      </c>
      <c r="G30" s="15">
        <v>19.46</v>
      </c>
      <c r="H30" s="15">
        <v>18.22</v>
      </c>
      <c r="I30" s="15">
        <v>25.7</v>
      </c>
      <c r="J30" s="15">
        <v>47.31</v>
      </c>
      <c r="K30" s="15">
        <v>56.73</v>
      </c>
      <c r="L30" s="15">
        <v>45.18</v>
      </c>
      <c r="M30" s="15">
        <v>38.950000000000003</v>
      </c>
      <c r="N30" s="15">
        <v>120.55</v>
      </c>
    </row>
    <row r="31" spans="1:19" x14ac:dyDescent="0.2">
      <c r="C31" s="4" t="s">
        <v>36</v>
      </c>
      <c r="E31" s="15">
        <v>6.28</v>
      </c>
      <c r="F31" s="15">
        <v>8.3699999999999992</v>
      </c>
      <c r="G31" s="15">
        <v>9.02</v>
      </c>
      <c r="H31" s="15">
        <v>9.51</v>
      </c>
      <c r="I31" s="15">
        <v>16.239999999999998</v>
      </c>
      <c r="J31" s="15">
        <v>25.63</v>
      </c>
      <c r="K31" s="15">
        <v>25.14</v>
      </c>
      <c r="L31" s="15">
        <v>26.43</v>
      </c>
      <c r="M31" s="15">
        <v>44.97</v>
      </c>
      <c r="N31" s="15">
        <v>60.12</v>
      </c>
    </row>
    <row r="32" spans="1:19" x14ac:dyDescent="0.2">
      <c r="B32" s="5" t="s">
        <v>37</v>
      </c>
      <c r="E32" s="15">
        <v>1666.95</v>
      </c>
      <c r="F32" s="15">
        <v>1921.93</v>
      </c>
      <c r="G32" s="15">
        <v>2300.19</v>
      </c>
      <c r="H32" s="15">
        <v>1854.42</v>
      </c>
      <c r="I32" s="15">
        <v>2618.94</v>
      </c>
      <c r="J32" s="15">
        <v>2009.09</v>
      </c>
      <c r="K32" s="15">
        <v>2014.58</v>
      </c>
      <c r="L32" s="15">
        <v>1741.33</v>
      </c>
      <c r="M32" s="15">
        <v>2620.4899999999998</v>
      </c>
      <c r="N32" s="15">
        <v>3577.89</v>
      </c>
    </row>
    <row r="33" spans="3:14" x14ac:dyDescent="0.2">
      <c r="C33" s="4" t="s">
        <v>38</v>
      </c>
      <c r="E33" s="15">
        <v>962.91</v>
      </c>
      <c r="F33" s="15">
        <v>1057.3599999999999</v>
      </c>
      <c r="G33" s="15">
        <v>1354.27</v>
      </c>
      <c r="H33" s="15">
        <v>922.09</v>
      </c>
      <c r="I33" s="15">
        <v>1520.18</v>
      </c>
      <c r="J33" s="15">
        <v>1353.68</v>
      </c>
      <c r="K33" s="15">
        <v>1348.03</v>
      </c>
      <c r="L33" s="15">
        <v>1217.53</v>
      </c>
      <c r="M33" s="15">
        <v>2032.64</v>
      </c>
      <c r="N33" s="15">
        <v>2863.32</v>
      </c>
    </row>
    <row r="34" spans="3:14" x14ac:dyDescent="0.2">
      <c r="C34" s="4" t="s">
        <v>39</v>
      </c>
      <c r="E34" s="15">
        <v>545.5</v>
      </c>
      <c r="F34" s="15">
        <v>694.79</v>
      </c>
      <c r="G34" s="15">
        <v>659.03</v>
      </c>
      <c r="H34" s="15">
        <v>568.75</v>
      </c>
      <c r="I34" s="15">
        <v>103.07</v>
      </c>
      <c r="J34" s="15">
        <v>111.45</v>
      </c>
      <c r="K34" s="15">
        <v>88.96</v>
      </c>
      <c r="L34" s="15">
        <v>76.540000000000006</v>
      </c>
      <c r="M34" s="15">
        <v>66.17</v>
      </c>
      <c r="N34" s="15">
        <v>62.39</v>
      </c>
    </row>
    <row r="35" spans="3:14" x14ac:dyDescent="0.2">
      <c r="C35" s="4" t="s">
        <v>40</v>
      </c>
      <c r="E35" s="15">
        <v>87.93</v>
      </c>
      <c r="F35" s="15">
        <v>139.5</v>
      </c>
      <c r="G35" s="15">
        <v>227.09</v>
      </c>
      <c r="H35" s="15">
        <v>243.58</v>
      </c>
      <c r="I35" s="15">
        <v>807.63</v>
      </c>
      <c r="J35" s="15">
        <v>401.01</v>
      </c>
      <c r="K35" s="15">
        <v>525.71</v>
      </c>
      <c r="L35" s="15">
        <v>405.92</v>
      </c>
      <c r="M35" s="15">
        <v>466.11</v>
      </c>
      <c r="N35" s="15">
        <v>608.19000000000005</v>
      </c>
    </row>
    <row r="36" spans="3:14" x14ac:dyDescent="0.2">
      <c r="C36" s="4" t="s">
        <v>41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2.71</v>
      </c>
      <c r="K36" s="15">
        <v>0.5</v>
      </c>
      <c r="L36" s="15">
        <v>0.8</v>
      </c>
      <c r="M36" s="15">
        <v>0.28000000000000003</v>
      </c>
      <c r="N36" s="15">
        <v>0.87</v>
      </c>
    </row>
    <row r="37" spans="3:14" x14ac:dyDescent="0.2">
      <c r="C37" s="4" t="s">
        <v>42</v>
      </c>
      <c r="E37" s="15">
        <v>70.599999999999994</v>
      </c>
      <c r="F37" s="15">
        <v>30.28</v>
      </c>
      <c r="G37" s="15">
        <v>59.8</v>
      </c>
      <c r="H37" s="15">
        <v>120.01</v>
      </c>
      <c r="I37" s="15">
        <v>188.06</v>
      </c>
      <c r="J37" s="15">
        <v>142.94</v>
      </c>
      <c r="K37" s="15">
        <v>51.87</v>
      </c>
      <c r="L37" s="15">
        <v>41.33</v>
      </c>
      <c r="M37" s="15">
        <v>55.57</v>
      </c>
      <c r="N37" s="15">
        <v>43.99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CE4E-0FB2-B24E-8B5F-95463D706408}">
  <dimension ref="A1:S36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O29" sqref="O29"/>
    </sheetView>
  </sheetViews>
  <sheetFormatPr baseColWidth="10" defaultRowHeight="16" x14ac:dyDescent="0.2"/>
  <cols>
    <col min="1" max="1" width="5" style="7" customWidth="1"/>
    <col min="2" max="2" width="4.6640625" style="7" customWidth="1"/>
    <col min="3" max="3" width="31" style="7" customWidth="1"/>
    <col min="4" max="4" width="6" style="7" customWidth="1"/>
    <col min="5" max="14" width="12.1640625" style="7" customWidth="1"/>
    <col min="15" max="16384" width="10.83203125" style="7"/>
  </cols>
  <sheetData>
    <row r="1" spans="1:19" ht="19" x14ac:dyDescent="0.25">
      <c r="A1" s="6" t="s">
        <v>5</v>
      </c>
    </row>
    <row r="2" spans="1:19" x14ac:dyDescent="0.2">
      <c r="A2" s="8" t="s">
        <v>6</v>
      </c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0</v>
      </c>
      <c r="K2" s="9" t="s">
        <v>1</v>
      </c>
      <c r="L2" s="9" t="s">
        <v>2</v>
      </c>
      <c r="M2" s="9" t="s">
        <v>3</v>
      </c>
      <c r="N2" s="9" t="s">
        <v>4</v>
      </c>
      <c r="O2" s="9" t="s">
        <v>84</v>
      </c>
      <c r="P2" s="9" t="s">
        <v>85</v>
      </c>
      <c r="Q2" s="9" t="s">
        <v>86</v>
      </c>
      <c r="R2" s="9" t="s">
        <v>87</v>
      </c>
      <c r="S2" s="9" t="s">
        <v>88</v>
      </c>
    </row>
    <row r="3" spans="1:19" x14ac:dyDescent="0.2">
      <c r="A3" s="18" t="s">
        <v>49</v>
      </c>
      <c r="F3" s="19">
        <v>5186.83</v>
      </c>
      <c r="G3" s="19">
        <v>5500.12</v>
      </c>
      <c r="H3" s="19">
        <v>6770.31</v>
      </c>
      <c r="I3" s="19">
        <v>7985.55</v>
      </c>
      <c r="J3" s="19">
        <v>8829.9500000000007</v>
      </c>
      <c r="K3" s="19">
        <v>8792.23</v>
      </c>
      <c r="L3" s="19">
        <v>12203.76</v>
      </c>
      <c r="M3" s="19">
        <v>14107.78</v>
      </c>
      <c r="N3" s="19">
        <v>18039.439999999999</v>
      </c>
    </row>
    <row r="4" spans="1:19" x14ac:dyDescent="0.2">
      <c r="A4" s="18" t="s">
        <v>50</v>
      </c>
      <c r="F4" s="19">
        <v>532.46</v>
      </c>
      <c r="G4" s="19">
        <v>546.89</v>
      </c>
      <c r="H4" s="19">
        <v>144.65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</row>
    <row r="5" spans="1:19" x14ac:dyDescent="0.2">
      <c r="A5" s="18" t="s">
        <v>51</v>
      </c>
      <c r="F5" s="19">
        <v>5186.83</v>
      </c>
      <c r="G5" s="19">
        <v>5500.12</v>
      </c>
      <c r="H5" s="19">
        <v>6770.31</v>
      </c>
      <c r="I5" s="19">
        <v>7985.55</v>
      </c>
      <c r="J5" s="19">
        <v>8829.9500000000007</v>
      </c>
      <c r="K5" s="19">
        <v>8792.23</v>
      </c>
      <c r="L5" s="19">
        <v>12203.76</v>
      </c>
      <c r="M5" s="19">
        <v>14107.78</v>
      </c>
      <c r="N5" s="19">
        <v>18039.439999999999</v>
      </c>
    </row>
    <row r="6" spans="1:19" x14ac:dyDescent="0.2">
      <c r="A6" s="18" t="s">
        <v>52</v>
      </c>
      <c r="F6" s="19">
        <v>4700.8500000000004</v>
      </c>
      <c r="G6" s="19">
        <v>5020.17</v>
      </c>
      <c r="H6" s="19">
        <v>6041.43</v>
      </c>
      <c r="I6" s="19">
        <v>7032.79</v>
      </c>
      <c r="J6" s="19">
        <v>7694.93</v>
      </c>
      <c r="K6" s="19">
        <v>7686.12</v>
      </c>
      <c r="L6" s="19">
        <v>10953.57</v>
      </c>
      <c r="M6" s="19">
        <v>12258.78</v>
      </c>
      <c r="N6" s="19">
        <v>15547.64</v>
      </c>
    </row>
    <row r="7" spans="1:19" x14ac:dyDescent="0.2">
      <c r="B7" s="20" t="s">
        <v>53</v>
      </c>
      <c r="F7" s="19">
        <v>-58.66</v>
      </c>
      <c r="G7" s="19">
        <v>-208.49</v>
      </c>
      <c r="H7" s="19">
        <v>-8.31</v>
      </c>
      <c r="I7" s="19">
        <v>-107.7</v>
      </c>
      <c r="J7" s="19">
        <v>-237.15</v>
      </c>
      <c r="K7" s="19">
        <v>67.77</v>
      </c>
      <c r="L7" s="19">
        <v>-492.75</v>
      </c>
      <c r="M7" s="19">
        <v>34.68</v>
      </c>
      <c r="N7" s="19">
        <v>-421.51</v>
      </c>
    </row>
    <row r="8" spans="1:19" x14ac:dyDescent="0.2">
      <c r="B8" s="20" t="s">
        <v>54</v>
      </c>
      <c r="F8" s="19">
        <v>3780.67</v>
      </c>
      <c r="G8" s="19">
        <v>4253.67</v>
      </c>
      <c r="H8" s="19">
        <v>4919.6000000000004</v>
      </c>
      <c r="I8" s="19">
        <v>5727.27</v>
      </c>
      <c r="J8" s="19">
        <v>6114.34</v>
      </c>
      <c r="K8" s="19">
        <v>6192.62</v>
      </c>
      <c r="L8" s="19">
        <v>9645.76</v>
      </c>
      <c r="M8" s="19">
        <v>10087.1</v>
      </c>
      <c r="N8" s="19">
        <v>13039.58</v>
      </c>
    </row>
    <row r="9" spans="1:19" x14ac:dyDescent="0.2">
      <c r="B9" s="20" t="s">
        <v>55</v>
      </c>
      <c r="F9" s="19">
        <v>71.760000000000005</v>
      </c>
      <c r="G9" s="19">
        <v>73.55</v>
      </c>
      <c r="H9" s="19">
        <v>72.540000000000006</v>
      </c>
      <c r="I9" s="19">
        <v>70.37</v>
      </c>
      <c r="J9" s="19">
        <v>66.56</v>
      </c>
      <c r="K9" s="19">
        <v>71.2</v>
      </c>
      <c r="L9" s="19">
        <v>75</v>
      </c>
      <c r="M9" s="19">
        <v>71.75</v>
      </c>
      <c r="N9" s="19">
        <v>69.95</v>
      </c>
    </row>
    <row r="10" spans="1:19" x14ac:dyDescent="0.2">
      <c r="B10" s="20" t="s">
        <v>56</v>
      </c>
      <c r="F10" s="19">
        <v>377.4</v>
      </c>
      <c r="G10" s="19">
        <v>327.82</v>
      </c>
      <c r="H10" s="19">
        <v>365.33</v>
      </c>
      <c r="I10" s="19">
        <v>525.94000000000005</v>
      </c>
      <c r="J10" s="19">
        <v>750.2</v>
      </c>
      <c r="K10" s="19">
        <v>505.95</v>
      </c>
      <c r="L10" s="19">
        <v>628.08000000000004</v>
      </c>
      <c r="M10" s="19">
        <v>718.34</v>
      </c>
      <c r="N10" s="19">
        <v>1149.4000000000001</v>
      </c>
    </row>
    <row r="11" spans="1:19" x14ac:dyDescent="0.2">
      <c r="B11" s="20" t="s">
        <v>57</v>
      </c>
      <c r="F11" s="19">
        <v>206.06</v>
      </c>
      <c r="G11" s="19">
        <v>229.1</v>
      </c>
      <c r="H11" s="19">
        <v>259.25</v>
      </c>
      <c r="I11" s="19">
        <v>300.25</v>
      </c>
      <c r="J11" s="19">
        <v>365.75</v>
      </c>
      <c r="K11" s="19">
        <v>353.73</v>
      </c>
      <c r="L11" s="19">
        <v>406.63</v>
      </c>
      <c r="M11" s="19">
        <v>456.77</v>
      </c>
      <c r="N11" s="19">
        <v>609.54</v>
      </c>
    </row>
    <row r="12" spans="1:19" x14ac:dyDescent="0.2">
      <c r="B12" s="20" t="s">
        <v>58</v>
      </c>
      <c r="F12" s="19">
        <v>175.99</v>
      </c>
      <c r="G12" s="19">
        <v>187.98</v>
      </c>
      <c r="H12" s="19">
        <v>254.27</v>
      </c>
      <c r="I12" s="19">
        <v>277.86</v>
      </c>
      <c r="J12" s="19">
        <v>344.89</v>
      </c>
      <c r="K12" s="19">
        <v>302.68</v>
      </c>
      <c r="L12" s="19">
        <v>396.89</v>
      </c>
      <c r="M12" s="19">
        <v>491.58</v>
      </c>
      <c r="N12" s="19">
        <v>599.25</v>
      </c>
    </row>
    <row r="13" spans="1:19" x14ac:dyDescent="0.2">
      <c r="B13" s="20" t="s">
        <v>59</v>
      </c>
      <c r="F13" s="19">
        <v>80.540000000000006</v>
      </c>
      <c r="G13" s="19">
        <v>84.78</v>
      </c>
      <c r="H13" s="19">
        <v>89.63</v>
      </c>
      <c r="I13" s="19">
        <v>107.65</v>
      </c>
      <c r="J13" s="19">
        <v>128.32</v>
      </c>
      <c r="K13" s="19">
        <v>116.03</v>
      </c>
      <c r="L13" s="19">
        <v>143.97999999999999</v>
      </c>
      <c r="M13" s="19">
        <v>183.75</v>
      </c>
      <c r="N13" s="19">
        <v>218.18</v>
      </c>
    </row>
    <row r="14" spans="1:19" x14ac:dyDescent="0.2">
      <c r="B14" s="20" t="s">
        <v>60</v>
      </c>
      <c r="F14" s="19">
        <v>81.760000000000005</v>
      </c>
      <c r="G14" s="19">
        <v>81.680000000000007</v>
      </c>
      <c r="H14" s="19">
        <v>85.77</v>
      </c>
      <c r="I14" s="19">
        <v>87.09</v>
      </c>
      <c r="J14" s="19">
        <v>98.16</v>
      </c>
      <c r="K14" s="19">
        <v>80.8</v>
      </c>
      <c r="L14" s="19">
        <v>138.56</v>
      </c>
      <c r="M14" s="19">
        <v>171.52</v>
      </c>
      <c r="N14" s="19">
        <v>194.29</v>
      </c>
    </row>
    <row r="15" spans="1:19" x14ac:dyDescent="0.2">
      <c r="B15" s="20" t="s">
        <v>61</v>
      </c>
      <c r="F15" s="19">
        <v>57.09</v>
      </c>
      <c r="G15" s="19">
        <v>63.62</v>
      </c>
      <c r="H15" s="19">
        <v>75.88</v>
      </c>
      <c r="I15" s="19">
        <v>114.44</v>
      </c>
      <c r="J15" s="19">
        <v>130.43</v>
      </c>
      <c r="K15" s="19">
        <v>66.53</v>
      </c>
      <c r="L15" s="19">
        <v>86.43</v>
      </c>
      <c r="M15" s="19">
        <v>115.04</v>
      </c>
      <c r="N15" s="19">
        <v>158.91</v>
      </c>
    </row>
    <row r="16" spans="1:19" x14ac:dyDescent="0.2">
      <c r="A16" s="18" t="s">
        <v>62</v>
      </c>
      <c r="F16" s="19">
        <v>485.98</v>
      </c>
      <c r="G16" s="19">
        <v>479.95</v>
      </c>
      <c r="H16" s="19">
        <v>728.88</v>
      </c>
      <c r="I16" s="19">
        <v>952.76</v>
      </c>
      <c r="J16" s="19">
        <v>1135.03</v>
      </c>
      <c r="K16" s="19">
        <v>1106.1199999999999</v>
      </c>
      <c r="L16" s="19">
        <v>1250.19</v>
      </c>
      <c r="M16" s="19">
        <v>1849</v>
      </c>
      <c r="N16" s="19">
        <v>2491.8000000000002</v>
      </c>
    </row>
    <row r="17" spans="1:19" x14ac:dyDescent="0.2">
      <c r="A17" s="18" t="s">
        <v>63</v>
      </c>
      <c r="F17" s="19">
        <v>11.86</v>
      </c>
      <c r="G17" s="19">
        <v>75.209999999999994</v>
      </c>
      <c r="H17" s="19">
        <v>64.44</v>
      </c>
      <c r="I17" s="19">
        <v>63.78</v>
      </c>
      <c r="J17" s="19">
        <v>92.79</v>
      </c>
      <c r="K17" s="19">
        <v>124.31</v>
      </c>
      <c r="L17" s="19">
        <v>104.93</v>
      </c>
      <c r="M17" s="19">
        <v>136.44</v>
      </c>
      <c r="N17" s="19">
        <v>220.88</v>
      </c>
    </row>
    <row r="18" spans="1:19" x14ac:dyDescent="0.2">
      <c r="A18" s="18" t="s">
        <v>64</v>
      </c>
      <c r="F18" s="19">
        <v>9.3699999999999992</v>
      </c>
      <c r="G18" s="19">
        <v>8.73</v>
      </c>
      <c r="H18" s="19">
        <v>10.77</v>
      </c>
      <c r="I18" s="19">
        <v>11.93</v>
      </c>
      <c r="J18" s="19">
        <v>12.85</v>
      </c>
      <c r="K18" s="19">
        <v>12.58</v>
      </c>
      <c r="L18" s="19">
        <v>10.24</v>
      </c>
      <c r="M18" s="19">
        <v>13.11</v>
      </c>
      <c r="N18" s="19">
        <v>13.81</v>
      </c>
    </row>
    <row r="19" spans="1:19" x14ac:dyDescent="0.2">
      <c r="A19" s="18" t="s">
        <v>65</v>
      </c>
      <c r="F19" s="19">
        <v>116.05</v>
      </c>
      <c r="G19" s="19">
        <v>65.95</v>
      </c>
      <c r="H19" s="19">
        <v>93.68</v>
      </c>
      <c r="I19" s="19">
        <v>116.71</v>
      </c>
      <c r="J19" s="19">
        <v>49.53</v>
      </c>
      <c r="K19" s="19">
        <v>42.69</v>
      </c>
      <c r="L19" s="19">
        <v>35.19</v>
      </c>
      <c r="M19" s="19">
        <v>59.76</v>
      </c>
      <c r="N19" s="19">
        <v>108.34</v>
      </c>
      <c r="O19" s="7">
        <f>'Debt Schedule'!O16*'Debt Schedule'!O17</f>
        <v>147.66274841764854</v>
      </c>
      <c r="P19" s="7">
        <f>'Debt Schedule'!P16*'Debt Schedule'!P17</f>
        <v>180.3590967658287</v>
      </c>
      <c r="Q19" s="7">
        <f>'Debt Schedule'!Q16*'Debt Schedule'!Q17</f>
        <v>221.72034775053484</v>
      </c>
      <c r="R19" s="7">
        <f>'Debt Schedule'!R16*'Debt Schedule'!R17</f>
        <v>183.09918120627438</v>
      </c>
      <c r="S19" s="7">
        <f>'Debt Schedule'!S16*'Debt Schedule'!S17</f>
        <v>183.21034353507164</v>
      </c>
    </row>
    <row r="20" spans="1:19" x14ac:dyDescent="0.2">
      <c r="A20" s="18" t="s">
        <v>66</v>
      </c>
      <c r="F20" s="19">
        <v>381.79</v>
      </c>
      <c r="G20" s="19">
        <v>489.21</v>
      </c>
      <c r="H20" s="19">
        <v>699.64</v>
      </c>
      <c r="I20" s="19">
        <v>899.84</v>
      </c>
      <c r="J20" s="19">
        <v>1178.28</v>
      </c>
      <c r="K20" s="19">
        <v>1187.74</v>
      </c>
      <c r="L20" s="19">
        <v>1319.93</v>
      </c>
      <c r="M20" s="19">
        <v>1925.68</v>
      </c>
      <c r="N20" s="19">
        <v>2604.34</v>
      </c>
    </row>
    <row r="21" spans="1:19" x14ac:dyDescent="0.2">
      <c r="A21" s="18" t="s">
        <v>67</v>
      </c>
      <c r="F21" s="19">
        <v>111.12</v>
      </c>
      <c r="G21" s="19">
        <v>127.88</v>
      </c>
      <c r="H21" s="19">
        <v>132.94999999999999</v>
      </c>
      <c r="I21" s="19">
        <v>141.44</v>
      </c>
      <c r="J21" s="19">
        <v>160.88999999999999</v>
      </c>
      <c r="K21" s="19">
        <v>176.17</v>
      </c>
      <c r="L21" s="19">
        <v>201.52</v>
      </c>
      <c r="M21" s="19">
        <v>209.16</v>
      </c>
      <c r="N21" s="19">
        <v>245.04</v>
      </c>
      <c r="O21" s="7">
        <f>N21/'Balance Sheet'!N5*'Balance Sheet'!O5</f>
        <v>270.58997006330873</v>
      </c>
      <c r="P21" s="7">
        <f>O21/'Balance Sheet'!O5*'Balance Sheet'!P5</f>
        <v>297.50218652358126</v>
      </c>
      <c r="Q21" s="7">
        <f>P21/'Balance Sheet'!P5*'Balance Sheet'!Q5</f>
        <v>321.34544023295001</v>
      </c>
      <c r="R21" s="7">
        <f>Q21/'Balance Sheet'!Q5*'Balance Sheet'!R5</f>
        <v>349.95734468419244</v>
      </c>
      <c r="S21" s="7">
        <f>R21/'Balance Sheet'!R5*'Balance Sheet'!S5</f>
        <v>376.5680470454285</v>
      </c>
    </row>
    <row r="22" spans="1:19" x14ac:dyDescent="0.2">
      <c r="A22" s="18" t="s">
        <v>48</v>
      </c>
      <c r="F22" s="19">
        <v>270.67</v>
      </c>
      <c r="G22" s="19">
        <v>361.33</v>
      </c>
      <c r="H22" s="19">
        <v>566.67999999999995</v>
      </c>
      <c r="I22" s="19">
        <v>758.39</v>
      </c>
      <c r="J22" s="19">
        <v>1017.4</v>
      </c>
      <c r="K22" s="19">
        <v>1011.58</v>
      </c>
      <c r="L22" s="19">
        <v>1118.4100000000001</v>
      </c>
      <c r="M22" s="19">
        <v>1716.52</v>
      </c>
      <c r="N22" s="19">
        <v>2359.3000000000002</v>
      </c>
    </row>
    <row r="23" spans="1:19" x14ac:dyDescent="0.2">
      <c r="A23" s="18" t="s">
        <v>68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9.7200000000000006</v>
      </c>
      <c r="L23" s="19">
        <v>0</v>
      </c>
      <c r="M23" s="19">
        <v>0</v>
      </c>
      <c r="N23" s="19">
        <v>0</v>
      </c>
    </row>
    <row r="24" spans="1:19" x14ac:dyDescent="0.2">
      <c r="A24" s="18" t="s">
        <v>69</v>
      </c>
      <c r="F24" s="19">
        <v>270.67</v>
      </c>
      <c r="G24" s="19">
        <v>361</v>
      </c>
      <c r="H24" s="19">
        <v>566.79</v>
      </c>
      <c r="I24" s="19">
        <v>756.06</v>
      </c>
      <c r="J24" s="19">
        <v>1009.99</v>
      </c>
      <c r="K24" s="19">
        <v>1012.15</v>
      </c>
      <c r="L24" s="19">
        <v>1115.8599999999999</v>
      </c>
      <c r="M24" s="19">
        <v>1707.26</v>
      </c>
      <c r="N24" s="19">
        <v>2359.3000000000002</v>
      </c>
    </row>
    <row r="25" spans="1:19" x14ac:dyDescent="0.2">
      <c r="A25" s="18" t="s">
        <v>70</v>
      </c>
      <c r="F25" s="19">
        <v>82.71</v>
      </c>
      <c r="G25" s="19">
        <v>128.25</v>
      </c>
      <c r="H25" s="19">
        <v>208.23</v>
      </c>
      <c r="I25" s="19">
        <v>255.76</v>
      </c>
      <c r="J25" s="19">
        <v>244.37</v>
      </c>
      <c r="K25" s="19">
        <v>170.34</v>
      </c>
      <c r="L25" s="19">
        <v>270.63</v>
      </c>
      <c r="M25" s="19">
        <v>424.17</v>
      </c>
      <c r="N25" s="19">
        <v>556.38</v>
      </c>
    </row>
    <row r="26" spans="1:19" x14ac:dyDescent="0.2">
      <c r="A26" s="20"/>
      <c r="B26" s="20" t="s">
        <v>71</v>
      </c>
      <c r="F26" s="19">
        <v>77.5</v>
      </c>
      <c r="G26" s="19">
        <v>83.56</v>
      </c>
      <c r="H26" s="19">
        <v>217.6</v>
      </c>
      <c r="I26" s="19">
        <v>295.11</v>
      </c>
      <c r="J26" s="19">
        <v>248</v>
      </c>
      <c r="K26" s="19">
        <v>256.86</v>
      </c>
      <c r="L26" s="19">
        <v>282.99</v>
      </c>
      <c r="M26" s="19">
        <v>406.05</v>
      </c>
      <c r="N26" s="19">
        <v>551.91999999999996</v>
      </c>
    </row>
    <row r="27" spans="1:19" x14ac:dyDescent="0.2">
      <c r="A27" s="20"/>
      <c r="B27" s="20" t="s">
        <v>72</v>
      </c>
      <c r="F27" s="19">
        <v>5.21</v>
      </c>
      <c r="G27" s="19">
        <v>44.69</v>
      </c>
      <c r="H27" s="19">
        <v>-32.06</v>
      </c>
      <c r="I27" s="19">
        <v>-32</v>
      </c>
      <c r="J27" s="19">
        <v>-1.7</v>
      </c>
      <c r="K27" s="19">
        <v>4.28</v>
      </c>
      <c r="L27" s="19">
        <v>-6.6</v>
      </c>
      <c r="M27" s="19">
        <v>18.23</v>
      </c>
      <c r="N27" s="19">
        <v>-0.35</v>
      </c>
    </row>
    <row r="28" spans="1:19" x14ac:dyDescent="0.2">
      <c r="A28" s="20"/>
      <c r="B28" s="20" t="s">
        <v>73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</row>
    <row r="29" spans="1:19" x14ac:dyDescent="0.2">
      <c r="A29" s="18" t="s">
        <v>74</v>
      </c>
      <c r="F29" s="19">
        <v>187.96</v>
      </c>
      <c r="G29" s="19">
        <v>232.75</v>
      </c>
      <c r="H29" s="19">
        <v>358.56</v>
      </c>
      <c r="I29" s="19">
        <v>500.31</v>
      </c>
      <c r="J29" s="19">
        <v>765.62</v>
      </c>
      <c r="K29" s="19">
        <v>841.81</v>
      </c>
      <c r="L29" s="19">
        <v>845.23</v>
      </c>
      <c r="M29" s="19">
        <v>1283.0899999999999</v>
      </c>
      <c r="N29" s="19">
        <v>1802.92</v>
      </c>
    </row>
    <row r="30" spans="1:19" x14ac:dyDescent="0.2">
      <c r="A30" s="18" t="s">
        <v>75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44.1</v>
      </c>
      <c r="L30" s="19">
        <v>72.05</v>
      </c>
      <c r="M30" s="19">
        <v>0</v>
      </c>
      <c r="N30" s="19">
        <v>0</v>
      </c>
    </row>
    <row r="31" spans="1:19" x14ac:dyDescent="0.2">
      <c r="A31" s="18" t="s">
        <v>76</v>
      </c>
      <c r="F31" s="19">
        <v>0</v>
      </c>
      <c r="G31" s="19">
        <v>-0.25</v>
      </c>
      <c r="H31" s="19">
        <v>-0.55000000000000004</v>
      </c>
      <c r="I31" s="19">
        <v>-0.6</v>
      </c>
      <c r="J31" s="19">
        <v>-6.56</v>
      </c>
      <c r="K31" s="19">
        <v>-3.82</v>
      </c>
      <c r="L31" s="19">
        <v>-8.7100000000000009</v>
      </c>
      <c r="M31" s="19">
        <v>-12.3</v>
      </c>
      <c r="N31" s="19">
        <v>-18.87</v>
      </c>
    </row>
    <row r="32" spans="1:19" x14ac:dyDescent="0.2">
      <c r="A32" s="18" t="s">
        <v>77</v>
      </c>
      <c r="F32" s="19">
        <v>0</v>
      </c>
      <c r="G32" s="19">
        <v>-0.33</v>
      </c>
      <c r="H32" s="19">
        <v>0.1</v>
      </c>
      <c r="I32" s="19">
        <v>-2.33</v>
      </c>
      <c r="J32" s="19">
        <v>-7.41</v>
      </c>
      <c r="K32" s="19">
        <v>0.57999999999999996</v>
      </c>
      <c r="L32" s="19">
        <v>-2.56</v>
      </c>
      <c r="M32" s="19">
        <v>0</v>
      </c>
      <c r="N32" s="19">
        <v>0</v>
      </c>
    </row>
    <row r="33" spans="1:14" x14ac:dyDescent="0.2">
      <c r="A33" s="18" t="s">
        <v>78</v>
      </c>
      <c r="F33" s="19">
        <v>187.96</v>
      </c>
      <c r="G33" s="19">
        <v>232.49</v>
      </c>
      <c r="H33" s="19">
        <v>358.01</v>
      </c>
      <c r="I33" s="19">
        <v>499.7</v>
      </c>
      <c r="J33" s="19">
        <v>759.06</v>
      </c>
      <c r="K33" s="19">
        <v>882.09</v>
      </c>
      <c r="L33" s="19">
        <v>908.58</v>
      </c>
      <c r="M33" s="19">
        <v>1270.78</v>
      </c>
      <c r="N33" s="19">
        <v>1784.05</v>
      </c>
    </row>
    <row r="34" spans="1:14" x14ac:dyDescent="0.2">
      <c r="A34" s="18" t="s">
        <v>79</v>
      </c>
      <c r="F34" s="19">
        <v>0</v>
      </c>
      <c r="G34" s="19">
        <v>0</v>
      </c>
      <c r="H34" s="19">
        <v>0</v>
      </c>
      <c r="I34" s="19">
        <v>0</v>
      </c>
      <c r="J34" s="19">
        <v>14.89</v>
      </c>
      <c r="K34" s="19">
        <v>14.91</v>
      </c>
      <c r="L34" s="19">
        <v>14.94</v>
      </c>
      <c r="M34" s="19">
        <v>14.98</v>
      </c>
      <c r="N34" s="19">
        <v>15.02</v>
      </c>
    </row>
    <row r="35" spans="1:14" x14ac:dyDescent="0.2">
      <c r="A35" s="18" t="s">
        <v>80</v>
      </c>
      <c r="F35" s="19">
        <v>13.15</v>
      </c>
      <c r="G35" s="19">
        <v>6.07</v>
      </c>
      <c r="H35" s="19">
        <v>3.94</v>
      </c>
      <c r="I35" s="19">
        <v>8.48</v>
      </c>
      <c r="J35" s="19">
        <v>13.73</v>
      </c>
      <c r="K35" s="19">
        <v>16.91</v>
      </c>
      <c r="L35" s="19">
        <v>23.03</v>
      </c>
      <c r="M35" s="19">
        <v>23.57</v>
      </c>
      <c r="N35" s="19">
        <v>25.26</v>
      </c>
    </row>
    <row r="36" spans="1:14" x14ac:dyDescent="0.2">
      <c r="F36" s="21"/>
      <c r="G36" s="21"/>
      <c r="H36" s="21"/>
      <c r="I36" s="21"/>
      <c r="J36" s="21"/>
      <c r="K36" s="21"/>
      <c r="L36" s="21"/>
      <c r="M36" s="21"/>
      <c r="N36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78CF-857B-6741-80B1-EDC1B8035BDB}">
  <dimension ref="A1:N31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I18" sqref="I18"/>
    </sheetView>
  </sheetViews>
  <sheetFormatPr baseColWidth="10" defaultRowHeight="16" x14ac:dyDescent="0.2"/>
  <cols>
    <col min="1" max="1" width="5" customWidth="1"/>
    <col min="2" max="2" width="4.6640625" customWidth="1"/>
    <col min="3" max="3" width="31" customWidth="1"/>
    <col min="4" max="4" width="6" customWidth="1"/>
    <col min="5" max="5" width="14.1640625" customWidth="1"/>
  </cols>
  <sheetData>
    <row r="1" spans="1:14" ht="19" x14ac:dyDescent="0.25">
      <c r="A1" s="2" t="s">
        <v>106</v>
      </c>
    </row>
    <row r="2" spans="1:14" x14ac:dyDescent="0.2">
      <c r="A2" s="3" t="s">
        <v>6</v>
      </c>
      <c r="E2" s="14" t="s">
        <v>43</v>
      </c>
      <c r="F2" s="14" t="s">
        <v>44</v>
      </c>
      <c r="G2" s="14" t="s">
        <v>45</v>
      </c>
      <c r="H2" s="14" t="s">
        <v>46</v>
      </c>
      <c r="I2" s="14" t="s">
        <v>47</v>
      </c>
      <c r="J2" s="14" t="s">
        <v>0</v>
      </c>
      <c r="K2" s="14" t="s">
        <v>1</v>
      </c>
      <c r="L2" s="14" t="s">
        <v>2</v>
      </c>
      <c r="M2" s="14" t="s">
        <v>3</v>
      </c>
      <c r="N2" s="14" t="s">
        <v>4</v>
      </c>
    </row>
    <row r="3" spans="1:14" x14ac:dyDescent="0.2">
      <c r="A3" s="5" t="s">
        <v>107</v>
      </c>
      <c r="E3" s="15">
        <v>150.15</v>
      </c>
      <c r="F3" s="15">
        <v>189.54</v>
      </c>
      <c r="G3" s="15">
        <v>296.39999999999998</v>
      </c>
      <c r="H3" s="15">
        <v>362.44</v>
      </c>
      <c r="I3" s="15">
        <v>1229.96</v>
      </c>
      <c r="J3" s="15">
        <v>244.34</v>
      </c>
      <c r="K3" s="15">
        <v>1252.42</v>
      </c>
      <c r="L3" s="15">
        <v>511.61</v>
      </c>
      <c r="M3" s="15">
        <v>1427.52</v>
      </c>
      <c r="N3" s="15">
        <v>1296.24</v>
      </c>
    </row>
    <row r="4" spans="1:14" x14ac:dyDescent="0.2">
      <c r="B4" s="4" t="s">
        <v>69</v>
      </c>
      <c r="E4" s="15">
        <v>245.19</v>
      </c>
      <c r="F4" s="15">
        <v>270.67</v>
      </c>
      <c r="G4" s="15">
        <v>361</v>
      </c>
      <c r="H4" s="15">
        <v>566.79</v>
      </c>
      <c r="I4" s="15">
        <v>756.06</v>
      </c>
      <c r="J4" s="15">
        <v>1009.99</v>
      </c>
      <c r="K4" s="15">
        <v>1064.97</v>
      </c>
      <c r="L4" s="15">
        <v>1211.18</v>
      </c>
      <c r="M4" s="15">
        <v>1707.26</v>
      </c>
      <c r="N4" s="15">
        <v>2359.3000000000002</v>
      </c>
    </row>
    <row r="5" spans="1:14" x14ac:dyDescent="0.2">
      <c r="B5" s="4" t="s">
        <v>108</v>
      </c>
      <c r="E5" s="15">
        <v>240.63</v>
      </c>
      <c r="F5" s="15">
        <v>250.42</v>
      </c>
      <c r="G5" s="15">
        <v>209.6</v>
      </c>
      <c r="H5" s="15">
        <v>277.42</v>
      </c>
      <c r="I5" s="15">
        <v>349.93</v>
      </c>
      <c r="J5" s="15">
        <v>157.97999999999999</v>
      </c>
      <c r="K5" s="15">
        <v>168.35</v>
      </c>
      <c r="L5" s="15">
        <v>131.79</v>
      </c>
      <c r="M5" s="15">
        <v>182.43</v>
      </c>
      <c r="N5" s="15">
        <v>320.25</v>
      </c>
    </row>
    <row r="6" spans="1:14" x14ac:dyDescent="0.2">
      <c r="B6" s="4" t="s">
        <v>109</v>
      </c>
      <c r="E6" s="15">
        <v>485.82</v>
      </c>
      <c r="F6" s="15">
        <v>521.09</v>
      </c>
      <c r="G6" s="15">
        <v>570.6</v>
      </c>
      <c r="H6" s="15">
        <v>844.21</v>
      </c>
      <c r="I6" s="15">
        <v>1105.99</v>
      </c>
      <c r="J6" s="15">
        <v>1167.97</v>
      </c>
      <c r="K6" s="15">
        <v>1233.32</v>
      </c>
      <c r="L6" s="15">
        <v>1342.98</v>
      </c>
      <c r="M6" s="15">
        <v>1889.68</v>
      </c>
      <c r="N6" s="15">
        <v>2679.55</v>
      </c>
    </row>
    <row r="7" spans="1:14" x14ac:dyDescent="0.2">
      <c r="B7" s="4" t="s">
        <v>110</v>
      </c>
      <c r="E7" s="15">
        <v>-275.91000000000003</v>
      </c>
      <c r="F7" s="15">
        <v>-212.77</v>
      </c>
      <c r="G7" s="15">
        <v>-172.62</v>
      </c>
      <c r="H7" s="15">
        <v>-341.84</v>
      </c>
      <c r="I7" s="15">
        <v>305.32</v>
      </c>
      <c r="J7" s="15">
        <v>-622.41</v>
      </c>
      <c r="K7" s="15">
        <v>259.98</v>
      </c>
      <c r="L7" s="15">
        <v>-497.41</v>
      </c>
      <c r="M7" s="15">
        <v>-91.73</v>
      </c>
      <c r="N7" s="15">
        <v>-808.99</v>
      </c>
    </row>
    <row r="8" spans="1:14" x14ac:dyDescent="0.2">
      <c r="B8" s="4" t="s">
        <v>111</v>
      </c>
      <c r="E8" s="15">
        <v>-59.76</v>
      </c>
      <c r="F8" s="15">
        <v>-118.78</v>
      </c>
      <c r="G8" s="15">
        <v>-101.57</v>
      </c>
      <c r="H8" s="15">
        <v>-139.93</v>
      </c>
      <c r="I8" s="15">
        <v>-181.36</v>
      </c>
      <c r="J8" s="15">
        <v>-301.22000000000003</v>
      </c>
      <c r="K8" s="15">
        <v>-240.88</v>
      </c>
      <c r="L8" s="15">
        <v>-333.96</v>
      </c>
      <c r="M8" s="15">
        <v>-370.43</v>
      </c>
      <c r="N8" s="15">
        <v>-574.32000000000005</v>
      </c>
    </row>
    <row r="9" spans="1:14" x14ac:dyDescent="0.2">
      <c r="A9" s="5" t="s">
        <v>112</v>
      </c>
      <c r="E9" s="15">
        <v>-172.83</v>
      </c>
      <c r="F9" s="15">
        <v>-254.32</v>
      </c>
      <c r="G9" s="15">
        <v>-289.76</v>
      </c>
      <c r="H9" s="15">
        <v>-187.83</v>
      </c>
      <c r="I9" s="15">
        <v>-407.73</v>
      </c>
      <c r="J9" s="15">
        <v>-262.25</v>
      </c>
      <c r="K9" s="15">
        <v>-1012.09</v>
      </c>
      <c r="L9" s="15">
        <v>-426.95</v>
      </c>
      <c r="M9" s="15">
        <v>-1202.6500000000001</v>
      </c>
      <c r="N9" s="15">
        <v>-751.88</v>
      </c>
    </row>
    <row r="10" spans="1:14" x14ac:dyDescent="0.2">
      <c r="B10" s="5" t="s">
        <v>113</v>
      </c>
      <c r="E10" s="15">
        <v>-202.53</v>
      </c>
      <c r="F10" s="15">
        <v>-246.37</v>
      </c>
      <c r="G10" s="15">
        <v>-278</v>
      </c>
      <c r="H10" s="15">
        <v>-183.28</v>
      </c>
      <c r="I10" s="15">
        <v>-281.35000000000002</v>
      </c>
      <c r="J10" s="15">
        <v>-289.08999999999997</v>
      </c>
      <c r="K10" s="15">
        <v>-191.09</v>
      </c>
      <c r="L10" s="15">
        <v>-520</v>
      </c>
      <c r="M10" s="15">
        <v>-458.42</v>
      </c>
      <c r="N10" s="15">
        <v>-857.97</v>
      </c>
    </row>
    <row r="11" spans="1:14" x14ac:dyDescent="0.2">
      <c r="C11" s="4" t="s">
        <v>114</v>
      </c>
      <c r="E11" s="15">
        <v>-203.63</v>
      </c>
      <c r="F11" s="15">
        <v>-249.29</v>
      </c>
      <c r="G11" s="15">
        <v>-279.18</v>
      </c>
      <c r="H11" s="15">
        <v>-198.84</v>
      </c>
      <c r="I11" s="15">
        <v>-286.07</v>
      </c>
      <c r="J11" s="15">
        <v>-290.13</v>
      </c>
      <c r="K11" s="15">
        <v>-193.49</v>
      </c>
      <c r="L11" s="15">
        <v>-526.69000000000005</v>
      </c>
      <c r="M11" s="15">
        <v>-479.45</v>
      </c>
      <c r="N11" s="15">
        <v>-858.52</v>
      </c>
    </row>
    <row r="12" spans="1:14" x14ac:dyDescent="0.2">
      <c r="C12" s="4" t="s">
        <v>115</v>
      </c>
      <c r="E12" s="15">
        <v>1.1000000000000001</v>
      </c>
      <c r="F12" s="15">
        <v>2.92</v>
      </c>
      <c r="G12" s="15">
        <v>1.18</v>
      </c>
      <c r="H12" s="15">
        <v>15.56</v>
      </c>
      <c r="I12" s="15">
        <v>4.71</v>
      </c>
      <c r="J12" s="15">
        <v>1.04</v>
      </c>
      <c r="K12" s="15">
        <v>2.4</v>
      </c>
      <c r="L12" s="15">
        <v>6.69</v>
      </c>
      <c r="M12" s="15">
        <v>21.04</v>
      </c>
      <c r="N12" s="15">
        <v>0.55000000000000004</v>
      </c>
    </row>
    <row r="13" spans="1:14" x14ac:dyDescent="0.2">
      <c r="B13" s="4" t="s">
        <v>116</v>
      </c>
      <c r="E13" s="15">
        <v>0</v>
      </c>
      <c r="F13" s="15">
        <v>-11.03</v>
      </c>
      <c r="G13" s="15">
        <v>0</v>
      </c>
      <c r="H13" s="15">
        <v>0</v>
      </c>
      <c r="I13" s="15">
        <v>-195.72</v>
      </c>
      <c r="J13" s="15">
        <v>-29620.7</v>
      </c>
      <c r="K13" s="15">
        <v>-8357.4</v>
      </c>
      <c r="L13" s="15">
        <v>-9686.91</v>
      </c>
      <c r="M13" s="15">
        <v>-10140.93</v>
      </c>
      <c r="N13" s="15">
        <v>-13023.86</v>
      </c>
    </row>
    <row r="14" spans="1:14" x14ac:dyDescent="0.2">
      <c r="B14" s="4" t="s">
        <v>117</v>
      </c>
      <c r="E14" s="15">
        <v>0</v>
      </c>
      <c r="F14" s="15">
        <v>0</v>
      </c>
      <c r="G14" s="15">
        <v>11.22</v>
      </c>
      <c r="H14" s="15">
        <v>5.88</v>
      </c>
      <c r="I14" s="15">
        <v>60.12</v>
      </c>
      <c r="J14" s="15">
        <v>29622.98</v>
      </c>
      <c r="K14" s="15">
        <v>7550.31</v>
      </c>
      <c r="L14" s="15">
        <v>9610.67</v>
      </c>
      <c r="M14" s="15">
        <v>9374.39</v>
      </c>
      <c r="N14" s="15">
        <v>13085.5</v>
      </c>
    </row>
    <row r="15" spans="1:14" x14ac:dyDescent="0.2">
      <c r="B15" s="4" t="s">
        <v>118</v>
      </c>
      <c r="E15" s="15">
        <v>1.49</v>
      </c>
      <c r="F15" s="15">
        <v>3.19</v>
      </c>
      <c r="G15" s="15">
        <v>4.1900000000000004</v>
      </c>
      <c r="H15" s="15">
        <v>3.05</v>
      </c>
      <c r="I15" s="15">
        <v>11.79</v>
      </c>
      <c r="J15" s="15">
        <v>24.34</v>
      </c>
      <c r="K15" s="15">
        <v>18.13</v>
      </c>
      <c r="L15" s="15">
        <v>23.22</v>
      </c>
      <c r="M15" s="15">
        <v>19.98</v>
      </c>
      <c r="N15" s="15">
        <v>44.74</v>
      </c>
    </row>
    <row r="16" spans="1:14" x14ac:dyDescent="0.2">
      <c r="B16" s="4" t="s">
        <v>119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</row>
    <row r="17" spans="1:14" x14ac:dyDescent="0.2">
      <c r="B17" s="4" t="s">
        <v>120</v>
      </c>
      <c r="E17" s="15">
        <v>0</v>
      </c>
      <c r="F17" s="15">
        <v>0</v>
      </c>
      <c r="G17" s="15">
        <v>-26.66</v>
      </c>
      <c r="H17" s="15">
        <v>0</v>
      </c>
      <c r="I17" s="15">
        <v>0</v>
      </c>
      <c r="J17" s="15">
        <v>0</v>
      </c>
      <c r="K17" s="15">
        <v>-30.38</v>
      </c>
      <c r="L17" s="15">
        <v>-11.71</v>
      </c>
      <c r="M17" s="15">
        <v>0</v>
      </c>
      <c r="N17" s="15">
        <v>0</v>
      </c>
    </row>
    <row r="18" spans="1:14" x14ac:dyDescent="0.2">
      <c r="A18" s="5" t="s">
        <v>121</v>
      </c>
      <c r="E18" s="15">
        <v>14.59</v>
      </c>
      <c r="F18" s="15">
        <v>76.790000000000006</v>
      </c>
      <c r="G18" s="15">
        <v>-9.84</v>
      </c>
      <c r="H18" s="15">
        <v>-189.82</v>
      </c>
      <c r="I18" s="15">
        <v>-651.4</v>
      </c>
      <c r="J18" s="15">
        <v>11.01</v>
      </c>
      <c r="K18" s="15">
        <v>-174.77</v>
      </c>
      <c r="L18" s="15">
        <v>-200.69</v>
      </c>
      <c r="M18" s="15">
        <v>-227.07</v>
      </c>
      <c r="N18" s="15">
        <v>-387.41</v>
      </c>
    </row>
    <row r="19" spans="1:14" x14ac:dyDescent="0.2">
      <c r="B19" s="4" t="s">
        <v>122</v>
      </c>
      <c r="E19" s="15">
        <v>0.01</v>
      </c>
      <c r="F19" s="15">
        <v>2.89</v>
      </c>
      <c r="G19" s="15">
        <v>0</v>
      </c>
      <c r="H19" s="15">
        <v>0</v>
      </c>
      <c r="I19" s="15">
        <v>3.77</v>
      </c>
      <c r="J19" s="15">
        <v>400</v>
      </c>
      <c r="K19" s="15">
        <v>0</v>
      </c>
      <c r="L19" s="15">
        <v>0</v>
      </c>
      <c r="M19" s="15">
        <v>0</v>
      </c>
      <c r="N19" s="15">
        <v>0</v>
      </c>
    </row>
    <row r="20" spans="1:14" x14ac:dyDescent="0.2">
      <c r="B20" s="5" t="s">
        <v>123</v>
      </c>
      <c r="E20" s="15">
        <v>134.25</v>
      </c>
      <c r="F20" s="15">
        <v>217.48</v>
      </c>
      <c r="G20" s="15">
        <v>99.71</v>
      </c>
      <c r="H20" s="15">
        <v>34.299999999999997</v>
      </c>
      <c r="I20" s="15">
        <v>-69.98</v>
      </c>
      <c r="J20" s="15">
        <v>-123.97</v>
      </c>
      <c r="K20" s="15">
        <v>-83.28</v>
      </c>
      <c r="L20" s="15">
        <v>-14.11</v>
      </c>
      <c r="M20" s="15">
        <v>0.26</v>
      </c>
      <c r="N20" s="15">
        <v>20.54</v>
      </c>
    </row>
    <row r="21" spans="1:14" x14ac:dyDescent="0.2">
      <c r="B21" s="4"/>
      <c r="C21" s="4" t="s">
        <v>124</v>
      </c>
      <c r="E21" s="15">
        <v>1316.01</v>
      </c>
      <c r="F21" s="15">
        <v>217.48</v>
      </c>
      <c r="G21" s="15">
        <v>99.71</v>
      </c>
      <c r="H21" s="15">
        <v>34.299999999999997</v>
      </c>
      <c r="I21" s="15">
        <v>0</v>
      </c>
      <c r="J21" s="15">
        <v>0</v>
      </c>
      <c r="K21" s="15">
        <v>3.35</v>
      </c>
      <c r="L21" s="15">
        <v>0</v>
      </c>
      <c r="M21" s="15">
        <v>4.01</v>
      </c>
      <c r="N21" s="15">
        <v>23.18</v>
      </c>
    </row>
    <row r="22" spans="1:14" x14ac:dyDescent="0.2">
      <c r="B22" s="4"/>
      <c r="C22" s="4" t="s">
        <v>125</v>
      </c>
      <c r="E22" s="15">
        <v>-1181.76</v>
      </c>
      <c r="F22" s="15">
        <v>0</v>
      </c>
      <c r="G22" s="15">
        <v>0</v>
      </c>
      <c r="H22" s="15">
        <v>0</v>
      </c>
      <c r="I22" s="15">
        <v>-69.98</v>
      </c>
      <c r="J22" s="15">
        <v>-123.97</v>
      </c>
      <c r="K22" s="15">
        <v>-86.62</v>
      </c>
      <c r="L22" s="15">
        <v>-14.11</v>
      </c>
      <c r="M22" s="15">
        <v>-3.75</v>
      </c>
      <c r="N22" s="15">
        <v>-2.64</v>
      </c>
    </row>
    <row r="23" spans="1:14" x14ac:dyDescent="0.2">
      <c r="B23" s="4" t="s">
        <v>126</v>
      </c>
      <c r="E23" s="15">
        <v>-103.15</v>
      </c>
      <c r="F23" s="15">
        <v>-117.43</v>
      </c>
      <c r="G23" s="15">
        <v>-67.03</v>
      </c>
      <c r="H23" s="15">
        <v>-94.36</v>
      </c>
      <c r="I23" s="15">
        <v>-78.14</v>
      </c>
      <c r="J23" s="15">
        <v>-43.3</v>
      </c>
      <c r="K23" s="15">
        <v>-46.3</v>
      </c>
      <c r="L23" s="15">
        <v>-30.93</v>
      </c>
      <c r="M23" s="15">
        <v>-50.87</v>
      </c>
      <c r="N23" s="15">
        <v>-105.9</v>
      </c>
    </row>
    <row r="24" spans="1:14" x14ac:dyDescent="0.2">
      <c r="B24" s="4" t="s">
        <v>127</v>
      </c>
      <c r="E24" s="15">
        <v>-16.52</v>
      </c>
      <c r="F24" s="15">
        <v>-26.15</v>
      </c>
      <c r="G24" s="15">
        <v>0</v>
      </c>
      <c r="H24" s="15">
        <v>-16.989999999999998</v>
      </c>
      <c r="I24" s="15">
        <v>-2.88</v>
      </c>
      <c r="J24" s="15">
        <v>-179.3</v>
      </c>
      <c r="K24" s="15">
        <v>0</v>
      </c>
      <c r="L24" s="15">
        <v>-149.16</v>
      </c>
      <c r="M24" s="15">
        <v>-209.45</v>
      </c>
      <c r="N24" s="15">
        <v>-299.73</v>
      </c>
    </row>
    <row r="25" spans="1:14" x14ac:dyDescent="0.2">
      <c r="A25" s="5" t="s">
        <v>128</v>
      </c>
      <c r="E25" s="15">
        <v>-8.09</v>
      </c>
      <c r="F25" s="15">
        <v>12.01</v>
      </c>
      <c r="G25" s="15">
        <v>-3.2</v>
      </c>
      <c r="H25" s="15">
        <v>-15.21</v>
      </c>
      <c r="I25" s="15">
        <v>170.83</v>
      </c>
      <c r="J25" s="15">
        <v>-6.9</v>
      </c>
      <c r="K25" s="15">
        <v>65.56</v>
      </c>
      <c r="L25" s="15">
        <v>-116.03</v>
      </c>
      <c r="M25" s="15">
        <v>-2.2000000000000002</v>
      </c>
      <c r="N25" s="15">
        <v>156.94999999999999</v>
      </c>
    </row>
    <row r="26" spans="1:14" x14ac:dyDescent="0.2">
      <c r="A26" s="5" t="s">
        <v>129</v>
      </c>
      <c r="E26" s="15">
        <v>27.48</v>
      </c>
      <c r="F26" s="15">
        <v>19.399999999999999</v>
      </c>
      <c r="G26" s="15">
        <v>31.63</v>
      </c>
      <c r="H26" s="15">
        <v>23.44</v>
      </c>
      <c r="I26" s="15">
        <v>8.23</v>
      </c>
      <c r="J26" s="15">
        <v>179.06</v>
      </c>
      <c r="K26" s="15">
        <v>172.16</v>
      </c>
      <c r="L26" s="15">
        <v>237.72</v>
      </c>
      <c r="M26" s="15">
        <v>121.69</v>
      </c>
      <c r="N26" s="15">
        <v>119.49</v>
      </c>
    </row>
    <row r="27" spans="1:14" x14ac:dyDescent="0.2">
      <c r="A27" s="5" t="s">
        <v>130</v>
      </c>
      <c r="E27" s="15">
        <v>0</v>
      </c>
      <c r="F27" s="15">
        <v>0.22</v>
      </c>
      <c r="G27" s="15">
        <v>-4.9800000000000004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</row>
    <row r="28" spans="1:14" x14ac:dyDescent="0.2">
      <c r="A28" s="5" t="s">
        <v>131</v>
      </c>
      <c r="E28" s="15">
        <v>19.39</v>
      </c>
      <c r="F28" s="15">
        <v>31.63</v>
      </c>
      <c r="G28" s="15">
        <v>23.44</v>
      </c>
      <c r="H28" s="15">
        <v>8.23</v>
      </c>
      <c r="I28" s="15">
        <v>179.06</v>
      </c>
      <c r="J28" s="15">
        <v>172.16</v>
      </c>
      <c r="K28" s="15">
        <v>237.72</v>
      </c>
      <c r="L28" s="15">
        <v>121.69</v>
      </c>
      <c r="M28" s="15">
        <v>119.49</v>
      </c>
      <c r="N28" s="15">
        <v>276.44</v>
      </c>
    </row>
    <row r="29" spans="1:14" x14ac:dyDescent="0.2">
      <c r="A29" s="5" t="s">
        <v>132</v>
      </c>
      <c r="E29" s="15">
        <v>202.53</v>
      </c>
      <c r="F29" s="15">
        <v>246.37</v>
      </c>
      <c r="G29" s="15">
        <v>278</v>
      </c>
      <c r="H29" s="15">
        <v>183.28</v>
      </c>
      <c r="I29" s="15">
        <v>281.35000000000002</v>
      </c>
      <c r="J29" s="15">
        <v>289.08999999999997</v>
      </c>
      <c r="K29" s="15">
        <v>191.09</v>
      </c>
      <c r="L29" s="15">
        <v>520</v>
      </c>
      <c r="M29" s="15">
        <v>458.42</v>
      </c>
      <c r="N29" s="15">
        <v>857.97</v>
      </c>
    </row>
    <row r="30" spans="1:14" x14ac:dyDescent="0.2">
      <c r="A30" s="5" t="s">
        <v>133</v>
      </c>
      <c r="E30" s="15">
        <v>-52.39</v>
      </c>
      <c r="F30" s="15">
        <v>-56.83</v>
      </c>
      <c r="G30" s="15">
        <v>18.399999999999999</v>
      </c>
      <c r="H30" s="15">
        <v>179.17</v>
      </c>
      <c r="I30" s="15">
        <v>948.6</v>
      </c>
      <c r="J30" s="15">
        <v>-44.75</v>
      </c>
      <c r="K30" s="15">
        <v>1061.33</v>
      </c>
      <c r="L30" s="15">
        <v>-8.39</v>
      </c>
      <c r="M30" s="15">
        <v>969.1</v>
      </c>
      <c r="N30" s="15">
        <v>438.27</v>
      </c>
    </row>
    <row r="31" spans="1:14" x14ac:dyDescent="0.2">
      <c r="E31" s="16"/>
      <c r="F31" s="16"/>
      <c r="G31" s="16"/>
      <c r="H31" s="16"/>
      <c r="I31" s="16"/>
      <c r="J31" s="16"/>
      <c r="K31" s="16"/>
      <c r="L31" s="16"/>
      <c r="M31" s="16"/>
      <c r="N31" s="1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881C-A161-AB4B-A2FE-DB5ED29A95A9}">
  <dimension ref="A1:S17"/>
  <sheetViews>
    <sheetView showGridLines="0" tabSelected="1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J23" sqref="J23"/>
    </sheetView>
  </sheetViews>
  <sheetFormatPr baseColWidth="10" defaultRowHeight="16" x14ac:dyDescent="0.2"/>
  <cols>
    <col min="1" max="1" width="5" style="7" customWidth="1"/>
    <col min="2" max="2" width="4.6640625" style="7" customWidth="1"/>
    <col min="3" max="3" width="31" style="7" customWidth="1"/>
    <col min="4" max="4" width="6" style="7" customWidth="1"/>
    <col min="5" max="5" width="9.33203125" style="7" customWidth="1"/>
    <col min="6" max="16384" width="10.83203125" style="7"/>
  </cols>
  <sheetData>
    <row r="1" spans="1:19" ht="19" x14ac:dyDescent="0.25">
      <c r="A1" s="6" t="s">
        <v>134</v>
      </c>
    </row>
    <row r="2" spans="1:19" x14ac:dyDescent="0.2">
      <c r="A2" s="8" t="s">
        <v>6</v>
      </c>
      <c r="E2" s="17" t="s">
        <v>43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0</v>
      </c>
      <c r="K2" s="17" t="s">
        <v>1</v>
      </c>
      <c r="L2" s="17" t="s">
        <v>2</v>
      </c>
      <c r="M2" s="17" t="s">
        <v>3</v>
      </c>
      <c r="N2" s="17" t="s">
        <v>4</v>
      </c>
      <c r="O2" s="17" t="s">
        <v>84</v>
      </c>
      <c r="P2" s="17" t="s">
        <v>85</v>
      </c>
      <c r="Q2" s="17" t="s">
        <v>86</v>
      </c>
      <c r="R2" s="17" t="s">
        <v>87</v>
      </c>
      <c r="S2" s="17" t="s">
        <v>88</v>
      </c>
    </row>
    <row r="4" spans="1:19" x14ac:dyDescent="0.2">
      <c r="A4" s="9" t="s">
        <v>135</v>
      </c>
      <c r="F4" s="7">
        <f>E7</f>
        <v>1220.68</v>
      </c>
      <c r="G4" s="7">
        <f t="shared" ref="G4:S4" si="0">F7</f>
        <v>1096.08</v>
      </c>
      <c r="H4" s="7">
        <f t="shared" si="0"/>
        <v>1366.51</v>
      </c>
      <c r="I4" s="7">
        <f t="shared" si="0"/>
        <v>1567.53</v>
      </c>
      <c r="J4" s="7">
        <f t="shared" si="0"/>
        <v>1785.9</v>
      </c>
      <c r="K4" s="7">
        <f t="shared" si="0"/>
        <v>2066.38</v>
      </c>
      <c r="L4" s="7">
        <f t="shared" si="0"/>
        <v>2698.88</v>
      </c>
      <c r="M4" s="7">
        <f t="shared" si="0"/>
        <v>2668.57</v>
      </c>
      <c r="N4" s="7">
        <f t="shared" si="0"/>
        <v>3246.6</v>
      </c>
      <c r="O4" s="7">
        <f>N7</f>
        <v>3667.74</v>
      </c>
      <c r="P4" s="7">
        <f t="shared" si="0"/>
        <v>4050.1699999999996</v>
      </c>
      <c r="Q4" s="7">
        <f t="shared" si="0"/>
        <v>4452.99</v>
      </c>
      <c r="R4" s="7">
        <f t="shared" si="0"/>
        <v>4809.8739999999998</v>
      </c>
      <c r="S4" s="7">
        <f t="shared" si="0"/>
        <v>5238.1347999999998</v>
      </c>
    </row>
    <row r="5" spans="1:19" x14ac:dyDescent="0.2">
      <c r="B5" s="7" t="s">
        <v>136</v>
      </c>
      <c r="F5" s="7">
        <f>MAX(0,F7-F4)</f>
        <v>0</v>
      </c>
      <c r="G5" s="7">
        <f t="shared" ref="G5:N5" si="1">MAX(0,G7-G4)</f>
        <v>270.43000000000006</v>
      </c>
      <c r="H5" s="7">
        <f t="shared" si="1"/>
        <v>201.01999999999998</v>
      </c>
      <c r="I5" s="7">
        <f t="shared" si="1"/>
        <v>218.37000000000012</v>
      </c>
      <c r="J5" s="7">
        <f t="shared" si="1"/>
        <v>280.48</v>
      </c>
      <c r="K5" s="7">
        <f t="shared" si="1"/>
        <v>632.5</v>
      </c>
      <c r="L5" s="7">
        <f t="shared" si="1"/>
        <v>0</v>
      </c>
      <c r="M5" s="7">
        <f t="shared" si="1"/>
        <v>578.02999999999975</v>
      </c>
      <c r="N5" s="7">
        <f t="shared" si="1"/>
        <v>421.13999999999987</v>
      </c>
      <c r="O5" s="22">
        <f>AVERAGE(J5:N5)</f>
        <v>382.42999999999995</v>
      </c>
      <c r="P5" s="22">
        <f t="shared" ref="P5:S5" si="2">AVERAGE(K5:O5)</f>
        <v>402.81999999999988</v>
      </c>
      <c r="Q5" s="22">
        <f t="shared" si="2"/>
        <v>356.8839999999999</v>
      </c>
      <c r="R5" s="22">
        <f t="shared" si="2"/>
        <v>428.26079999999985</v>
      </c>
      <c r="S5" s="22">
        <f t="shared" si="2"/>
        <v>398.30695999999983</v>
      </c>
    </row>
    <row r="6" spans="1:19" x14ac:dyDescent="0.2">
      <c r="B6" s="7" t="s">
        <v>137</v>
      </c>
      <c r="F6" s="7">
        <f>MAX(0,F4-F7)</f>
        <v>124.60000000000014</v>
      </c>
      <c r="G6" s="7">
        <f t="shared" ref="G6:N6" si="3">MAX(0,G4-G7)</f>
        <v>0</v>
      </c>
      <c r="H6" s="7">
        <f t="shared" si="3"/>
        <v>0</v>
      </c>
      <c r="I6" s="7">
        <f t="shared" si="3"/>
        <v>0</v>
      </c>
      <c r="J6" s="7">
        <f t="shared" si="3"/>
        <v>0</v>
      </c>
      <c r="K6" s="7">
        <f t="shared" si="3"/>
        <v>0</v>
      </c>
      <c r="L6" s="7">
        <f t="shared" si="3"/>
        <v>30.309999999999945</v>
      </c>
      <c r="M6" s="7">
        <f t="shared" si="3"/>
        <v>0</v>
      </c>
      <c r="N6" s="7">
        <f t="shared" si="3"/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</row>
    <row r="7" spans="1:19" x14ac:dyDescent="0.2">
      <c r="A7" s="9" t="s">
        <v>138</v>
      </c>
      <c r="E7" s="7">
        <f>'Balance Sheet'!E5</f>
        <v>1220.68</v>
      </c>
      <c r="F7" s="7">
        <f>'Balance Sheet'!F5</f>
        <v>1096.08</v>
      </c>
      <c r="G7" s="7">
        <f>'Balance Sheet'!G5</f>
        <v>1366.51</v>
      </c>
      <c r="H7" s="7">
        <f>'Balance Sheet'!H5</f>
        <v>1567.53</v>
      </c>
      <c r="I7" s="7">
        <f>'Balance Sheet'!I5</f>
        <v>1785.9</v>
      </c>
      <c r="J7" s="7">
        <f>'Balance Sheet'!J5</f>
        <v>2066.38</v>
      </c>
      <c r="K7" s="7">
        <f>'Balance Sheet'!K5</f>
        <v>2698.88</v>
      </c>
      <c r="L7" s="7">
        <f>'Balance Sheet'!L5</f>
        <v>2668.57</v>
      </c>
      <c r="M7" s="7">
        <f>'Balance Sheet'!M5</f>
        <v>3246.6</v>
      </c>
      <c r="N7" s="7">
        <f>'Balance Sheet'!N5</f>
        <v>3667.74</v>
      </c>
      <c r="O7" s="7">
        <f>O4+O5-O6</f>
        <v>4050.1699999999996</v>
      </c>
      <c r="P7" s="7">
        <f t="shared" ref="P7:S7" si="4">P4+P5-P6</f>
        <v>4452.99</v>
      </c>
      <c r="Q7" s="7">
        <f t="shared" si="4"/>
        <v>4809.8739999999998</v>
      </c>
      <c r="R7" s="7">
        <f t="shared" si="4"/>
        <v>5238.1347999999998</v>
      </c>
      <c r="S7" s="7">
        <f t="shared" si="4"/>
        <v>5636.4417599999997</v>
      </c>
    </row>
    <row r="10" spans="1:19" x14ac:dyDescent="0.2">
      <c r="A10" s="9" t="s">
        <v>139</v>
      </c>
    </row>
    <row r="11" spans="1:19" x14ac:dyDescent="0.2">
      <c r="B11" s="7" t="s">
        <v>140</v>
      </c>
      <c r="F11" s="7">
        <f>E14</f>
        <v>395.93</v>
      </c>
      <c r="G11" s="7">
        <f t="shared" ref="G11:S11" si="5">F14</f>
        <v>111.05000000000001</v>
      </c>
      <c r="H11" s="7">
        <f t="shared" si="5"/>
        <v>238.12</v>
      </c>
      <c r="I11" s="7">
        <f t="shared" si="5"/>
        <v>370.4</v>
      </c>
      <c r="J11" s="7">
        <f t="shared" si="5"/>
        <v>510.32</v>
      </c>
      <c r="K11" s="7">
        <f t="shared" si="5"/>
        <v>644.36000000000013</v>
      </c>
      <c r="L11" s="7">
        <f t="shared" si="5"/>
        <v>829.28</v>
      </c>
      <c r="M11" s="7">
        <f t="shared" si="5"/>
        <v>993.45</v>
      </c>
      <c r="N11" s="7">
        <f t="shared" si="5"/>
        <v>1179.6600000000003</v>
      </c>
      <c r="O11" s="7">
        <f t="shared" si="5"/>
        <v>1406.52</v>
      </c>
      <c r="P11" s="7">
        <f t="shared" si="5"/>
        <v>1677.1099700633088</v>
      </c>
      <c r="Q11" s="7">
        <f t="shared" si="5"/>
        <v>1974.61215658689</v>
      </c>
      <c r="R11" s="7">
        <f t="shared" si="5"/>
        <v>2295.9575968198401</v>
      </c>
      <c r="S11" s="7">
        <f t="shared" si="5"/>
        <v>2645.9149415040324</v>
      </c>
    </row>
    <row r="12" spans="1:19" x14ac:dyDescent="0.2">
      <c r="B12" s="7" t="s">
        <v>141</v>
      </c>
      <c r="F12" s="7">
        <f>PnL!F21</f>
        <v>111.12</v>
      </c>
      <c r="G12" s="7">
        <f>PnL!G21</f>
        <v>127.88</v>
      </c>
      <c r="H12" s="7">
        <f>PnL!H21</f>
        <v>132.94999999999999</v>
      </c>
      <c r="I12" s="7">
        <f>PnL!I21</f>
        <v>141.44</v>
      </c>
      <c r="J12" s="7">
        <f>PnL!J21</f>
        <v>160.88999999999999</v>
      </c>
      <c r="K12" s="7">
        <f>PnL!K21</f>
        <v>176.17</v>
      </c>
      <c r="L12" s="7">
        <f>PnL!L21</f>
        <v>201.52</v>
      </c>
      <c r="M12" s="7">
        <f>PnL!M21</f>
        <v>209.16</v>
      </c>
      <c r="N12" s="7">
        <f>PnL!N21</f>
        <v>245.04</v>
      </c>
      <c r="O12" s="22">
        <f>PnL!O21</f>
        <v>270.58997006330873</v>
      </c>
      <c r="P12" s="22">
        <f>PnL!P21</f>
        <v>297.50218652358126</v>
      </c>
      <c r="Q12" s="22">
        <f>PnL!Q21</f>
        <v>321.34544023295001</v>
      </c>
      <c r="R12" s="22">
        <f>PnL!R21</f>
        <v>349.95734468419244</v>
      </c>
      <c r="S12" s="22">
        <f>PnL!S21</f>
        <v>376.5680470454285</v>
      </c>
    </row>
    <row r="13" spans="1:19" x14ac:dyDescent="0.2">
      <c r="B13" s="7" t="s">
        <v>142</v>
      </c>
      <c r="F13" s="7">
        <f>F15-F12-F11</f>
        <v>-396</v>
      </c>
      <c r="G13" s="7">
        <f t="shared" ref="G13:N13" si="6">G15-G12-G11</f>
        <v>-0.81000000000000227</v>
      </c>
      <c r="H13" s="7">
        <f t="shared" si="6"/>
        <v>-0.67000000000001592</v>
      </c>
      <c r="I13" s="7">
        <f t="shared" si="6"/>
        <v>-1.5199999999999818</v>
      </c>
      <c r="J13" s="7">
        <f t="shared" si="6"/>
        <v>-26.849999999999966</v>
      </c>
      <c r="K13" s="7">
        <f t="shared" si="6"/>
        <v>8.7499999999998863</v>
      </c>
      <c r="L13" s="7">
        <f t="shared" si="6"/>
        <v>-37.349999999999909</v>
      </c>
      <c r="M13" s="7">
        <f t="shared" si="6"/>
        <v>-22.949999999999932</v>
      </c>
      <c r="N13" s="7">
        <f t="shared" si="6"/>
        <v>-18.180000000000291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</row>
    <row r="14" spans="1:19" x14ac:dyDescent="0.2">
      <c r="A14" s="9" t="s">
        <v>143</v>
      </c>
      <c r="E14" s="7">
        <f>'Balance Sheet'!E6</f>
        <v>395.93</v>
      </c>
      <c r="F14" s="7">
        <f>F11+F12+F13</f>
        <v>111.05000000000001</v>
      </c>
      <c r="G14" s="7">
        <f t="shared" ref="G14:N14" si="7">G11+G12+G13</f>
        <v>238.12</v>
      </c>
      <c r="H14" s="7">
        <f t="shared" si="7"/>
        <v>370.4</v>
      </c>
      <c r="I14" s="7">
        <f t="shared" si="7"/>
        <v>510.32</v>
      </c>
      <c r="J14" s="7">
        <f t="shared" si="7"/>
        <v>644.36000000000013</v>
      </c>
      <c r="K14" s="7">
        <f t="shared" si="7"/>
        <v>829.28</v>
      </c>
      <c r="L14" s="7">
        <f t="shared" si="7"/>
        <v>993.45</v>
      </c>
      <c r="M14" s="7">
        <f t="shared" si="7"/>
        <v>1179.6600000000003</v>
      </c>
      <c r="N14" s="7">
        <f t="shared" si="7"/>
        <v>1406.52</v>
      </c>
      <c r="O14" s="7">
        <f t="shared" ref="O14" si="8">O11+O12+O13</f>
        <v>1677.1099700633088</v>
      </c>
      <c r="P14" s="7">
        <f t="shared" ref="P14" si="9">P11+P12+P13</f>
        <v>1974.61215658689</v>
      </c>
      <c r="Q14" s="7">
        <f t="shared" ref="Q14" si="10">Q11+Q12+Q13</f>
        <v>2295.9575968198401</v>
      </c>
      <c r="R14" s="7">
        <f t="shared" ref="R14" si="11">R11+R12+R13</f>
        <v>2645.9149415040324</v>
      </c>
      <c r="S14" s="7">
        <f t="shared" ref="S14" si="12">S11+S12+S13</f>
        <v>3022.482988549461</v>
      </c>
    </row>
    <row r="15" spans="1:19" x14ac:dyDescent="0.2">
      <c r="B15" s="7" t="s">
        <v>144</v>
      </c>
      <c r="E15" s="7">
        <f>'Balance Sheet'!E6</f>
        <v>395.93</v>
      </c>
      <c r="F15" s="7">
        <f>'Balance Sheet'!F6</f>
        <v>111.05</v>
      </c>
      <c r="G15" s="7">
        <f>'Balance Sheet'!G6</f>
        <v>238.12</v>
      </c>
      <c r="H15" s="7">
        <f>'Balance Sheet'!H6</f>
        <v>370.4</v>
      </c>
      <c r="I15" s="7">
        <f>'Balance Sheet'!I6</f>
        <v>510.32</v>
      </c>
      <c r="J15" s="7">
        <f>'Balance Sheet'!J6</f>
        <v>644.36</v>
      </c>
      <c r="K15" s="7">
        <f>'Balance Sheet'!K6</f>
        <v>829.28</v>
      </c>
      <c r="L15" s="7">
        <f>'Balance Sheet'!L6</f>
        <v>993.45</v>
      </c>
      <c r="M15" s="7">
        <f>'Balance Sheet'!M6</f>
        <v>1179.6600000000001</v>
      </c>
      <c r="N15" s="7">
        <f>'Balance Sheet'!N6</f>
        <v>1406.52</v>
      </c>
    </row>
    <row r="17" spans="1:19" x14ac:dyDescent="0.2">
      <c r="A17" s="9" t="s">
        <v>13</v>
      </c>
      <c r="E17" s="7">
        <f>E7-E14</f>
        <v>824.75</v>
      </c>
      <c r="F17" s="7">
        <f t="shared" ref="F17:S17" si="13">F7-F14</f>
        <v>985.03</v>
      </c>
      <c r="G17" s="7">
        <f t="shared" si="13"/>
        <v>1128.3899999999999</v>
      </c>
      <c r="H17" s="7">
        <f t="shared" si="13"/>
        <v>1197.1300000000001</v>
      </c>
      <c r="I17" s="7">
        <f t="shared" si="13"/>
        <v>1275.5800000000002</v>
      </c>
      <c r="J17" s="7">
        <f t="shared" si="13"/>
        <v>1422.02</v>
      </c>
      <c r="K17" s="7">
        <f t="shared" si="13"/>
        <v>1869.6000000000001</v>
      </c>
      <c r="L17" s="7">
        <f t="shared" si="13"/>
        <v>1675.1200000000001</v>
      </c>
      <c r="M17" s="7">
        <f t="shared" si="13"/>
        <v>2066.9399999999996</v>
      </c>
      <c r="N17" s="7">
        <f t="shared" si="13"/>
        <v>2261.2199999999998</v>
      </c>
      <c r="O17" s="7">
        <f t="shared" si="13"/>
        <v>2373.0600299366906</v>
      </c>
      <c r="P17" s="7">
        <f t="shared" si="13"/>
        <v>2478.37784341311</v>
      </c>
      <c r="Q17" s="7">
        <f t="shared" si="13"/>
        <v>2513.9164031801597</v>
      </c>
      <c r="R17" s="7">
        <f t="shared" si="13"/>
        <v>2592.2198584959674</v>
      </c>
      <c r="S17" s="7">
        <f t="shared" si="13"/>
        <v>2613.9587714505387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151B-ADFC-5045-8AB5-7FB476304E61}">
  <dimension ref="A1:S1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O6" sqref="O6"/>
    </sheetView>
  </sheetViews>
  <sheetFormatPr baseColWidth="10" defaultRowHeight="16" x14ac:dyDescent="0.2"/>
  <cols>
    <col min="1" max="1" width="5" style="7" customWidth="1"/>
    <col min="2" max="2" width="4.6640625" style="7" customWidth="1"/>
    <col min="3" max="3" width="31" style="7" customWidth="1"/>
    <col min="4" max="4" width="6" style="7" customWidth="1"/>
    <col min="5" max="5" width="9.33203125" style="7" customWidth="1"/>
    <col min="6" max="16384" width="10.83203125" style="7"/>
  </cols>
  <sheetData>
    <row r="1" spans="1:19" ht="19" x14ac:dyDescent="0.25">
      <c r="A1" s="6" t="s">
        <v>145</v>
      </c>
    </row>
    <row r="2" spans="1:19" x14ac:dyDescent="0.2">
      <c r="A2" s="8" t="s">
        <v>6</v>
      </c>
      <c r="E2" s="17" t="s">
        <v>43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0</v>
      </c>
      <c r="K2" s="17" t="s">
        <v>1</v>
      </c>
      <c r="L2" s="17" t="s">
        <v>2</v>
      </c>
      <c r="M2" s="17" t="s">
        <v>3</v>
      </c>
      <c r="N2" s="17" t="s">
        <v>4</v>
      </c>
      <c r="O2" s="17" t="s">
        <v>84</v>
      </c>
      <c r="P2" s="17" t="s">
        <v>85</v>
      </c>
      <c r="Q2" s="17" t="s">
        <v>86</v>
      </c>
      <c r="R2" s="17" t="s">
        <v>87</v>
      </c>
      <c r="S2" s="17" t="s">
        <v>88</v>
      </c>
    </row>
    <row r="4" spans="1:19" x14ac:dyDescent="0.2">
      <c r="A4" s="9" t="s">
        <v>146</v>
      </c>
    </row>
    <row r="5" spans="1:19" x14ac:dyDescent="0.2">
      <c r="B5" s="7" t="s">
        <v>140</v>
      </c>
      <c r="F5" s="7">
        <f>E8</f>
        <v>0</v>
      </c>
      <c r="G5" s="7">
        <f>F8</f>
        <v>100.85</v>
      </c>
      <c r="H5" s="7">
        <f>G8</f>
        <v>161.76</v>
      </c>
      <c r="I5" s="7">
        <f>H8</f>
        <v>158.94999999999999</v>
      </c>
      <c r="J5" s="7">
        <f>I8</f>
        <v>88.92</v>
      </c>
      <c r="K5" s="7">
        <f>J8</f>
        <v>10.65</v>
      </c>
      <c r="L5" s="7">
        <f>K8</f>
        <v>103.68</v>
      </c>
      <c r="M5" s="7">
        <f>L8</f>
        <v>2.97</v>
      </c>
      <c r="N5" s="7">
        <f>M8</f>
        <v>4.21</v>
      </c>
      <c r="O5" s="7">
        <f>N8</f>
        <v>22.6</v>
      </c>
      <c r="P5" s="7">
        <f>O8</f>
        <v>22.6</v>
      </c>
      <c r="Q5" s="7">
        <f>P8</f>
        <v>22.6</v>
      </c>
      <c r="R5" s="7">
        <f>Q8</f>
        <v>22.6</v>
      </c>
      <c r="S5" s="7">
        <f>R8</f>
        <v>22.6</v>
      </c>
    </row>
    <row r="6" spans="1:19" x14ac:dyDescent="0.2">
      <c r="B6" s="7" t="s">
        <v>147</v>
      </c>
      <c r="F6" s="7">
        <f>MAX(0,F8-F5)</f>
        <v>100.85</v>
      </c>
      <c r="G6" s="7">
        <f t="shared" ref="G6:N6" si="0">MAX(0,G8-G5)</f>
        <v>60.91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93.03</v>
      </c>
      <c r="L6" s="7">
        <f t="shared" si="0"/>
        <v>0</v>
      </c>
      <c r="M6" s="7">
        <f t="shared" si="0"/>
        <v>1.2399999999999998</v>
      </c>
      <c r="N6" s="7">
        <f t="shared" si="0"/>
        <v>18.39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</row>
    <row r="7" spans="1:19" x14ac:dyDescent="0.2">
      <c r="B7" s="7" t="s">
        <v>148</v>
      </c>
      <c r="F7" s="7">
        <f>MAX(0,F5-F8)</f>
        <v>0</v>
      </c>
      <c r="G7" s="7">
        <f t="shared" ref="G7:N7" si="1">MAX(0,G5-G8)</f>
        <v>0</v>
      </c>
      <c r="H7" s="7">
        <f t="shared" si="1"/>
        <v>2.8100000000000023</v>
      </c>
      <c r="I7" s="7">
        <f t="shared" si="1"/>
        <v>70.029999999999987</v>
      </c>
      <c r="J7" s="7">
        <f t="shared" si="1"/>
        <v>78.27</v>
      </c>
      <c r="K7" s="7">
        <f t="shared" si="1"/>
        <v>0</v>
      </c>
      <c r="L7" s="7">
        <f t="shared" si="1"/>
        <v>100.71000000000001</v>
      </c>
      <c r="M7" s="7">
        <f t="shared" si="1"/>
        <v>0</v>
      </c>
      <c r="N7" s="7">
        <f t="shared" si="1"/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</row>
    <row r="8" spans="1:19" x14ac:dyDescent="0.2">
      <c r="A8" s="9" t="s">
        <v>143</v>
      </c>
      <c r="E8" s="7">
        <f>'Balance Sheet'!E27</f>
        <v>0</v>
      </c>
      <c r="F8" s="7">
        <f>'Balance Sheet'!F27</f>
        <v>100.85</v>
      </c>
      <c r="G8" s="7">
        <f>'Balance Sheet'!G27</f>
        <v>161.76</v>
      </c>
      <c r="H8" s="7">
        <f>'Balance Sheet'!H27</f>
        <v>158.94999999999999</v>
      </c>
      <c r="I8" s="7">
        <f>'Balance Sheet'!I27</f>
        <v>88.92</v>
      </c>
      <c r="J8" s="7">
        <f>'Balance Sheet'!J27</f>
        <v>10.65</v>
      </c>
      <c r="K8" s="7">
        <f>'Balance Sheet'!K27</f>
        <v>103.68</v>
      </c>
      <c r="L8" s="7">
        <f>'Balance Sheet'!L27</f>
        <v>2.97</v>
      </c>
      <c r="M8" s="7">
        <f>'Balance Sheet'!M27</f>
        <v>4.21</v>
      </c>
      <c r="N8" s="7">
        <f>'Balance Sheet'!N27</f>
        <v>22.6</v>
      </c>
      <c r="O8" s="7">
        <f>O5+O6-O7</f>
        <v>22.6</v>
      </c>
      <c r="P8" s="7">
        <f t="shared" ref="P8:S8" si="2">P5+P6-P7</f>
        <v>22.6</v>
      </c>
      <c r="Q8" s="7">
        <f t="shared" si="2"/>
        <v>22.6</v>
      </c>
      <c r="R8" s="7">
        <f t="shared" si="2"/>
        <v>22.6</v>
      </c>
      <c r="S8" s="7">
        <f t="shared" si="2"/>
        <v>22.6</v>
      </c>
    </row>
    <row r="10" spans="1:19" x14ac:dyDescent="0.2">
      <c r="A10" s="9" t="s">
        <v>149</v>
      </c>
    </row>
    <row r="11" spans="1:19" x14ac:dyDescent="0.2">
      <c r="B11" s="7" t="s">
        <v>140</v>
      </c>
      <c r="F11" s="7">
        <f>E14</f>
        <v>0</v>
      </c>
      <c r="G11" s="7">
        <f t="shared" ref="G11:S11" si="3">F14</f>
        <v>0</v>
      </c>
      <c r="H11" s="7">
        <f t="shared" si="3"/>
        <v>0</v>
      </c>
      <c r="I11" s="7">
        <f t="shared" si="3"/>
        <v>0</v>
      </c>
      <c r="J11" s="7">
        <f t="shared" si="3"/>
        <v>0</v>
      </c>
      <c r="K11" s="7">
        <f t="shared" si="3"/>
        <v>0</v>
      </c>
      <c r="L11" s="7">
        <f t="shared" si="3"/>
        <v>0</v>
      </c>
      <c r="M11" s="7">
        <f t="shared" si="3"/>
        <v>0</v>
      </c>
      <c r="N11" s="7">
        <f t="shared" si="3"/>
        <v>0</v>
      </c>
      <c r="O11" s="7">
        <f t="shared" si="3"/>
        <v>0</v>
      </c>
      <c r="P11" s="7">
        <f t="shared" si="3"/>
        <v>0</v>
      </c>
      <c r="Q11" s="7">
        <f t="shared" si="3"/>
        <v>0</v>
      </c>
      <c r="R11" s="7">
        <f t="shared" si="3"/>
        <v>0</v>
      </c>
      <c r="S11" s="7">
        <f t="shared" si="3"/>
        <v>0</v>
      </c>
    </row>
    <row r="12" spans="1:19" x14ac:dyDescent="0.2">
      <c r="B12" s="7" t="s">
        <v>147</v>
      </c>
      <c r="F12" s="7">
        <f>MAX(0,F11-F14)</f>
        <v>0</v>
      </c>
      <c r="G12" s="7">
        <f t="shared" ref="G12:N12" si="4">MAX(0,G11-G14)</f>
        <v>0</v>
      </c>
      <c r="H12" s="7">
        <f t="shared" si="4"/>
        <v>0</v>
      </c>
      <c r="I12" s="7">
        <f t="shared" si="4"/>
        <v>0</v>
      </c>
      <c r="J12" s="7">
        <f t="shared" si="4"/>
        <v>0</v>
      </c>
      <c r="K12" s="7">
        <f t="shared" si="4"/>
        <v>0</v>
      </c>
      <c r="L12" s="7">
        <f t="shared" si="4"/>
        <v>0</v>
      </c>
      <c r="M12" s="7">
        <f t="shared" si="4"/>
        <v>0</v>
      </c>
      <c r="N12" s="7">
        <f t="shared" si="4"/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</row>
    <row r="13" spans="1:19" x14ac:dyDescent="0.2">
      <c r="B13" s="7" t="s">
        <v>148</v>
      </c>
      <c r="F13" s="7">
        <f>MAX(0,F14-F11)</f>
        <v>0</v>
      </c>
      <c r="G13" s="7">
        <f t="shared" ref="G13:N13" si="5">MAX(0,G14-G11)</f>
        <v>0</v>
      </c>
      <c r="H13" s="7">
        <f t="shared" si="5"/>
        <v>0</v>
      </c>
      <c r="I13" s="7">
        <f t="shared" si="5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0</v>
      </c>
      <c r="N13" s="7">
        <f t="shared" si="5"/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</row>
    <row r="14" spans="1:19" x14ac:dyDescent="0.2">
      <c r="A14" s="9" t="s">
        <v>143</v>
      </c>
      <c r="E14" s="7">
        <f>'Balance Sheet'!E28</f>
        <v>0</v>
      </c>
      <c r="F14" s="7">
        <f>'Balance Sheet'!F28</f>
        <v>0</v>
      </c>
      <c r="G14" s="7">
        <f>'Balance Sheet'!G28</f>
        <v>0</v>
      </c>
      <c r="H14" s="7">
        <f>'Balance Sheet'!H28</f>
        <v>0</v>
      </c>
      <c r="I14" s="7">
        <f>'Balance Sheet'!I28</f>
        <v>0</v>
      </c>
      <c r="J14" s="7">
        <f>'Balance Sheet'!J28</f>
        <v>0</v>
      </c>
      <c r="K14" s="7">
        <f>'Balance Sheet'!K28</f>
        <v>0</v>
      </c>
      <c r="L14" s="7">
        <f>'Balance Sheet'!L28</f>
        <v>0</v>
      </c>
      <c r="M14" s="7">
        <f>'Balance Sheet'!M28</f>
        <v>0</v>
      </c>
      <c r="N14" s="7">
        <f>'Balance Sheet'!N28</f>
        <v>0</v>
      </c>
      <c r="O14" s="7">
        <f>O11+O12-O13</f>
        <v>0</v>
      </c>
      <c r="P14" s="7">
        <f t="shared" ref="P14:S14" si="6">P11+P12-P13</f>
        <v>0</v>
      </c>
      <c r="Q14" s="7">
        <f t="shared" si="6"/>
        <v>0</v>
      </c>
      <c r="R14" s="7">
        <f t="shared" si="6"/>
        <v>0</v>
      </c>
      <c r="S14" s="7">
        <f t="shared" si="6"/>
        <v>0</v>
      </c>
    </row>
    <row r="16" spans="1:19" x14ac:dyDescent="0.2">
      <c r="A16" s="9" t="s">
        <v>150</v>
      </c>
      <c r="F16" s="7">
        <f>AVERAGE(F5,F8,F11,F14)</f>
        <v>25.212499999999999</v>
      </c>
      <c r="G16" s="7">
        <f t="shared" ref="G16:S16" si="7">AVERAGE(G5,G8,G11,G14)</f>
        <v>65.652500000000003</v>
      </c>
      <c r="H16" s="7">
        <f t="shared" si="7"/>
        <v>80.177499999999995</v>
      </c>
      <c r="I16" s="7">
        <f t="shared" si="7"/>
        <v>61.967500000000001</v>
      </c>
      <c r="J16" s="7">
        <f t="shared" si="7"/>
        <v>24.892500000000002</v>
      </c>
      <c r="K16" s="7">
        <f t="shared" si="7"/>
        <v>28.582500000000003</v>
      </c>
      <c r="L16" s="7">
        <f t="shared" si="7"/>
        <v>26.662500000000001</v>
      </c>
      <c r="M16" s="7">
        <f t="shared" si="7"/>
        <v>1.7949999999999999</v>
      </c>
      <c r="N16" s="7">
        <f t="shared" si="7"/>
        <v>6.7025000000000006</v>
      </c>
      <c r="O16" s="7">
        <f t="shared" si="7"/>
        <v>11.3</v>
      </c>
      <c r="P16" s="7">
        <f t="shared" si="7"/>
        <v>11.3</v>
      </c>
      <c r="Q16" s="7">
        <f t="shared" si="7"/>
        <v>11.3</v>
      </c>
      <c r="R16" s="7">
        <f t="shared" si="7"/>
        <v>11.3</v>
      </c>
      <c r="S16" s="7">
        <f t="shared" si="7"/>
        <v>11.3</v>
      </c>
    </row>
    <row r="17" spans="1:19" x14ac:dyDescent="0.2">
      <c r="A17" s="9" t="s">
        <v>151</v>
      </c>
      <c r="F17" s="10">
        <f>PnL!F19/'Debt Schedule'!F16</f>
        <v>4.6028755577590479</v>
      </c>
      <c r="G17" s="10">
        <f>PnL!G19/'Debt Schedule'!G16</f>
        <v>1.0045314344465177</v>
      </c>
      <c r="H17" s="10">
        <f>PnL!H19/'Debt Schedule'!H16</f>
        <v>1.168407595647158</v>
      </c>
      <c r="I17" s="10">
        <f>PnL!I19/'Debt Schedule'!I16</f>
        <v>1.8834066244402305</v>
      </c>
      <c r="J17" s="10">
        <f>PnL!J19/'Debt Schedule'!J16</f>
        <v>1.9897559505875262</v>
      </c>
      <c r="K17" s="10">
        <f>PnL!K19/'Debt Schedule'!K16</f>
        <v>1.4935712411440565</v>
      </c>
      <c r="L17" s="10">
        <f>PnL!L19/'Debt Schedule'!L16</f>
        <v>1.3198312236286918</v>
      </c>
      <c r="M17" s="10">
        <f>PnL!M19/'Debt Schedule'!M16</f>
        <v>33.292479108635099</v>
      </c>
      <c r="N17" s="10">
        <f>PnL!N19/'Debt Schedule'!N16</f>
        <v>16.164117866467734</v>
      </c>
      <c r="O17" s="10">
        <f>AVERAGE(K17:N17)</f>
        <v>13.067499859968896</v>
      </c>
      <c r="P17" s="10">
        <f t="shared" ref="P17:S17" si="8">AVERAGE(L17:O17)</f>
        <v>15.960982014675105</v>
      </c>
      <c r="Q17" s="10">
        <f t="shared" si="8"/>
        <v>19.62126971243671</v>
      </c>
      <c r="R17" s="10">
        <f t="shared" si="8"/>
        <v>16.203467363387112</v>
      </c>
      <c r="S17" s="10">
        <f t="shared" si="8"/>
        <v>16.213304737616959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Balance Sheet</vt:lpstr>
      <vt:lpstr>PnL</vt:lpstr>
      <vt:lpstr>Cash Flow</vt:lpstr>
      <vt:lpstr>Asset Schedule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Choudhury</dc:creator>
  <cp:lastModifiedBy>Soham Choudhury</cp:lastModifiedBy>
  <dcterms:created xsi:type="dcterms:W3CDTF">2024-10-14T08:26:20Z</dcterms:created>
  <dcterms:modified xsi:type="dcterms:W3CDTF">2024-10-14T18:00:20Z</dcterms:modified>
</cp:coreProperties>
</file>