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CF Model" sheetId="1" r:id="rId4"/>
    <sheet state="visible" name="Discount Factor Calculation" sheetId="2" r:id="rId5"/>
  </sheets>
  <definedNames/>
  <calcPr/>
</workbook>
</file>

<file path=xl/sharedStrings.xml><?xml version="1.0" encoding="utf-8"?>
<sst xmlns="http://schemas.openxmlformats.org/spreadsheetml/2006/main" count="77" uniqueCount="77">
  <si>
    <t>Low</t>
  </si>
  <si>
    <t>Medium</t>
  </si>
  <si>
    <t>High</t>
  </si>
  <si>
    <t>TSLA Beta Value</t>
  </si>
  <si>
    <t xml:space="preserve">Risk Free Rate: </t>
  </si>
  <si>
    <t>Market Risk Premium</t>
  </si>
  <si>
    <t>Risk Adjusted Discount Rate</t>
  </si>
  <si>
    <t>Selected Risk Adjusted Discount Rate</t>
  </si>
  <si>
    <t xml:space="preserve">Contributors: </t>
  </si>
  <si>
    <t xml:space="preserve">Angus McLeod </t>
  </si>
  <si>
    <t>Anas Zerrouki</t>
  </si>
  <si>
    <t>Soham Ghose</t>
  </si>
  <si>
    <t>Assumptions:</t>
  </si>
  <si>
    <t>We've made several assumptions in order to make our predictions for Tesla's future revenue more plausible. First, we used the geometric average historical growth rates for revenue and cost of revenue, and simple average operating expenses from the previous 3 years to estimate the projected growth for the next 5 years. We created several scale factors in order to reflect how growth and expenses may taper off once a company is established and operating at scale. "Scale effect- Costs" accounts for lower costs over time due to economies of scale. "Scale effects - Sales" is used to account for the reduction in growth in sales overtime owing to the finite number of potential customers getting smaller with each year of growth. The Scale effect for costs, in our opinion, should affect cost of revenues and operating costs differently. It has a negative linear impact of cost of revenue and a decaying(square-root function) impact on operating expenses. This is because cost of revenues grows on the extensive margin, closely following the growth of revenue, but operating expenses is unlikely to grow as dramatically over time.  Additionally we created a COVID- 19 factor to show how the pandemic may negatively effect business operations. The factor initially dampens growth by 15% and reduces to 7.5% after one year.</t>
  </si>
  <si>
    <t>Average rate of Revenue Growth</t>
  </si>
  <si>
    <t xml:space="preserve">Average rate of COGS </t>
  </si>
  <si>
    <t xml:space="preserve">Average rate of Operating expense growth </t>
  </si>
  <si>
    <t>Ratio of OE Decay to Rev. Decay</t>
  </si>
  <si>
    <t>Scale Effect (Costs)</t>
  </si>
  <si>
    <t>Scale Effect (Sales)</t>
  </si>
  <si>
    <t>Tesla Discounted Cash Flow Analysis</t>
  </si>
  <si>
    <t>COVID-19 Effect</t>
  </si>
  <si>
    <t>Years of Prediction</t>
  </si>
  <si>
    <t>Total Revenue (in millions)</t>
  </si>
  <si>
    <t xml:space="preserve">    % change in revenue</t>
  </si>
  <si>
    <t>Cost of Revenues (in millions)</t>
  </si>
  <si>
    <t xml:space="preserve">    % change in cost of revenues</t>
  </si>
  <si>
    <t>Gross Profit</t>
  </si>
  <si>
    <t>Operating Expenses (in millions)</t>
  </si>
  <si>
    <t xml:space="preserve">    % change in operating expenses</t>
  </si>
  <si>
    <t xml:space="preserve">EBIT </t>
  </si>
  <si>
    <t xml:space="preserve">    % change in earnings before taxes</t>
  </si>
  <si>
    <t xml:space="preserve">   Income Tax Provision (in millions)</t>
  </si>
  <si>
    <t xml:space="preserve">     % change in taxes</t>
  </si>
  <si>
    <t>NOPAT</t>
  </si>
  <si>
    <t>(+) Depreciation &amp; Amortization</t>
  </si>
  <si>
    <t xml:space="preserve">         D&amp;A as % of revenue</t>
  </si>
  <si>
    <t>UNLEVERED FREE CASH FLOW</t>
  </si>
  <si>
    <t>Unlevered Free Cash Flows</t>
  </si>
  <si>
    <r>
      <rPr>
        <color rgb="FF000000"/>
      </rPr>
      <t>Present Value of C</t>
    </r>
    <r>
      <rPr>
        <color rgb="FF000000"/>
      </rPr>
      <t>ash Flows</t>
    </r>
  </si>
  <si>
    <t>Perpetuity Growth Method</t>
  </si>
  <si>
    <t>Discount Factor</t>
  </si>
  <si>
    <t xml:space="preserve">Cash </t>
  </si>
  <si>
    <t xml:space="preserve">The perpetuity growth method assumes that the company will continue its historic business and generate (Free Cash FLows) FCFs at a steady state forever. The terminal value (TV) captures the value of a business beyond the projection period in a DCF analysis, and is the present value of all subsequent cash flows. The Terminal Value is divided by the EBITDA of the 5th year, to arrive at the implied EBITDA multiplier. The enterprise value (EV) of the business is calculated by discounting the unlevered free cash flows (UFCFs) projected over the projection period and the terminal value calculated at the end of the projection period to their present values using the chosen discount rate (through WACC). Equity value is calculated by subtracting net debt from the computed EV. While considering which balance sheet items should be included in the calculation of net debt. Since all the current liabilities are already accounted and reflected in the EBIT values, we calculate Equity value using only non-current Liabilities. The "fair-value" stock price is calculated by dividing the Equity Value by the number of outstanding common stock shares. </t>
  </si>
  <si>
    <t>Total unlevered Cash flows</t>
  </si>
  <si>
    <t>Debt</t>
  </si>
  <si>
    <t>Total Present Value of Cash Flows</t>
  </si>
  <si>
    <t>Preferred stock</t>
  </si>
  <si>
    <t>Assumed Growth Rate</t>
  </si>
  <si>
    <t>Common Stock(Millions)</t>
  </si>
  <si>
    <t xml:space="preserve">Terminal Value </t>
  </si>
  <si>
    <t xml:space="preserve">EBITDA implied Multiplier </t>
  </si>
  <si>
    <t>PV of terminal Value</t>
  </si>
  <si>
    <t>PV of 5 year cash flows</t>
  </si>
  <si>
    <t>Enterprise value</t>
  </si>
  <si>
    <t xml:space="preserve">Equity value </t>
  </si>
  <si>
    <t>"Fair-Value" Stock Price</t>
  </si>
  <si>
    <t>Scenario Analysis</t>
  </si>
  <si>
    <t xml:space="preserve">For our scenario analysis we thought it would be interesting to investigate how Tesla's gross profit would be effected by COVID-19 over the next several years. While our original model estimated that COVID would have relatively short term impacts by reducing growth by 15% in the next year and only 7.5% the year after that, it is very possible that a pandemic of this size will create lasting obstacles that will hinder a company's ability to generate large profits. To represent this we increased our COVID parameter to an initial decrease in growth of 65% and decreases over time and lasts well into the future. </t>
  </si>
  <si>
    <t>COVID-19 Supply Issue:</t>
  </si>
  <si>
    <r>
      <t xml:space="preserve">More specifically speaking, Tesla has become increasingly reliant on their gigafactory in Shanghai. As of late, this Shanghai factory has been producing approximately 3,000 Model 3 vehicles per week, with new construction being undertaken as Tesla looks to double the factory in size in order to sufficiently account for Model Y production. For the time being, the gigafactory is able to alleviate any supply shock that the COVID-19 pandemic may have presented, but </t>
    </r>
    <r>
      <rPr>
        <b/>
      </rPr>
      <t>this is still at-risk</t>
    </r>
    <r>
      <t xml:space="preserve"> with new developments indicating that China has not fully dealt with COVID-19 as was previously reported. If a ramp-up in China's COVID-19 cases occurs, or a potential "second wave", Tesla's last hope at resuming full production disappears, especially since their other major factories in places like Fremont, CA and Buffalo, NY are already shut down. </t>
    </r>
  </si>
  <si>
    <t>Year</t>
  </si>
  <si>
    <t>Original Gross Profit</t>
  </si>
  <si>
    <t>Profit with Severe COVID Effect</t>
  </si>
  <si>
    <t>COVID-19 Demand Issue:</t>
  </si>
  <si>
    <r>
      <t xml:space="preserve">It goes without saying that, as the economy slips into a recession (or, worse, a "depression"), </t>
    </r>
    <r>
      <rPr>
        <b/>
      </rPr>
      <t>discretionary spending is likely to drop substantially.</t>
    </r>
    <r>
      <t xml:space="preserve"> Tesla's vehicles are already quite expensive as it is, meaning projected sales for Q2-Q4 could plummet. While Tesla reported a profit for the first time ever with this year's Q1 earnings report, Tesla states that quarterly revenue was "mainly impacted by lower deliveries, driven primarily by limitations on [their] ability to deliver vehicles towards the end of the quarter." In Q4 2019, Tesla delivered 112,000 vehicles, a much higher number than this past quarter's 88,400. The U.S. didn't begin to feel the commercial effects of the COVID-19 pandemic until March, so its expected that Elon Musk's target of 500,000 deliveries this year will be missed by a decent margin.
Another factor worth discussing is the catastrophic effects the coronavirus has left on the </t>
    </r>
    <r>
      <rPr>
        <b/>
      </rPr>
      <t>market for oil</t>
    </r>
    <r>
      <t xml:space="preserve">. Futures contracts for the West Texas Intermediate plummeted in the past weeks as a result of greatly reduced demand for oil (and, in turn, a surplus of oil supply), but a more tangible effect is reflected in substantially lowered gas prices across the country. This poses a threat to Tesla because cheaper gas reduces the incentive for purchasing electric vehicles (at least, for the time-being). It’s hard to account for the reduction in cash flows that this short-term demand shock may produce, so this could very easily throw off our numbers and generate a lower fair value for Tesla stock price.
</t>
    </r>
  </si>
  <si>
    <t>Comparable Companies</t>
  </si>
  <si>
    <t>Key Financial Ratios    (2019 data)</t>
  </si>
  <si>
    <t>Ford Motor Co.</t>
  </si>
  <si>
    <t>Tesla Motors</t>
  </si>
  <si>
    <t xml:space="preserve">We've selected Ford as our comparable company for several reasons. First, we thought it would be interesting to compare a relatively new car company like Tesla to a very old and established one like Ford Motors. Additionally, we chose Ford because there are rumors that the company will be releasing a line of hybrid and fully electric trucks and cars in order to compete with Tesla's growing line of vehicles. We've calculated six commonly used financial ratios in order to quickly compare the two companys' financial position. Starting with the current ratio, Ford and Tesla are actually quite similar, and hold just enough current assets to cover their current liabilities. However, moving on to return on assets and equity, the two companies tell very different stories. While Ford has relatively low return on assets and equity, they are at least positive numbers and show that Ford is a profitable company. Conversely, Tesla has negative return for both ratios because the company ended with a massive net loss for 2019. The companies ratios diverge even more drastically when looking at the PE ratio, calculated by dividing the stock price by the earnings per share. Because Tesla operated at a net loss for 2019 it again returns a negative number. So what do all of these ratios tell us? We believe that is clearly shows that financial stability is not the only thing that influences stock price. Although Ford is much more fiscally reliable, Tesla's stock price is nearly 200x higher. This shows how influential people's expectations can be on the stock market. Tesla's potential to be truly revolutionary in the future, assuming it doesn't go bankrupt, along with its frequent media exposure have clearly artificially driven up the stock price. </t>
  </si>
  <si>
    <t>Current Ratio</t>
  </si>
  <si>
    <t xml:space="preserve">Return on Assets </t>
  </si>
  <si>
    <t>Return on Equity</t>
  </si>
  <si>
    <t xml:space="preserve">Gross Margin </t>
  </si>
  <si>
    <t>Asset Turnover</t>
  </si>
  <si>
    <t>PE Ratio</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</si>
</sst>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_(&quot;$&quot;* #,##0.00_);_(&quot;$&quot;* \(#,##0.00\);_(&quot;$&quot;* &quot;-&quot;??_);_(@_)"/>
    <numFmt numFmtId="165" formatCode="_(&quot;$&quot;* #,##0_);_(&quot;$&quot;* \(#,##0\);_(&quot;$&quot;* &quot;-&quot;??_);_(@_)"/>
    <numFmt numFmtId="166" formatCode="&quot;$&quot;#,##0"/>
    <numFmt numFmtId="167" formatCode="_(&quot;$&quot;* #,##0.00_);_(&quot;$&quot;* \(#,##0.00\);_(&quot;$&quot;* &quot;-&quot;??.0_);_(@_)"/>
    <numFmt numFmtId="168" formatCode="0.0%"/>
  </numFmts>
  <fonts count="16">
    <font>
      <sz val="10.0"/>
      <color rgb="FF000000"/>
      <name val="Arial"/>
    </font>
    <font>
      <color theme="1"/>
      <name val="Arial"/>
    </font>
    <font/>
    <font>
      <sz val="9.0"/>
      <color theme="1"/>
      <name val="Arial"/>
    </font>
    <font>
      <b/>
      <color theme="1"/>
      <name val="Arial"/>
    </font>
    <font>
      <sz val="11.0"/>
      <color rgb="FF000000"/>
      <name val="Inconsolata"/>
    </font>
    <font>
      <color theme="1"/>
      <name val="Inconsolata"/>
    </font>
    <font>
      <b/>
      <sz val="14.0"/>
      <color theme="1"/>
      <name val="Arial"/>
    </font>
    <font>
      <i/>
      <color rgb="FF666666"/>
      <name val="Arial"/>
    </font>
    <font>
      <i/>
      <color rgb="FF999999"/>
      <name val="Arial"/>
    </font>
    <font>
      <i/>
      <color rgb="FFFFFFFF"/>
      <name val="Arial"/>
    </font>
    <font>
      <color rgb="FFFFFFFF"/>
      <name val="Arial"/>
    </font>
    <font>
      <b/>
      <color rgb="FF000000"/>
      <name val="Arial"/>
    </font>
    <font>
      <b/>
      <sz val="11.0"/>
      <color rgb="FF999999"/>
      <name val="Arial"/>
    </font>
    <font>
      <b/>
      <sz val="11.0"/>
      <color rgb="FF222222"/>
      <name val="Arial"/>
    </font>
    <font>
      <b/>
      <sz val="12.0"/>
      <color theme="1"/>
      <name val="Arial"/>
    </font>
  </fonts>
  <fills count="12">
    <fill>
      <patternFill patternType="none"/>
    </fill>
    <fill>
      <patternFill patternType="lightGray"/>
    </fill>
    <fill>
      <patternFill patternType="solid">
        <fgColor rgb="FFFFF2CC"/>
        <bgColor rgb="FFFFF2CC"/>
      </patternFill>
    </fill>
    <fill>
      <patternFill patternType="solid">
        <fgColor rgb="FFFFFFFF"/>
        <bgColor rgb="FFFFFFFF"/>
      </patternFill>
    </fill>
    <fill>
      <patternFill patternType="solid">
        <fgColor rgb="FFB6D7A8"/>
        <bgColor rgb="FFB6D7A8"/>
      </patternFill>
    </fill>
    <fill>
      <patternFill patternType="solid">
        <fgColor rgb="FFFFE599"/>
        <bgColor rgb="FFFFE599"/>
      </patternFill>
    </fill>
    <fill>
      <patternFill patternType="solid">
        <fgColor rgb="FFCFE2F3"/>
        <bgColor rgb="FFCFE2F3"/>
      </patternFill>
    </fill>
    <fill>
      <patternFill patternType="solid">
        <fgColor rgb="FFD9D9D9"/>
        <bgColor rgb="FFD9D9D9"/>
      </patternFill>
    </fill>
    <fill>
      <patternFill patternType="solid">
        <fgColor rgb="FFA4C2F4"/>
        <bgColor rgb="FFA4C2F4"/>
      </patternFill>
    </fill>
    <fill>
      <patternFill patternType="solid">
        <fgColor rgb="FFCCCCCC"/>
        <bgColor rgb="FFCCCCCC"/>
      </patternFill>
    </fill>
    <fill>
      <patternFill patternType="solid">
        <fgColor rgb="FF6FA8DC"/>
        <bgColor rgb="FF6FA8DC"/>
      </patternFill>
    </fill>
    <fill>
      <patternFill patternType="solid">
        <fgColor rgb="FF9FC5E8"/>
        <bgColor rgb="FF9FC5E8"/>
      </patternFill>
    </fill>
  </fills>
  <borders count="14">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bottom style="medium">
        <color rgb="FF000000"/>
      </bottom>
    </border>
  </borders>
  <cellStyleXfs count="1">
    <xf borderId="0" fillId="0" fontId="0" numFmtId="0" applyAlignment="1" applyFont="1"/>
  </cellStyleXfs>
  <cellXfs count="110">
    <xf borderId="0" fillId="0" fontId="0" numFmtId="0" xfId="0" applyAlignment="1" applyFont="1">
      <alignment readingOrder="0" shrinkToFit="0" vertical="bottom" wrapText="0"/>
    </xf>
    <xf borderId="1" fillId="0" fontId="1" numFmtId="0" xfId="0" applyBorder="1" applyFont="1"/>
    <xf borderId="1" fillId="0" fontId="1" numFmtId="0" xfId="0" applyAlignment="1" applyBorder="1" applyFont="1">
      <alignment readingOrder="0"/>
    </xf>
    <xf borderId="1" fillId="0" fontId="1" numFmtId="10" xfId="0" applyAlignment="1" applyBorder="1" applyFont="1" applyNumberFormat="1">
      <alignment readingOrder="0"/>
    </xf>
    <xf borderId="1" fillId="0" fontId="1" numFmtId="0" xfId="0" applyAlignment="1" applyBorder="1" applyFont="1">
      <alignment readingOrder="0" shrinkToFit="0" wrapText="1"/>
    </xf>
    <xf borderId="1" fillId="0" fontId="1" numFmtId="9" xfId="0" applyAlignment="1" applyBorder="1" applyFont="1" applyNumberFormat="1">
      <alignment readingOrder="0"/>
    </xf>
    <xf borderId="1" fillId="0" fontId="1" numFmtId="10" xfId="0" applyBorder="1" applyFont="1" applyNumberFormat="1"/>
    <xf borderId="2" fillId="2" fontId="1" numFmtId="0" xfId="0" applyAlignment="1" applyBorder="1" applyFill="1" applyFont="1">
      <alignment readingOrder="0"/>
    </xf>
    <xf borderId="3" fillId="0" fontId="2" numFmtId="0" xfId="0" applyBorder="1" applyFont="1"/>
    <xf borderId="1" fillId="2" fontId="1" numFmtId="10" xfId="0" applyBorder="1" applyFont="1" applyNumberFormat="1"/>
    <xf borderId="0" fillId="3" fontId="1" numFmtId="0" xfId="0" applyFill="1" applyFont="1"/>
    <xf borderId="0" fillId="3" fontId="3" numFmtId="0" xfId="0" applyAlignment="1" applyFont="1">
      <alignment readingOrder="0" shrinkToFit="0" wrapText="1"/>
    </xf>
    <xf borderId="2" fillId="4" fontId="1" numFmtId="0" xfId="0" applyAlignment="1" applyBorder="1" applyFill="1" applyFont="1">
      <alignment readingOrder="0"/>
    </xf>
    <xf borderId="4" fillId="4" fontId="1" numFmtId="0" xfId="0" applyAlignment="1" applyBorder="1" applyFont="1">
      <alignment readingOrder="0"/>
    </xf>
    <xf borderId="3" fillId="4" fontId="1" numFmtId="0" xfId="0" applyAlignment="1" applyBorder="1" applyFont="1">
      <alignment readingOrder="0"/>
    </xf>
    <xf borderId="2" fillId="0" fontId="4" numFmtId="0" xfId="0" applyAlignment="1" applyBorder="1" applyFont="1">
      <alignment readingOrder="0"/>
    </xf>
    <xf borderId="4" fillId="0" fontId="2" numFmtId="0" xfId="0" applyBorder="1" applyFont="1"/>
    <xf borderId="5" fillId="3" fontId="3" numFmtId="0" xfId="0" applyAlignment="1" applyBorder="1" applyFont="1">
      <alignment readingOrder="0" shrinkToFit="0" vertical="top" wrapText="1"/>
    </xf>
    <xf borderId="6" fillId="0" fontId="2" numFmtId="0" xfId="0" applyBorder="1" applyFont="1"/>
    <xf borderId="7" fillId="0" fontId="2" numFmtId="0" xfId="0" applyBorder="1" applyFont="1"/>
    <xf borderId="8" fillId="2" fontId="1" numFmtId="0" xfId="0" applyAlignment="1" applyBorder="1" applyFont="1">
      <alignment readingOrder="0"/>
    </xf>
    <xf borderId="6" fillId="2" fontId="1" numFmtId="0" xfId="0" applyBorder="1" applyFont="1"/>
    <xf borderId="7" fillId="2" fontId="1" numFmtId="10" xfId="0" applyBorder="1" applyFont="1" applyNumberFormat="1"/>
    <xf borderId="8" fillId="0" fontId="2" numFmtId="0" xfId="0" applyBorder="1" applyFont="1"/>
    <xf borderId="9" fillId="0" fontId="2" numFmtId="0" xfId="0" applyBorder="1" applyFont="1"/>
    <xf borderId="0" fillId="2" fontId="1" numFmtId="0" xfId="0" applyFont="1"/>
    <xf borderId="9" fillId="2" fontId="1" numFmtId="10" xfId="0" applyBorder="1" applyFont="1" applyNumberFormat="1"/>
    <xf borderId="10" fillId="2" fontId="1" numFmtId="0" xfId="0" applyAlignment="1" applyBorder="1" applyFont="1">
      <alignment readingOrder="0"/>
    </xf>
    <xf borderId="11" fillId="2" fontId="1" numFmtId="0" xfId="0" applyBorder="1" applyFont="1"/>
    <xf borderId="12" fillId="2" fontId="1" numFmtId="0" xfId="0" applyAlignment="1" applyBorder="1" applyFont="1">
      <alignment readingOrder="0"/>
    </xf>
    <xf borderId="10" fillId="0" fontId="2" numFmtId="0" xfId="0" applyBorder="1" applyFont="1"/>
    <xf borderId="11" fillId="0" fontId="2" numFmtId="0" xfId="0" applyBorder="1" applyFont="1"/>
    <xf borderId="12" fillId="0" fontId="2" numFmtId="0" xfId="0" applyBorder="1" applyFont="1"/>
    <xf borderId="2" fillId="5" fontId="1" numFmtId="10" xfId="0" applyAlignment="1" applyBorder="1" applyFill="1" applyFont="1" applyNumberFormat="1">
      <alignment horizontal="center" readingOrder="0"/>
    </xf>
    <xf borderId="1" fillId="5" fontId="5" numFmtId="10" xfId="0" applyAlignment="1" applyBorder="1" applyFont="1" applyNumberFormat="1">
      <alignment readingOrder="0"/>
    </xf>
    <xf borderId="0" fillId="3" fontId="5" numFmtId="10" xfId="0" applyAlignment="1" applyFont="1" applyNumberFormat="1">
      <alignment readingOrder="0"/>
    </xf>
    <xf borderId="1" fillId="5" fontId="6" numFmtId="10" xfId="0" applyBorder="1" applyFont="1" applyNumberFormat="1"/>
    <xf borderId="0" fillId="3" fontId="1" numFmtId="10" xfId="0" applyAlignment="1" applyFont="1" applyNumberFormat="1">
      <alignment readingOrder="0"/>
    </xf>
    <xf borderId="0" fillId="0" fontId="7" numFmtId="0" xfId="0" applyAlignment="1" applyFont="1">
      <alignment readingOrder="0"/>
    </xf>
    <xf borderId="1" fillId="5" fontId="6" numFmtId="10" xfId="0" applyAlignment="1" applyBorder="1" applyFont="1" applyNumberFormat="1">
      <alignment readingOrder="0"/>
    </xf>
    <xf borderId="2" fillId="5" fontId="1" numFmtId="0" xfId="0" applyAlignment="1" applyBorder="1" applyFont="1">
      <alignment horizontal="center" readingOrder="0"/>
    </xf>
    <xf borderId="1" fillId="5" fontId="1" numFmtId="0" xfId="0" applyAlignment="1" applyBorder="1" applyFont="1">
      <alignment readingOrder="0"/>
    </xf>
    <xf borderId="1" fillId="5" fontId="1" numFmtId="0" xfId="0" applyBorder="1" applyFont="1"/>
    <xf borderId="0" fillId="6" fontId="4" numFmtId="0" xfId="0" applyAlignment="1" applyFill="1" applyFont="1">
      <alignment readingOrder="0"/>
    </xf>
    <xf borderId="0" fillId="7" fontId="4" numFmtId="0" xfId="0" applyAlignment="1" applyFill="1" applyFont="1">
      <alignment readingOrder="0"/>
    </xf>
    <xf borderId="0" fillId="0" fontId="1" numFmtId="0" xfId="0" applyAlignment="1" applyFont="1">
      <alignment readingOrder="0"/>
    </xf>
    <xf borderId="0" fillId="0" fontId="1" numFmtId="164" xfId="0" applyAlignment="1" applyFont="1" applyNumberFormat="1">
      <alignment readingOrder="0"/>
    </xf>
    <xf borderId="0" fillId="6" fontId="1" numFmtId="164" xfId="0" applyAlignment="1" applyFont="1" applyNumberFormat="1">
      <alignment readingOrder="0"/>
    </xf>
    <xf borderId="0" fillId="7" fontId="1" numFmtId="164" xfId="0" applyFont="1" applyNumberFormat="1"/>
    <xf borderId="0" fillId="3" fontId="1" numFmtId="164" xfId="0" applyFont="1" applyNumberFormat="1"/>
    <xf borderId="0" fillId="0" fontId="8" numFmtId="0" xfId="0" applyAlignment="1" applyFont="1">
      <alignment readingOrder="0"/>
    </xf>
    <xf borderId="0" fillId="0" fontId="8" numFmtId="0" xfId="0" applyFont="1"/>
    <xf borderId="0" fillId="6" fontId="8" numFmtId="10" xfId="0" applyAlignment="1" applyFont="1" applyNumberFormat="1">
      <alignment readingOrder="0"/>
    </xf>
    <xf borderId="0" fillId="6" fontId="8" numFmtId="10" xfId="0" applyFont="1" applyNumberFormat="1"/>
    <xf borderId="0" fillId="7" fontId="8" numFmtId="10" xfId="0" applyFont="1" applyNumberFormat="1"/>
    <xf borderId="0" fillId="3" fontId="9" numFmtId="10" xfId="0" applyFont="1" applyNumberFormat="1"/>
    <xf borderId="0" fillId="6" fontId="1" numFmtId="165" xfId="0" applyAlignment="1" applyFont="1" applyNumberFormat="1">
      <alignment readingOrder="0"/>
    </xf>
    <xf borderId="0" fillId="6" fontId="1" numFmtId="10" xfId="0" applyFont="1" applyNumberFormat="1"/>
    <xf borderId="0" fillId="7" fontId="1" numFmtId="0" xfId="0" applyFont="1"/>
    <xf borderId="0" fillId="0" fontId="1" numFmtId="166" xfId="0" applyAlignment="1" applyFont="1" applyNumberFormat="1">
      <alignment readingOrder="0"/>
    </xf>
    <xf borderId="0" fillId="3" fontId="10" numFmtId="10" xfId="0" applyFont="1" applyNumberFormat="1"/>
    <xf borderId="0" fillId="6" fontId="1" numFmtId="165" xfId="0" applyFont="1" applyNumberFormat="1"/>
    <xf borderId="0" fillId="7" fontId="1" numFmtId="165" xfId="0" applyFont="1" applyNumberFormat="1"/>
    <xf borderId="0" fillId="3" fontId="11" numFmtId="0" xfId="0" applyFont="1"/>
    <xf borderId="0" fillId="3" fontId="11" numFmtId="164" xfId="0" applyFont="1" applyNumberFormat="1"/>
    <xf borderId="0" fillId="6" fontId="1" numFmtId="0" xfId="0" applyFont="1"/>
    <xf borderId="0" fillId="0" fontId="1" numFmtId="0" xfId="0" applyAlignment="1" applyFont="1">
      <alignment readingOrder="0"/>
    </xf>
    <xf borderId="0" fillId="6" fontId="8" numFmtId="0" xfId="0" applyFont="1"/>
    <xf borderId="0" fillId="3" fontId="1" numFmtId="10" xfId="0" applyFont="1" applyNumberFormat="1"/>
    <xf borderId="13" fillId="0" fontId="4" numFmtId="0" xfId="0" applyAlignment="1" applyBorder="1" applyFont="1">
      <alignment readingOrder="0"/>
    </xf>
    <xf borderId="13" fillId="0" fontId="1" numFmtId="0" xfId="0" applyBorder="1" applyFont="1"/>
    <xf borderId="13" fillId="6" fontId="1" numFmtId="165" xfId="0" applyBorder="1" applyFont="1" applyNumberFormat="1"/>
    <xf borderId="13" fillId="7" fontId="1" numFmtId="164" xfId="0" applyBorder="1" applyFont="1" applyNumberFormat="1"/>
    <xf borderId="0" fillId="0" fontId="4" numFmtId="0" xfId="0" applyFont="1"/>
    <xf borderId="0" fillId="0" fontId="4" numFmtId="0" xfId="0" applyAlignment="1" applyFont="1">
      <alignment readingOrder="0"/>
    </xf>
    <xf borderId="0" fillId="7" fontId="8" numFmtId="9" xfId="0" applyAlignment="1" applyFont="1" applyNumberFormat="1">
      <alignment readingOrder="0"/>
    </xf>
    <xf borderId="13" fillId="6" fontId="1" numFmtId="0" xfId="0" applyBorder="1" applyFont="1"/>
    <xf borderId="13" fillId="7" fontId="1" numFmtId="0" xfId="0" applyBorder="1" applyFont="1"/>
    <xf borderId="0" fillId="0" fontId="12" numFmtId="0" xfId="0" applyAlignment="1" applyFont="1">
      <alignment readingOrder="0"/>
    </xf>
    <xf borderId="0" fillId="6" fontId="1" numFmtId="164" xfId="0" applyFont="1" applyNumberFormat="1"/>
    <xf borderId="0" fillId="0" fontId="1" numFmtId="164" xfId="0" applyFont="1" applyNumberFormat="1"/>
    <xf borderId="0" fillId="8" fontId="13" numFmtId="0" xfId="0" applyAlignment="1" applyFill="1" applyFont="1">
      <alignment readingOrder="0"/>
    </xf>
    <xf borderId="0" fillId="8" fontId="1" numFmtId="0" xfId="0" applyFont="1"/>
    <xf borderId="0" fillId="8" fontId="4" numFmtId="0" xfId="0" applyAlignment="1" applyFont="1">
      <alignment horizontal="right" readingOrder="0"/>
    </xf>
    <xf borderId="0" fillId="8" fontId="12" numFmtId="0" xfId="0" applyAlignment="1" applyFont="1">
      <alignment readingOrder="0"/>
    </xf>
    <xf borderId="0" fillId="9" fontId="1" numFmtId="164" xfId="0" applyFill="1" applyFont="1" applyNumberFormat="1"/>
    <xf borderId="0" fillId="9" fontId="1" numFmtId="167" xfId="0" applyFont="1" applyNumberFormat="1"/>
    <xf borderId="0" fillId="8" fontId="14" numFmtId="0" xfId="0" applyAlignment="1" applyFont="1">
      <alignment horizontal="left" readingOrder="0"/>
    </xf>
    <xf borderId="1" fillId="2" fontId="1" numFmtId="168" xfId="0" applyAlignment="1" applyBorder="1" applyFont="1" applyNumberFormat="1">
      <alignment readingOrder="0"/>
    </xf>
    <xf borderId="0" fillId="0" fontId="1" numFmtId="168" xfId="0" applyAlignment="1" applyFont="1" applyNumberFormat="1">
      <alignment readingOrder="0"/>
    </xf>
    <xf borderId="1" fillId="2" fontId="1" numFmtId="0" xfId="0" applyAlignment="1" applyBorder="1" applyFont="1">
      <alignment readingOrder="0"/>
    </xf>
    <xf borderId="1" fillId="2" fontId="1" numFmtId="165" xfId="0" applyAlignment="1" applyBorder="1" applyFont="1" applyNumberFormat="1">
      <alignment readingOrder="0"/>
    </xf>
    <xf borderId="5" fillId="0" fontId="1" numFmtId="0" xfId="0" applyAlignment="1" applyBorder="1" applyFont="1">
      <alignment horizontal="left" readingOrder="0" shrinkToFit="0" vertical="top" wrapText="1"/>
    </xf>
    <xf borderId="1" fillId="2" fontId="1" numFmtId="0" xfId="0" applyBorder="1" applyFont="1"/>
    <xf borderId="1" fillId="2" fontId="1" numFmtId="165" xfId="0" applyBorder="1" applyFont="1" applyNumberFormat="1"/>
    <xf borderId="1" fillId="2" fontId="1" numFmtId="10" xfId="0" applyAlignment="1" applyBorder="1" applyFont="1" applyNumberFormat="1">
      <alignment readingOrder="0"/>
    </xf>
    <xf borderId="2" fillId="2" fontId="1" numFmtId="0" xfId="0" applyAlignment="1" applyBorder="1" applyFont="1">
      <alignment readingOrder="0" shrinkToFit="0" wrapText="1"/>
    </xf>
    <xf borderId="2" fillId="2" fontId="1" numFmtId="0" xfId="0" applyAlignment="1" applyBorder="1" applyFont="1">
      <alignment readingOrder="0" shrinkToFit="0" wrapText="0"/>
    </xf>
    <xf borderId="1" fillId="2" fontId="1" numFmtId="4" xfId="0" applyBorder="1" applyFont="1" applyNumberFormat="1"/>
    <xf borderId="2" fillId="4" fontId="1" numFmtId="0" xfId="0" applyAlignment="1" applyBorder="1" applyFont="1">
      <alignment readingOrder="0" shrinkToFit="0" wrapText="1"/>
    </xf>
    <xf borderId="1" fillId="4" fontId="1" numFmtId="165" xfId="0" applyBorder="1" applyFont="1" applyNumberFormat="1"/>
    <xf borderId="0" fillId="10" fontId="15" numFmtId="0" xfId="0" applyAlignment="1" applyFill="1" applyFont="1">
      <alignment readingOrder="0"/>
    </xf>
    <xf borderId="0" fillId="10" fontId="1" numFmtId="0" xfId="0" applyFont="1"/>
    <xf borderId="0" fillId="0" fontId="1" numFmtId="0" xfId="0" applyAlignment="1" applyFont="1">
      <alignment readingOrder="0" shrinkToFit="0" wrapText="1"/>
    </xf>
    <xf borderId="0" fillId="0" fontId="1" numFmtId="0" xfId="0" applyAlignment="1" applyFont="1">
      <alignment readingOrder="0" shrinkToFit="0" vertical="top" wrapText="1"/>
    </xf>
    <xf borderId="0" fillId="11" fontId="1" numFmtId="0" xfId="0" applyAlignment="1" applyFill="1" applyFont="1">
      <alignment readingOrder="0" shrinkToFit="0" wrapText="1"/>
    </xf>
    <xf borderId="0" fillId="11" fontId="1" numFmtId="0" xfId="0" applyAlignment="1" applyFont="1">
      <alignment readingOrder="0"/>
    </xf>
    <xf borderId="5" fillId="0" fontId="1" numFmtId="0" xfId="0" applyAlignment="1" applyBorder="1" applyFont="1">
      <alignment readingOrder="0" shrinkToFit="0" wrapText="1"/>
    </xf>
    <xf borderId="0" fillId="5" fontId="1" numFmtId="0" xfId="0" applyAlignment="1" applyFont="1">
      <alignment readingOrder="0"/>
    </xf>
    <xf borderId="0" fillId="5" fontId="1" numFmtId="10" xfId="0" applyAlignment="1" applyFont="1" applyNumberFormat="1">
      <alignment readingOrder="0"/>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
    <tableStyle count="3" pivot="0" name="DCF Model-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serif"/>
              </a:defRPr>
            </a:pPr>
            <a:r>
              <a:t>Tesla Gross Profit with Varying COVID Effects</a:t>
            </a:r>
          </a:p>
        </c:rich>
      </c:tx>
      <c:overlay val="0"/>
    </c:title>
    <c:plotArea>
      <c:layout/>
      <c:lineChart>
        <c:ser>
          <c:idx val="0"/>
          <c:order val="0"/>
          <c:marker>
            <c:symbol val="none"/>
          </c:marker>
          <c:cat>
            <c:strRef>
              <c:f>'DCF Model'!$D$72:$H$72</c:f>
            </c:strRef>
          </c:cat>
          <c:val>
            <c:numRef>
              <c:f>'DCF Model'!$D$73:$H$73</c:f>
            </c:numRef>
          </c:val>
          <c:smooth val="0"/>
        </c:ser>
        <c:ser>
          <c:idx val="1"/>
          <c:order val="1"/>
          <c:marker>
            <c:symbol val="none"/>
          </c:marker>
          <c:cat>
            <c:strRef>
              <c:f>'DCF Model'!$D$72:$H$72</c:f>
            </c:strRef>
          </c:cat>
          <c:val>
            <c:numRef>
              <c:f>'DCF Model'!$D$74:$H$74</c:f>
            </c:numRef>
          </c:val>
          <c:smooth val="0"/>
        </c:ser>
        <c:axId val="1976764579"/>
        <c:axId val="1749045001"/>
      </c:lineChart>
      <c:catAx>
        <c:axId val="1976764579"/>
        <c:scaling>
          <c:orientation val="minMax"/>
        </c:scaling>
        <c:delete val="0"/>
        <c:axPos val="b"/>
        <c:title>
          <c:tx>
            <c:rich>
              <a:bodyPr/>
              <a:lstStyle/>
              <a:p>
                <a:pPr lvl="0">
                  <a:defRPr b="0">
                    <a:solidFill>
                      <a:srgbClr val="000000"/>
                    </a:solidFill>
                    <a:latin typeface="+mn-lt"/>
                  </a:defRPr>
                </a:pPr>
                <a:r>
                  <a:t>Year</a:t>
                </a:r>
              </a:p>
            </c:rich>
          </c:tx>
          <c:overlay val="0"/>
        </c:title>
        <c:majorTickMark val="none"/>
        <c:minorTickMark val="none"/>
        <c:spPr/>
        <c:txPr>
          <a:bodyPr/>
          <a:lstStyle/>
          <a:p>
            <a:pPr lvl="0">
              <a:defRPr b="0">
                <a:solidFill>
                  <a:srgbClr val="000000"/>
                </a:solidFill>
                <a:latin typeface="+mn-lt"/>
              </a:defRPr>
            </a:pPr>
          </a:p>
        </c:txPr>
        <c:crossAx val="1749045001"/>
      </c:catAx>
      <c:valAx>
        <c:axId val="174904500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Gross Profit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76764579"/>
      </c:valAx>
    </c:plotArea>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95250</xdr:colOff>
      <xdr:row>74</xdr:row>
      <xdr:rowOff>161925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B62:B63" displayName="Table_1" id="1">
  <tableColumns count="1">
    <tableColumn name="Column1" id="1"/>
  </tableColumns>
  <tableStyleInfo name="DCF Model-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8" max="8" width="15.57"/>
    <col customWidth="1" min="11" max="11" width="14.57"/>
  </cols>
  <sheetData>
    <row r="1">
      <c r="J1" s="10"/>
      <c r="K1" s="11"/>
      <c r="L1" s="11"/>
      <c r="M1" s="11"/>
      <c r="N1" s="11"/>
      <c r="O1" s="11"/>
      <c r="P1" s="11"/>
      <c r="Q1" s="10"/>
      <c r="R1" s="10"/>
    </row>
    <row r="2">
      <c r="A2" s="12" t="s">
        <v>8</v>
      </c>
      <c r="B2" s="12" t="s">
        <v>9</v>
      </c>
      <c r="C2" s="13" t="s">
        <v>10</v>
      </c>
      <c r="D2" s="14" t="s">
        <v>11</v>
      </c>
      <c r="J2" s="10"/>
      <c r="K2" s="11"/>
      <c r="L2" s="11"/>
      <c r="M2" s="11"/>
      <c r="N2" s="11"/>
      <c r="O2" s="11"/>
      <c r="P2" s="11"/>
      <c r="Q2" s="10"/>
      <c r="R2" s="10"/>
    </row>
    <row r="3">
      <c r="J3" s="10"/>
      <c r="K3" s="11"/>
      <c r="L3" s="11"/>
      <c r="M3" s="11"/>
      <c r="N3" s="11"/>
      <c r="O3" s="11"/>
      <c r="P3" s="11"/>
      <c r="Q3" s="10"/>
      <c r="R3" s="10"/>
    </row>
    <row r="4">
      <c r="J4" s="10"/>
      <c r="K4" s="11"/>
      <c r="L4" s="11"/>
      <c r="M4" s="11"/>
      <c r="N4" s="11"/>
      <c r="O4" s="11"/>
      <c r="P4" s="11"/>
      <c r="Q4" s="10"/>
      <c r="R4" s="10"/>
    </row>
    <row r="5">
      <c r="B5" s="15" t="s">
        <v>12</v>
      </c>
      <c r="C5" s="16"/>
      <c r="D5" s="8"/>
      <c r="E5" s="17" t="s">
        <v>13</v>
      </c>
      <c r="F5" s="18"/>
      <c r="G5" s="18"/>
      <c r="H5" s="18"/>
      <c r="I5" s="18"/>
      <c r="J5" s="18"/>
      <c r="K5" s="18"/>
      <c r="L5" s="18"/>
      <c r="M5" s="18"/>
      <c r="N5" s="18"/>
      <c r="O5" s="18"/>
      <c r="P5" s="19"/>
    </row>
    <row r="6">
      <c r="B6" s="20" t="s">
        <v>14</v>
      </c>
      <c r="C6" s="21"/>
      <c r="D6" s="22">
        <f>GEOMEAN(F16:I16)</f>
        <v>0.4932634076</v>
      </c>
      <c r="E6" s="23"/>
      <c r="P6" s="24"/>
    </row>
    <row r="7">
      <c r="B7" s="20" t="s">
        <v>15</v>
      </c>
      <c r="C7" s="25"/>
      <c r="D7" s="26">
        <f>GEOMEAN(F19:I19)</f>
        <v>0.5349422623</v>
      </c>
      <c r="E7" s="23"/>
      <c r="P7" s="24"/>
    </row>
    <row r="8">
      <c r="B8" s="20" t="s">
        <v>16</v>
      </c>
      <c r="C8" s="25"/>
      <c r="D8" s="26">
        <f>AVERAGE(F24:I24)</f>
        <v>0.2915069851</v>
      </c>
      <c r="E8" s="23"/>
      <c r="P8" s="24"/>
    </row>
    <row r="9">
      <c r="B9" s="27" t="s">
        <v>17</v>
      </c>
      <c r="C9" s="28"/>
      <c r="D9" s="29">
        <v>0.4</v>
      </c>
      <c r="E9" s="30"/>
      <c r="F9" s="31"/>
      <c r="G9" s="31"/>
      <c r="H9" s="31"/>
      <c r="I9" s="31"/>
      <c r="J9" s="31"/>
      <c r="K9" s="31"/>
      <c r="L9" s="31"/>
      <c r="M9" s="31"/>
      <c r="N9" s="31"/>
      <c r="O9" s="31"/>
      <c r="P9" s="32"/>
    </row>
    <row r="10">
      <c r="F10" s="33" t="s">
        <v>18</v>
      </c>
      <c r="G10" s="16"/>
      <c r="H10" s="16"/>
      <c r="I10" s="8"/>
      <c r="J10" s="34">
        <f t="shared" ref="J10:N10" si="1">1% *J13</f>
        <v>0.01</v>
      </c>
      <c r="K10" s="34">
        <f t="shared" si="1"/>
        <v>0.02</v>
      </c>
      <c r="L10" s="34">
        <f t="shared" si="1"/>
        <v>0.03</v>
      </c>
      <c r="M10" s="34">
        <f t="shared" si="1"/>
        <v>0.04</v>
      </c>
      <c r="N10" s="34">
        <f t="shared" si="1"/>
        <v>0.05</v>
      </c>
      <c r="O10" s="35"/>
      <c r="P10" s="35"/>
      <c r="Q10" s="35"/>
      <c r="R10" s="35"/>
      <c r="S10" s="35"/>
    </row>
    <row r="11">
      <c r="F11" s="33" t="s">
        <v>19</v>
      </c>
      <c r="G11" s="16"/>
      <c r="H11" s="16"/>
      <c r="I11" s="8"/>
      <c r="J11" s="36">
        <f t="shared" ref="J11:N11" si="2">(2%*J13)</f>
        <v>0.02</v>
      </c>
      <c r="K11" s="36">
        <f t="shared" si="2"/>
        <v>0.04</v>
      </c>
      <c r="L11" s="36">
        <f t="shared" si="2"/>
        <v>0.06</v>
      </c>
      <c r="M11" s="36">
        <f t="shared" si="2"/>
        <v>0.08</v>
      </c>
      <c r="N11" s="36">
        <f t="shared" si="2"/>
        <v>0.1</v>
      </c>
      <c r="O11" s="37"/>
      <c r="P11" s="37"/>
      <c r="Q11" s="37"/>
      <c r="R11" s="37"/>
      <c r="S11" s="37"/>
      <c r="T11" s="10"/>
      <c r="U11" s="10"/>
    </row>
    <row r="12">
      <c r="B12" s="38" t="s">
        <v>20</v>
      </c>
      <c r="F12" s="33" t="s">
        <v>21</v>
      </c>
      <c r="G12" s="16"/>
      <c r="H12" s="16"/>
      <c r="I12" s="8"/>
      <c r="J12" s="39">
        <f t="shared" ref="J12:K12" si="3"> -(15%)^1/J13</f>
        <v>-0.15</v>
      </c>
      <c r="K12" s="39">
        <f t="shared" si="3"/>
        <v>-0.075</v>
      </c>
      <c r="L12" s="39">
        <v>0.0</v>
      </c>
      <c r="M12" s="39">
        <v>0.0</v>
      </c>
      <c r="N12" s="39">
        <v>0.0</v>
      </c>
      <c r="O12" s="37"/>
      <c r="P12" s="37"/>
      <c r="Q12" s="37"/>
      <c r="R12" s="37"/>
      <c r="S12" s="37"/>
      <c r="T12" s="10"/>
      <c r="U12" s="10"/>
    </row>
    <row r="13">
      <c r="F13" s="40" t="s">
        <v>22</v>
      </c>
      <c r="G13" s="16"/>
      <c r="H13" s="16"/>
      <c r="I13" s="8"/>
      <c r="J13" s="41">
        <v>1.0</v>
      </c>
      <c r="K13" s="42">
        <f t="shared" ref="K13:N13" si="4">1+J13</f>
        <v>2</v>
      </c>
      <c r="L13" s="42">
        <f t="shared" si="4"/>
        <v>3</v>
      </c>
      <c r="M13" s="42">
        <f t="shared" si="4"/>
        <v>4</v>
      </c>
      <c r="N13" s="42">
        <f t="shared" si="4"/>
        <v>5</v>
      </c>
      <c r="O13" s="10"/>
      <c r="P13" s="10"/>
      <c r="Q13" s="10"/>
      <c r="R13" s="10"/>
      <c r="S13" s="10"/>
      <c r="T13" s="10"/>
      <c r="U13" s="10"/>
    </row>
    <row r="14">
      <c r="F14" s="43">
        <v>2016.0</v>
      </c>
      <c r="G14" s="43">
        <v>2017.0</v>
      </c>
      <c r="H14" s="43">
        <v>2018.0</v>
      </c>
      <c r="I14" s="43">
        <v>2019.0</v>
      </c>
      <c r="J14" s="44">
        <v>2020.0</v>
      </c>
      <c r="K14" s="44">
        <v>2021.0</v>
      </c>
      <c r="L14" s="44">
        <v>2022.0</v>
      </c>
      <c r="M14" s="44">
        <v>2023.0</v>
      </c>
      <c r="N14" s="44">
        <v>2024.0</v>
      </c>
      <c r="O14" s="10"/>
      <c r="P14" s="10"/>
      <c r="Q14" s="10"/>
      <c r="R14" s="10"/>
      <c r="S14" s="10"/>
      <c r="T14" s="10"/>
      <c r="U14" s="10"/>
    </row>
    <row r="15">
      <c r="B15" s="45" t="s">
        <v>23</v>
      </c>
      <c r="E15" s="46"/>
      <c r="F15" s="47">
        <v>7000.0</v>
      </c>
      <c r="G15" s="47">
        <v>11579.0</v>
      </c>
      <c r="H15" s="47">
        <v>21461.0</v>
      </c>
      <c r="I15" s="47">
        <v>24578.0</v>
      </c>
      <c r="J15" s="48">
        <f t="shared" ref="J15:N15" si="5">(1+$D$6 -J11 +J12)*I15</f>
        <v>32523.16803</v>
      </c>
      <c r="K15" s="48">
        <f t="shared" si="5"/>
        <v>44825.4924</v>
      </c>
      <c r="L15" s="48">
        <f t="shared" si="5"/>
        <v>64246.73798</v>
      </c>
      <c r="M15" s="48">
        <f t="shared" si="5"/>
        <v>90797.56385</v>
      </c>
      <c r="N15" s="48">
        <f t="shared" si="5"/>
        <v>126504.9232</v>
      </c>
      <c r="O15" s="49"/>
      <c r="P15" s="49"/>
      <c r="Q15" s="49"/>
      <c r="R15" s="49"/>
      <c r="S15" s="49"/>
      <c r="T15" s="10"/>
      <c r="U15" s="10"/>
    </row>
    <row r="16">
      <c r="B16" s="50" t="s">
        <v>24</v>
      </c>
      <c r="C16" s="51"/>
      <c r="D16" s="51"/>
      <c r="E16" s="51"/>
      <c r="F16" s="52">
        <v>0.7301</v>
      </c>
      <c r="G16" s="53">
        <f t="shared" ref="G16:N16" si="6">(G15-F15)/F15</f>
        <v>0.6541428571</v>
      </c>
      <c r="H16" s="53">
        <f t="shared" si="6"/>
        <v>0.8534415753</v>
      </c>
      <c r="I16" s="53">
        <f t="shared" si="6"/>
        <v>0.1452402032</v>
      </c>
      <c r="J16" s="54">
        <f t="shared" si="6"/>
        <v>0.3232634076</v>
      </c>
      <c r="K16" s="54">
        <f t="shared" si="6"/>
        <v>0.3782634076</v>
      </c>
      <c r="L16" s="54">
        <f t="shared" si="6"/>
        <v>0.4332634076</v>
      </c>
      <c r="M16" s="54">
        <f t="shared" si="6"/>
        <v>0.4132634076</v>
      </c>
      <c r="N16" s="54">
        <f t="shared" si="6"/>
        <v>0.3932634076</v>
      </c>
      <c r="O16" s="55"/>
      <c r="P16" s="55"/>
      <c r="Q16" s="55"/>
      <c r="R16" s="55"/>
      <c r="S16" s="55"/>
      <c r="T16" s="10"/>
      <c r="U16" s="10"/>
    </row>
    <row r="17">
      <c r="F17" s="56"/>
      <c r="G17" s="57"/>
      <c r="H17" s="57"/>
      <c r="I17" s="57"/>
      <c r="J17" s="58"/>
      <c r="K17" s="58"/>
      <c r="L17" s="58"/>
      <c r="M17" s="58"/>
      <c r="N17" s="58"/>
      <c r="O17" s="10"/>
      <c r="P17" s="10"/>
      <c r="Q17" s="10"/>
      <c r="R17" s="10"/>
      <c r="S17" s="10"/>
      <c r="T17" s="10"/>
      <c r="U17" s="10"/>
    </row>
    <row r="18">
      <c r="B18" s="45" t="s">
        <v>25</v>
      </c>
      <c r="E18" s="59"/>
      <c r="F18" s="47">
        <v>5401.0</v>
      </c>
      <c r="G18" s="47">
        <v>9536.0</v>
      </c>
      <c r="H18" s="47">
        <v>17419.0</v>
      </c>
      <c r="I18" s="47">
        <v>20509.0</v>
      </c>
      <c r="J18" s="48">
        <f t="shared" ref="J18:N18" si="7">(1+$D$7 - J11+J12 -J10)*I18</f>
        <v>27788.51086</v>
      </c>
      <c r="K18" s="48">
        <f t="shared" si="7"/>
        <v>38902.31075</v>
      </c>
      <c r="L18" s="48">
        <f t="shared" si="7"/>
        <v>56211.59291</v>
      </c>
      <c r="M18" s="48">
        <f t="shared" si="7"/>
        <v>79536.15844</v>
      </c>
      <c r="N18" s="48">
        <f t="shared" si="7"/>
        <v>110152.9872</v>
      </c>
      <c r="O18" s="49"/>
      <c r="P18" s="49"/>
      <c r="Q18" s="49"/>
      <c r="R18" s="49"/>
      <c r="S18" s="49"/>
      <c r="T18" s="10"/>
      <c r="U18" s="10"/>
    </row>
    <row r="19">
      <c r="B19" s="50" t="s">
        <v>26</v>
      </c>
      <c r="C19" s="51"/>
      <c r="D19" s="51"/>
      <c r="E19" s="51"/>
      <c r="F19" s="52">
        <v>0.7294</v>
      </c>
      <c r="G19" s="53">
        <f t="shared" ref="G19:N19" si="8">(G18-F18)/F18</f>
        <v>0.7655989632</v>
      </c>
      <c r="H19" s="53">
        <f t="shared" si="8"/>
        <v>0.8266568792</v>
      </c>
      <c r="I19" s="53">
        <f t="shared" si="8"/>
        <v>0.1773925024</v>
      </c>
      <c r="J19" s="54">
        <f t="shared" si="8"/>
        <v>0.3549422623</v>
      </c>
      <c r="K19" s="54">
        <f t="shared" si="8"/>
        <v>0.3999422623</v>
      </c>
      <c r="L19" s="54">
        <f t="shared" si="8"/>
        <v>0.4449422623</v>
      </c>
      <c r="M19" s="54">
        <f t="shared" si="8"/>
        <v>0.4149422623</v>
      </c>
      <c r="N19" s="54">
        <f t="shared" si="8"/>
        <v>0.3849422623</v>
      </c>
      <c r="O19" s="60"/>
      <c r="P19" s="60"/>
      <c r="Q19" s="60"/>
      <c r="R19" s="60"/>
      <c r="S19" s="55"/>
      <c r="T19" s="10"/>
      <c r="U19" s="10"/>
    </row>
    <row r="20">
      <c r="B20" s="45"/>
      <c r="F20" s="61"/>
      <c r="G20" s="61"/>
      <c r="H20" s="61"/>
      <c r="I20" s="61"/>
      <c r="J20" s="62"/>
      <c r="K20" s="62"/>
      <c r="L20" s="62"/>
      <c r="M20" s="62"/>
      <c r="N20" s="62"/>
      <c r="O20" s="63"/>
      <c r="P20" s="63"/>
      <c r="Q20" s="63"/>
      <c r="R20" s="63"/>
      <c r="S20" s="10"/>
      <c r="T20" s="10"/>
      <c r="U20" s="10"/>
    </row>
    <row r="21">
      <c r="B21" s="45" t="s">
        <v>27</v>
      </c>
      <c r="F21" s="61">
        <f t="shared" ref="F21:N21" si="9">F15-F18</f>
        <v>1599</v>
      </c>
      <c r="G21" s="61">
        <f t="shared" si="9"/>
        <v>2043</v>
      </c>
      <c r="H21" s="61">
        <f t="shared" si="9"/>
        <v>4042</v>
      </c>
      <c r="I21" s="61">
        <f t="shared" si="9"/>
        <v>4069</v>
      </c>
      <c r="J21" s="62">
        <f t="shared" si="9"/>
        <v>4734.657175</v>
      </c>
      <c r="K21" s="62">
        <f t="shared" si="9"/>
        <v>5923.181643</v>
      </c>
      <c r="L21" s="62">
        <f t="shared" si="9"/>
        <v>8035.145072</v>
      </c>
      <c r="M21" s="62">
        <f t="shared" si="9"/>
        <v>11261.40541</v>
      </c>
      <c r="N21" s="62">
        <f t="shared" si="9"/>
        <v>16351.93601</v>
      </c>
      <c r="O21" s="63"/>
      <c r="P21" s="63"/>
      <c r="Q21" s="63"/>
      <c r="R21" s="63"/>
      <c r="S21" s="10"/>
      <c r="T21" s="10"/>
      <c r="U21" s="10"/>
    </row>
    <row r="22">
      <c r="B22" s="45"/>
      <c r="F22" s="52">
        <v>0.3</v>
      </c>
      <c r="G22" s="53">
        <f t="shared" ref="G22:N22" si="10">(G21-F21)/F21</f>
        <v>0.277673546</v>
      </c>
      <c r="H22" s="53">
        <f t="shared" si="10"/>
        <v>0.9784630445</v>
      </c>
      <c r="I22" s="53">
        <f t="shared" si="10"/>
        <v>0.006679861455</v>
      </c>
      <c r="J22" s="54">
        <f t="shared" si="10"/>
        <v>0.1635923261</v>
      </c>
      <c r="K22" s="54">
        <f t="shared" si="10"/>
        <v>0.2510265104</v>
      </c>
      <c r="L22" s="54">
        <f t="shared" si="10"/>
        <v>0.3565589502</v>
      </c>
      <c r="M22" s="54">
        <f t="shared" si="10"/>
        <v>0.4015186171</v>
      </c>
      <c r="N22" s="54">
        <f t="shared" si="10"/>
        <v>0.452033331</v>
      </c>
      <c r="O22" s="63"/>
      <c r="P22" s="63"/>
      <c r="Q22" s="63"/>
      <c r="R22" s="63"/>
      <c r="S22" s="10"/>
      <c r="T22" s="10"/>
      <c r="U22" s="10"/>
    </row>
    <row r="23">
      <c r="B23" s="45" t="s">
        <v>28</v>
      </c>
      <c r="E23" s="59"/>
      <c r="F23" s="56">
        <v>2267.0</v>
      </c>
      <c r="G23" s="56">
        <v>3855.0</v>
      </c>
      <c r="H23" s="56">
        <v>4430.0</v>
      </c>
      <c r="I23" s="56">
        <v>4138.0</v>
      </c>
      <c r="J23" s="48">
        <f t="shared" ref="J23:N23" si="11">sqrt(1+$D$8+(J12*$D$9))*I23</f>
        <v>4592.074509</v>
      </c>
      <c r="K23" s="48">
        <f t="shared" si="11"/>
        <v>5157.672427</v>
      </c>
      <c r="L23" s="48">
        <f t="shared" si="11"/>
        <v>5861.410468</v>
      </c>
      <c r="M23" s="48">
        <f t="shared" si="11"/>
        <v>6661.169967</v>
      </c>
      <c r="N23" s="48">
        <f t="shared" si="11"/>
        <v>7570.052562</v>
      </c>
      <c r="O23" s="64"/>
      <c r="P23" s="64"/>
      <c r="Q23" s="64"/>
      <c r="R23" s="64"/>
      <c r="S23" s="49"/>
      <c r="T23" s="10"/>
      <c r="U23" s="10"/>
    </row>
    <row r="24">
      <c r="B24" s="50" t="s">
        <v>29</v>
      </c>
      <c r="C24" s="51"/>
      <c r="D24" s="51"/>
      <c r="E24" s="51"/>
      <c r="F24" s="52">
        <v>0.3823</v>
      </c>
      <c r="G24" s="53">
        <f t="shared" ref="G24:N24" si="12">(G23-F23)/F23</f>
        <v>0.7004852228</v>
      </c>
      <c r="H24" s="53">
        <f t="shared" si="12"/>
        <v>0.149156939</v>
      </c>
      <c r="I24" s="53">
        <f t="shared" si="12"/>
        <v>-0.06591422122</v>
      </c>
      <c r="J24" s="54">
        <f t="shared" si="12"/>
        <v>0.109732844</v>
      </c>
      <c r="K24" s="54">
        <f t="shared" si="12"/>
        <v>0.12316828</v>
      </c>
      <c r="L24" s="54">
        <f t="shared" si="12"/>
        <v>0.1364448887</v>
      </c>
      <c r="M24" s="54">
        <f t="shared" si="12"/>
        <v>0.1364448887</v>
      </c>
      <c r="N24" s="54">
        <f t="shared" si="12"/>
        <v>0.1364448887</v>
      </c>
      <c r="O24" s="60"/>
      <c r="P24" s="60"/>
      <c r="Q24" s="60"/>
      <c r="R24" s="60"/>
      <c r="S24" s="55"/>
      <c r="T24" s="10"/>
      <c r="U24" s="10"/>
    </row>
    <row r="25">
      <c r="F25" s="65"/>
      <c r="G25" s="65"/>
      <c r="H25" s="65"/>
      <c r="I25" s="65"/>
      <c r="J25" s="58"/>
      <c r="K25" s="58"/>
      <c r="L25" s="58"/>
      <c r="M25" s="58"/>
      <c r="N25" s="58"/>
      <c r="O25" s="10"/>
      <c r="P25" s="10"/>
      <c r="Q25" s="10"/>
      <c r="R25" s="10"/>
      <c r="S25" s="10"/>
      <c r="T25" s="10"/>
      <c r="U25" s="10"/>
    </row>
    <row r="26">
      <c r="F26" s="65"/>
      <c r="G26" s="65"/>
      <c r="H26" s="65"/>
      <c r="I26" s="65"/>
      <c r="J26" s="58"/>
      <c r="K26" s="58"/>
      <c r="L26" s="58"/>
      <c r="M26" s="58"/>
      <c r="N26" s="58"/>
      <c r="O26" s="10"/>
      <c r="P26" s="10"/>
      <c r="Q26" s="10"/>
      <c r="R26" s="10"/>
      <c r="S26" s="10"/>
      <c r="T26" s="10"/>
      <c r="U26" s="10"/>
    </row>
    <row r="27">
      <c r="B27" s="66" t="s">
        <v>30</v>
      </c>
      <c r="F27" s="56">
        <v>-746.0</v>
      </c>
      <c r="G27" s="56">
        <v>-2209.0</v>
      </c>
      <c r="H27" s="56">
        <v>-1005.0</v>
      </c>
      <c r="I27" s="56">
        <v>-665.0</v>
      </c>
      <c r="J27" s="48">
        <f t="shared" ref="J27:N27" si="13">J15-J18-J23</f>
        <v>142.5826664</v>
      </c>
      <c r="K27" s="48">
        <f t="shared" si="13"/>
        <v>765.509216</v>
      </c>
      <c r="L27" s="48">
        <f t="shared" si="13"/>
        <v>2173.734604</v>
      </c>
      <c r="M27" s="48">
        <f t="shared" si="13"/>
        <v>4600.235443</v>
      </c>
      <c r="N27" s="48">
        <f t="shared" si="13"/>
        <v>8781.883447</v>
      </c>
      <c r="O27" s="10"/>
      <c r="P27" s="10"/>
      <c r="Q27" s="10"/>
      <c r="R27" s="10"/>
      <c r="S27" s="10"/>
      <c r="T27" s="10"/>
      <c r="U27" s="10"/>
    </row>
    <row r="28">
      <c r="B28" s="50" t="s">
        <v>31</v>
      </c>
      <c r="C28" s="51"/>
      <c r="D28" s="51"/>
      <c r="E28" s="51"/>
      <c r="F28" s="67"/>
      <c r="G28" s="53">
        <f t="shared" ref="G28:J28" si="14">(F27-G27)/F27</f>
        <v>-1.961126005</v>
      </c>
      <c r="H28" s="53">
        <f t="shared" si="14"/>
        <v>0.5450430059</v>
      </c>
      <c r="I28" s="53">
        <f t="shared" si="14"/>
        <v>0.3383084577</v>
      </c>
      <c r="J28" s="54">
        <f t="shared" si="14"/>
        <v>1.214410025</v>
      </c>
      <c r="K28" s="54">
        <f t="shared" ref="K28:N28" si="15">(K27-J27)/J27</f>
        <v>4.368879931</v>
      </c>
      <c r="L28" s="54">
        <f t="shared" si="15"/>
        <v>1.839592991</v>
      </c>
      <c r="M28" s="54">
        <f t="shared" si="15"/>
        <v>1.116282012</v>
      </c>
      <c r="N28" s="54">
        <f t="shared" si="15"/>
        <v>0.909007388</v>
      </c>
      <c r="O28" s="68"/>
      <c r="P28" s="68"/>
      <c r="Q28" s="68"/>
      <c r="R28" s="68"/>
      <c r="S28" s="68"/>
      <c r="T28" s="10"/>
      <c r="U28" s="10"/>
    </row>
    <row r="29">
      <c r="F29" s="65"/>
      <c r="G29" s="65"/>
      <c r="H29" s="65"/>
      <c r="I29" s="65"/>
      <c r="J29" s="58"/>
      <c r="K29" s="58"/>
      <c r="L29" s="58"/>
      <c r="M29" s="58"/>
      <c r="N29" s="58"/>
      <c r="O29" s="10"/>
      <c r="P29" s="10"/>
      <c r="Q29" s="10"/>
      <c r="R29" s="10"/>
    </row>
    <row r="30">
      <c r="B30" s="45" t="s">
        <v>32</v>
      </c>
      <c r="F30" s="47">
        <v>27.0</v>
      </c>
      <c r="G30" s="47">
        <v>32.0</v>
      </c>
      <c r="H30" s="47">
        <v>58.0</v>
      </c>
      <c r="I30" s="47">
        <v>110.0</v>
      </c>
      <c r="J30" s="48">
        <f t="shared" ref="J30:N30" si="16">J31*J21</f>
        <v>87.51042594</v>
      </c>
      <c r="K30" s="48">
        <f t="shared" si="16"/>
        <v>109.4778628</v>
      </c>
      <c r="L30" s="48">
        <f t="shared" si="16"/>
        <v>148.5131746</v>
      </c>
      <c r="M30" s="48">
        <f t="shared" si="16"/>
        <v>208.1439791</v>
      </c>
      <c r="N30" s="48">
        <f t="shared" si="16"/>
        <v>302.2319953</v>
      </c>
      <c r="O30" s="10"/>
      <c r="P30" s="10"/>
      <c r="Q30" s="10"/>
      <c r="R30" s="10"/>
    </row>
    <row r="31">
      <c r="B31" s="50" t="s">
        <v>33</v>
      </c>
      <c r="C31" s="51"/>
      <c r="D31" s="51"/>
      <c r="E31" s="51"/>
      <c r="F31" s="53">
        <f t="shared" ref="F31:I31" si="17">F30/F21</f>
        <v>0.01688555347</v>
      </c>
      <c r="G31" s="53">
        <f t="shared" si="17"/>
        <v>0.01566324033</v>
      </c>
      <c r="H31" s="53">
        <f t="shared" si="17"/>
        <v>0.01434933201</v>
      </c>
      <c r="I31" s="53">
        <f t="shared" si="17"/>
        <v>0.02703366921</v>
      </c>
      <c r="J31" s="54">
        <f t="shared" ref="J31:N31" si="18">average($F$31:$I$31)</f>
        <v>0.01848294876</v>
      </c>
      <c r="K31" s="54">
        <f t="shared" si="18"/>
        <v>0.01848294876</v>
      </c>
      <c r="L31" s="54">
        <f t="shared" si="18"/>
        <v>0.01848294876</v>
      </c>
      <c r="M31" s="54">
        <f t="shared" si="18"/>
        <v>0.01848294876</v>
      </c>
      <c r="N31" s="54">
        <f t="shared" si="18"/>
        <v>0.01848294876</v>
      </c>
      <c r="O31" s="10"/>
      <c r="P31" s="10"/>
      <c r="Q31" s="10"/>
      <c r="R31" s="10"/>
    </row>
    <row r="32">
      <c r="B32" s="69" t="s">
        <v>34</v>
      </c>
      <c r="C32" s="70"/>
      <c r="D32" s="70"/>
      <c r="E32" s="70"/>
      <c r="F32" s="71">
        <f t="shared" ref="F32:N32" si="19">(F27-F30)</f>
        <v>-773</v>
      </c>
      <c r="G32" s="71">
        <f t="shared" si="19"/>
        <v>-2241</v>
      </c>
      <c r="H32" s="71">
        <f t="shared" si="19"/>
        <v>-1063</v>
      </c>
      <c r="I32" s="71">
        <f t="shared" si="19"/>
        <v>-775</v>
      </c>
      <c r="J32" s="72">
        <f t="shared" si="19"/>
        <v>55.07224042</v>
      </c>
      <c r="K32" s="72">
        <f t="shared" si="19"/>
        <v>656.0313532</v>
      </c>
      <c r="L32" s="72">
        <f t="shared" si="19"/>
        <v>2025.22143</v>
      </c>
      <c r="M32" s="72">
        <f t="shared" si="19"/>
        <v>4392.091464</v>
      </c>
      <c r="N32" s="72">
        <f t="shared" si="19"/>
        <v>8479.651451</v>
      </c>
      <c r="O32" s="10"/>
      <c r="P32" s="10"/>
      <c r="Q32" s="10"/>
      <c r="R32" s="10"/>
    </row>
    <row r="33">
      <c r="B33" s="73"/>
      <c r="F33" s="65"/>
      <c r="G33" s="65"/>
      <c r="H33" s="65"/>
      <c r="I33" s="65"/>
      <c r="J33" s="58"/>
      <c r="K33" s="58"/>
      <c r="L33" s="58"/>
      <c r="M33" s="58"/>
      <c r="N33" s="58"/>
    </row>
    <row r="34">
      <c r="B34" s="74" t="s">
        <v>35</v>
      </c>
      <c r="F34" s="56">
        <v>947.0</v>
      </c>
      <c r="G34" s="56">
        <v>1636.0</v>
      </c>
      <c r="H34" s="56">
        <v>1901.0</v>
      </c>
      <c r="I34" s="56">
        <v>2154.0</v>
      </c>
      <c r="J34" s="62">
        <f t="shared" ref="J34:N34" si="20">(1+J35)*I34</f>
        <v>2369.4</v>
      </c>
      <c r="K34" s="62">
        <f t="shared" si="20"/>
        <v>2606.34</v>
      </c>
      <c r="L34" s="62">
        <f t="shared" si="20"/>
        <v>2866.974</v>
      </c>
      <c r="M34" s="62">
        <f t="shared" si="20"/>
        <v>3153.6714</v>
      </c>
      <c r="N34" s="62">
        <f t="shared" si="20"/>
        <v>3469.03854</v>
      </c>
    </row>
    <row r="35">
      <c r="B35" s="50" t="s">
        <v>36</v>
      </c>
      <c r="C35" s="51"/>
      <c r="D35" s="51"/>
      <c r="E35" s="51"/>
      <c r="F35" s="52">
        <v>1.2388</v>
      </c>
      <c r="G35" s="53">
        <f t="shared" ref="G35:I35" si="21">(G34 - F34)/F34</f>
        <v>0.7275607181</v>
      </c>
      <c r="H35" s="53">
        <f t="shared" si="21"/>
        <v>0.1619804401</v>
      </c>
      <c r="I35" s="53">
        <f t="shared" si="21"/>
        <v>0.1330878485</v>
      </c>
      <c r="J35" s="75">
        <v>0.1</v>
      </c>
      <c r="K35" s="75">
        <v>0.1</v>
      </c>
      <c r="L35" s="75">
        <v>0.1</v>
      </c>
      <c r="M35" s="75">
        <v>0.1</v>
      </c>
      <c r="N35" s="75">
        <v>0.1</v>
      </c>
      <c r="O35" s="51"/>
    </row>
    <row r="36">
      <c r="F36" s="65"/>
      <c r="G36" s="65"/>
      <c r="H36" s="65"/>
      <c r="I36" s="65"/>
      <c r="J36" s="58"/>
      <c r="K36" s="58"/>
      <c r="L36" s="58"/>
      <c r="M36" s="58"/>
      <c r="N36" s="58"/>
    </row>
    <row r="37">
      <c r="B37" s="69"/>
      <c r="C37" s="70"/>
      <c r="D37" s="70"/>
      <c r="E37" s="70"/>
      <c r="F37" s="76"/>
      <c r="G37" s="76"/>
      <c r="H37" s="76"/>
      <c r="I37" s="76"/>
      <c r="J37" s="77"/>
      <c r="K37" s="77"/>
      <c r="L37" s="77"/>
      <c r="M37" s="77"/>
      <c r="N37" s="77"/>
    </row>
    <row r="38">
      <c r="B38" s="78" t="s">
        <v>37</v>
      </c>
      <c r="F38" s="79">
        <f t="shared" ref="F38:N38" si="22">F32 + F34</f>
        <v>174</v>
      </c>
      <c r="G38" s="79">
        <f t="shared" si="22"/>
        <v>-605</v>
      </c>
      <c r="H38" s="79">
        <f t="shared" si="22"/>
        <v>838</v>
      </c>
      <c r="I38" s="79">
        <f t="shared" si="22"/>
        <v>1379</v>
      </c>
      <c r="J38" s="48">
        <f t="shared" si="22"/>
        <v>2424.47224</v>
      </c>
      <c r="K38" s="48">
        <f t="shared" si="22"/>
        <v>3262.371353</v>
      </c>
      <c r="L38" s="48">
        <f t="shared" si="22"/>
        <v>4892.19543</v>
      </c>
      <c r="M38" s="48">
        <f t="shared" si="22"/>
        <v>7545.762864</v>
      </c>
      <c r="N38" s="48">
        <f t="shared" si="22"/>
        <v>11948.68999</v>
      </c>
      <c r="O38" s="80"/>
    </row>
    <row r="40">
      <c r="B40" s="74"/>
      <c r="J40" s="74">
        <v>2020.0</v>
      </c>
      <c r="K40" s="74">
        <v>2021.0</v>
      </c>
      <c r="L40" s="74">
        <v>2022.0</v>
      </c>
      <c r="M40" s="74">
        <v>2023.0</v>
      </c>
      <c r="N40" s="74">
        <v>2024.0</v>
      </c>
    </row>
    <row r="41">
      <c r="B41" s="81"/>
      <c r="E41" s="82"/>
      <c r="F41" s="82"/>
      <c r="G41" s="82"/>
      <c r="H41" s="82"/>
      <c r="I41" s="82"/>
      <c r="J41" s="83">
        <v>1.0</v>
      </c>
      <c r="K41" s="83">
        <v>2.0</v>
      </c>
      <c r="L41" s="83">
        <v>3.0</v>
      </c>
      <c r="M41" s="83">
        <v>4.0</v>
      </c>
      <c r="N41" s="83">
        <v>5.0</v>
      </c>
    </row>
    <row r="42">
      <c r="B42" s="84" t="s">
        <v>38</v>
      </c>
      <c r="J42" s="85">
        <f t="shared" ref="J42:N42" si="23">J36 + J38</f>
        <v>2424.47224</v>
      </c>
      <c r="K42" s="85">
        <f t="shared" si="23"/>
        <v>3262.371353</v>
      </c>
      <c r="L42" s="85">
        <f t="shared" si="23"/>
        <v>4892.19543</v>
      </c>
      <c r="M42" s="85">
        <f t="shared" si="23"/>
        <v>7545.762864</v>
      </c>
      <c r="N42" s="85">
        <f t="shared" si="23"/>
        <v>11948.68999</v>
      </c>
    </row>
    <row r="43">
      <c r="B43" s="81" t="s">
        <v>39</v>
      </c>
      <c r="J43" s="86">
        <f t="shared" ref="J43:N43" si="24">J42/((1+$D$47)^J41)</f>
        <v>2263.534908</v>
      </c>
      <c r="K43" s="86">
        <f t="shared" si="24"/>
        <v>2843.631761</v>
      </c>
      <c r="L43" s="86">
        <f t="shared" si="24"/>
        <v>3981.197655</v>
      </c>
      <c r="M43" s="86">
        <f t="shared" si="24"/>
        <v>5733.014966</v>
      </c>
      <c r="N43" s="86">
        <f t="shared" si="24"/>
        <v>8475.595017</v>
      </c>
    </row>
    <row r="45">
      <c r="B45" s="87" t="s">
        <v>40</v>
      </c>
      <c r="E45" s="82"/>
      <c r="F45" s="82"/>
      <c r="G45" s="82"/>
      <c r="H45" s="82"/>
      <c r="I45" s="82"/>
      <c r="J45" s="82"/>
      <c r="K45" s="82"/>
      <c r="L45" s="82"/>
      <c r="M45" s="82"/>
      <c r="N45" s="82"/>
    </row>
    <row r="47">
      <c r="B47" s="7" t="s">
        <v>41</v>
      </c>
      <c r="C47" s="8"/>
      <c r="D47" s="88">
        <f>'Discount Factor Calculation'!C7</f>
        <v>0.0711</v>
      </c>
      <c r="E47" s="89"/>
      <c r="F47" s="90" t="s">
        <v>42</v>
      </c>
      <c r="G47" s="91">
        <v>6268.0</v>
      </c>
      <c r="I47" s="92" t="s">
        <v>43</v>
      </c>
      <c r="J47" s="18"/>
      <c r="K47" s="18"/>
      <c r="L47" s="18"/>
      <c r="M47" s="18"/>
      <c r="N47" s="19"/>
    </row>
    <row r="48">
      <c r="B48" s="90" t="s">
        <v>44</v>
      </c>
      <c r="C48" s="93"/>
      <c r="D48" s="94">
        <f t="shared" ref="D48:D49" si="25">sum(J42:N42)</f>
        <v>30073.49188</v>
      </c>
      <c r="F48" s="90" t="s">
        <v>45</v>
      </c>
      <c r="G48" s="91">
        <v>14289.0</v>
      </c>
      <c r="I48" s="23"/>
      <c r="N48" s="24"/>
    </row>
    <row r="49">
      <c r="B49" s="7" t="s">
        <v>46</v>
      </c>
      <c r="C49" s="8"/>
      <c r="D49" s="94">
        <f t="shared" si="25"/>
        <v>23296.97431</v>
      </c>
      <c r="E49" s="74"/>
      <c r="F49" s="90" t="s">
        <v>47</v>
      </c>
      <c r="G49" s="91">
        <v>0.0</v>
      </c>
      <c r="I49" s="23"/>
      <c r="N49" s="24"/>
    </row>
    <row r="50">
      <c r="B50" s="7" t="s">
        <v>48</v>
      </c>
      <c r="C50" s="8"/>
      <c r="D50" s="95">
        <v>0.025</v>
      </c>
      <c r="F50" s="90" t="s">
        <v>49</v>
      </c>
      <c r="G50" s="90">
        <v>185.0</v>
      </c>
      <c r="I50" s="23"/>
      <c r="N50" s="24"/>
    </row>
    <row r="51">
      <c r="I51" s="23"/>
      <c r="N51" s="24"/>
    </row>
    <row r="52">
      <c r="B52" s="96" t="s">
        <v>50</v>
      </c>
      <c r="C52" s="8"/>
      <c r="D52" s="94">
        <f>N38*(1+ D50)/(D47-D50)</f>
        <v>265670.4391</v>
      </c>
      <c r="I52" s="23"/>
      <c r="N52" s="24"/>
    </row>
    <row r="53">
      <c r="B53" s="97" t="s">
        <v>51</v>
      </c>
      <c r="C53" s="8"/>
      <c r="D53" s="98">
        <f>D52/(N27+N34)</f>
        <v>21.68575062</v>
      </c>
      <c r="I53" s="23"/>
      <c r="N53" s="24"/>
    </row>
    <row r="54">
      <c r="B54" s="96" t="s">
        <v>52</v>
      </c>
      <c r="C54" s="8"/>
      <c r="D54" s="94">
        <f>D52/(1+D47)^5</f>
        <v>188448.6961</v>
      </c>
      <c r="I54" s="23"/>
      <c r="N54" s="24"/>
    </row>
    <row r="55">
      <c r="B55" s="96" t="s">
        <v>53</v>
      </c>
      <c r="C55" s="8"/>
      <c r="D55" s="94">
        <f>D49</f>
        <v>23296.97431</v>
      </c>
      <c r="I55" s="23"/>
      <c r="N55" s="24"/>
    </row>
    <row r="56">
      <c r="B56" s="96" t="s">
        <v>54</v>
      </c>
      <c r="C56" s="8"/>
      <c r="D56" s="94">
        <f>D54+D55</f>
        <v>211745.6704</v>
      </c>
      <c r="I56" s="30"/>
      <c r="J56" s="31"/>
      <c r="K56" s="31"/>
      <c r="L56" s="31"/>
      <c r="M56" s="31"/>
      <c r="N56" s="32"/>
    </row>
    <row r="57">
      <c r="B57" s="96" t="s">
        <v>55</v>
      </c>
      <c r="C57" s="8"/>
      <c r="D57" s="94">
        <f>D56+G47-G48-G49</f>
        <v>203724.6704</v>
      </c>
    </row>
    <row r="59">
      <c r="B59" s="99" t="s">
        <v>56</v>
      </c>
      <c r="C59" s="8"/>
      <c r="D59" s="100">
        <f>D57/G50</f>
        <v>1101.214435</v>
      </c>
    </row>
    <row r="62">
      <c r="B62" s="10"/>
    </row>
    <row r="63">
      <c r="B63" s="101" t="s">
        <v>57</v>
      </c>
      <c r="C63" s="102"/>
      <c r="D63" s="102"/>
      <c r="E63" s="102"/>
      <c r="F63" s="102"/>
      <c r="G63" s="102"/>
      <c r="H63" s="102"/>
      <c r="I63" s="102"/>
      <c r="J63" s="102"/>
      <c r="K63" s="102"/>
      <c r="L63" s="102"/>
      <c r="M63" s="102"/>
      <c r="N63" s="102"/>
    </row>
    <row r="65">
      <c r="B65" s="103" t="s">
        <v>58</v>
      </c>
    </row>
    <row r="70">
      <c r="J70" s="74" t="s">
        <v>59</v>
      </c>
    </row>
    <row r="71">
      <c r="J71" s="103" t="s">
        <v>60</v>
      </c>
    </row>
    <row r="72">
      <c r="C72" s="45" t="s">
        <v>61</v>
      </c>
      <c r="D72" s="45">
        <v>2020.0</v>
      </c>
      <c r="E72" s="45">
        <v>2021.0</v>
      </c>
      <c r="F72" s="45">
        <v>2022.0</v>
      </c>
      <c r="G72" s="45">
        <v>2023.0</v>
      </c>
      <c r="H72" s="45">
        <v>2024.0</v>
      </c>
    </row>
    <row r="73">
      <c r="C73" s="103" t="s">
        <v>62</v>
      </c>
      <c r="D73" s="61">
        <v>4734.657175010143</v>
      </c>
      <c r="E73" s="61">
        <v>5923.18164336522</v>
      </c>
      <c r="F73" s="61">
        <v>8035.145072211402</v>
      </c>
      <c r="G73" s="61">
        <v>11261.40540981217</v>
      </c>
      <c r="H73" s="61">
        <v>16351.936008645178</v>
      </c>
    </row>
    <row r="74">
      <c r="C74" s="103" t="s">
        <v>63</v>
      </c>
      <c r="D74" s="61">
        <v>2700.1571750101393</v>
      </c>
      <c r="E74" s="61">
        <v>2936.3869796086256</v>
      </c>
      <c r="F74" s="61">
        <v>3512.1983290338576</v>
      </c>
      <c r="G74" s="61">
        <v>4520.892157559967</v>
      </c>
      <c r="H74" s="61">
        <v>6199.49694671591</v>
      </c>
    </row>
    <row r="77">
      <c r="J77" s="74" t="s">
        <v>64</v>
      </c>
    </row>
    <row r="79">
      <c r="J79" s="104" t="s">
        <v>65</v>
      </c>
    </row>
    <row r="97">
      <c r="B97" s="101" t="s">
        <v>66</v>
      </c>
      <c r="C97" s="102"/>
      <c r="D97" s="102"/>
      <c r="E97" s="102"/>
      <c r="F97" s="102"/>
      <c r="G97" s="102"/>
      <c r="H97" s="102"/>
      <c r="I97" s="102"/>
      <c r="J97" s="102"/>
      <c r="K97" s="102"/>
      <c r="L97" s="102"/>
      <c r="M97" s="102"/>
      <c r="N97" s="102"/>
    </row>
    <row r="100">
      <c r="C100" s="105" t="s">
        <v>67</v>
      </c>
      <c r="D100" s="106" t="s">
        <v>68</v>
      </c>
      <c r="E100" s="106" t="s">
        <v>69</v>
      </c>
      <c r="G100" s="107" t="s">
        <v>70</v>
      </c>
      <c r="H100" s="18"/>
      <c r="I100" s="18"/>
      <c r="J100" s="18"/>
      <c r="K100" s="18"/>
      <c r="L100" s="18"/>
      <c r="M100" s="19"/>
    </row>
    <row r="101">
      <c r="C101" s="106" t="s">
        <v>71</v>
      </c>
      <c r="D101" s="108">
        <v>1.16</v>
      </c>
      <c r="E101" s="108">
        <v>1.13</v>
      </c>
      <c r="G101" s="23"/>
      <c r="M101" s="24"/>
    </row>
    <row r="102">
      <c r="C102" s="105" t="s">
        <v>72</v>
      </c>
      <c r="D102" s="108">
        <v>0.02</v>
      </c>
      <c r="E102" s="108">
        <v>-2.69</v>
      </c>
      <c r="G102" s="23"/>
      <c r="M102" s="24"/>
    </row>
    <row r="103">
      <c r="C103" s="105" t="s">
        <v>73</v>
      </c>
      <c r="D103" s="108">
        <v>0.14</v>
      </c>
      <c r="E103" s="108">
        <v>-14.94</v>
      </c>
      <c r="G103" s="23"/>
      <c r="M103" s="24"/>
    </row>
    <row r="104">
      <c r="C104" s="106" t="s">
        <v>74</v>
      </c>
      <c r="D104" s="109">
        <v>0.1226</v>
      </c>
      <c r="E104" s="109">
        <v>0.182</v>
      </c>
      <c r="G104" s="23"/>
      <c r="M104" s="24"/>
    </row>
    <row r="105">
      <c r="C105" s="106" t="s">
        <v>75</v>
      </c>
      <c r="D105" s="108">
        <v>0.61</v>
      </c>
      <c r="E105" s="108">
        <v>0.77</v>
      </c>
      <c r="G105" s="23"/>
      <c r="M105" s="24"/>
    </row>
    <row r="106">
      <c r="C106" s="106" t="s">
        <v>76</v>
      </c>
      <c r="D106" s="108">
        <v>4.09</v>
      </c>
      <c r="E106" s="108">
        <v>-158.54</v>
      </c>
      <c r="G106" s="23"/>
      <c r="M106" s="24"/>
    </row>
    <row r="107">
      <c r="G107" s="23"/>
      <c r="M107" s="24"/>
    </row>
    <row r="108">
      <c r="G108" s="30"/>
      <c r="H108" s="31"/>
      <c r="I108" s="31"/>
      <c r="J108" s="31"/>
      <c r="K108" s="31"/>
      <c r="L108" s="31"/>
      <c r="M108" s="32"/>
    </row>
  </sheetData>
  <mergeCells count="25">
    <mergeCell ref="B5:D5"/>
    <mergeCell ref="E5:P9"/>
    <mergeCell ref="F10:I10"/>
    <mergeCell ref="F11:I11"/>
    <mergeCell ref="F12:I12"/>
    <mergeCell ref="F13:I13"/>
    <mergeCell ref="B41:D41"/>
    <mergeCell ref="B52:C52"/>
    <mergeCell ref="B53:C53"/>
    <mergeCell ref="B54:C54"/>
    <mergeCell ref="B55:C55"/>
    <mergeCell ref="B57:C57"/>
    <mergeCell ref="B59:C59"/>
    <mergeCell ref="B65:G69"/>
    <mergeCell ref="J71:O75"/>
    <mergeCell ref="J79:O91"/>
    <mergeCell ref="G100:M108"/>
    <mergeCell ref="B42:D42"/>
    <mergeCell ref="B43:D43"/>
    <mergeCell ref="B45:D45"/>
    <mergeCell ref="B47:C47"/>
    <mergeCell ref="I47:N56"/>
    <mergeCell ref="B49:C49"/>
    <mergeCell ref="B50:C50"/>
    <mergeCell ref="B56:C56"/>
  </mergeCell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71"/>
    <col customWidth="1" min="2" max="2" width="15.71"/>
  </cols>
  <sheetData>
    <row r="1">
      <c r="A1" s="1"/>
      <c r="B1" s="2" t="s">
        <v>0</v>
      </c>
      <c r="C1" s="2" t="s">
        <v>1</v>
      </c>
      <c r="D1" s="2" t="s">
        <v>2</v>
      </c>
    </row>
    <row r="2">
      <c r="A2" s="2" t="s">
        <v>3</v>
      </c>
      <c r="B2" s="2">
        <v>0.73</v>
      </c>
      <c r="C2" s="2">
        <v>1.16</v>
      </c>
      <c r="D2" s="2">
        <v>1.5</v>
      </c>
    </row>
    <row r="3">
      <c r="A3" s="2" t="s">
        <v>4</v>
      </c>
      <c r="B3" s="3">
        <v>0.0015</v>
      </c>
      <c r="C3" s="3">
        <v>0.0015</v>
      </c>
      <c r="D3" s="3">
        <v>0.0015</v>
      </c>
    </row>
    <row r="4">
      <c r="A4" s="4" t="s">
        <v>5</v>
      </c>
      <c r="B4" s="5">
        <v>0.05</v>
      </c>
      <c r="C4" s="5">
        <v>0.06</v>
      </c>
      <c r="D4" s="5">
        <v>0.07</v>
      </c>
    </row>
    <row r="5">
      <c r="A5" s="4" t="s">
        <v>6</v>
      </c>
      <c r="B5" s="6">
        <f t="shared" ref="B5:D5" si="1">B3+B2*B4</f>
        <v>0.038</v>
      </c>
      <c r="C5" s="6">
        <f t="shared" si="1"/>
        <v>0.0711</v>
      </c>
      <c r="D5" s="6">
        <f t="shared" si="1"/>
        <v>0.1065</v>
      </c>
    </row>
    <row r="7">
      <c r="A7" s="7" t="s">
        <v>7</v>
      </c>
      <c r="B7" s="8"/>
      <c r="C7" s="9">
        <f>C5</f>
        <v>0.0711</v>
      </c>
    </row>
  </sheetData>
  <mergeCells count="1">
    <mergeCell ref="A7:B7"/>
  </mergeCells>
  <drawing r:id="rId1"/>
</worksheet>
</file>