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queryTables/queryTable1.xml" ContentType="application/vnd.openxmlformats-officedocument.spreadsheetml.queryTable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3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yegh\Dropbox\Research\Papers\3_Published\2017_R&amp;D\"/>
    </mc:Choice>
  </mc:AlternateContent>
  <bookViews>
    <workbookView xWindow="0" yWindow="7800" windowWidth="13155" windowHeight="3570" firstSheet="3" activeTab="3"/>
  </bookViews>
  <sheets>
    <sheet name="Sheet1 (4)" sheetId="4" state="hidden" r:id="rId1"/>
    <sheet name="Sheet1 (5)" sheetId="9" state="hidden" r:id="rId2"/>
    <sheet name="Sheet1 (6)" sheetId="12" state="hidden" r:id="rId3"/>
    <sheet name="Capacity" sheetId="5" r:id="rId4"/>
    <sheet name="Generation" sheetId="6" r:id="rId5"/>
    <sheet name="LCOE" sheetId="10" r:id="rId6"/>
    <sheet name="example" sheetId="11" r:id="rId7"/>
    <sheet name="Fig1" sheetId="8" r:id="rId8"/>
    <sheet name="Fig2" sheetId="13" r:id="rId9"/>
    <sheet name="Fig3" sheetId="7" r:id="rId10"/>
  </sheets>
  <definedNames>
    <definedName name="btm" localSheetId="5">LCOE!#REF!</definedName>
    <definedName name="electricity_generation" localSheetId="5">LCOE!$A$1:$I$29</definedName>
    <definedName name="solver_adj" localSheetId="6" hidden="1">example!$B$13</definedName>
    <definedName name="solver_adj" localSheetId="9" hidden="1">'Fig3'!$J$106</definedName>
    <definedName name="solver_cvg" localSheetId="6" hidden="1">0.0001</definedName>
    <definedName name="solver_cvg" localSheetId="9" hidden="1">0.0001</definedName>
    <definedName name="solver_drv" localSheetId="6" hidden="1">1</definedName>
    <definedName name="solver_drv" localSheetId="9" hidden="1">1</definedName>
    <definedName name="solver_eng" localSheetId="6" hidden="1">1</definedName>
    <definedName name="solver_eng" localSheetId="9" hidden="1">1</definedName>
    <definedName name="solver_est" localSheetId="6" hidden="1">1</definedName>
    <definedName name="solver_est" localSheetId="9" hidden="1">1</definedName>
    <definedName name="solver_itr" localSheetId="6" hidden="1">2147483647</definedName>
    <definedName name="solver_itr" localSheetId="9" hidden="1">2147483647</definedName>
    <definedName name="solver_mip" localSheetId="6" hidden="1">2147483647</definedName>
    <definedName name="solver_mip" localSheetId="9" hidden="1">2147483647</definedName>
    <definedName name="solver_mni" localSheetId="6" hidden="1">30</definedName>
    <definedName name="solver_mni" localSheetId="9" hidden="1">30</definedName>
    <definedName name="solver_mrt" localSheetId="6" hidden="1">0.075</definedName>
    <definedName name="solver_mrt" localSheetId="9" hidden="1">0.075</definedName>
    <definedName name="solver_msl" localSheetId="6" hidden="1">2</definedName>
    <definedName name="solver_msl" localSheetId="9" hidden="1">2</definedName>
    <definedName name="solver_neg" localSheetId="6" hidden="1">1</definedName>
    <definedName name="solver_neg" localSheetId="9" hidden="1">1</definedName>
    <definedName name="solver_nod" localSheetId="6" hidden="1">2147483647</definedName>
    <definedName name="solver_nod" localSheetId="9" hidden="1">2147483647</definedName>
    <definedName name="solver_num" localSheetId="6" hidden="1">0</definedName>
    <definedName name="solver_num" localSheetId="9" hidden="1">0</definedName>
    <definedName name="solver_nwt" localSheetId="6" hidden="1">1</definedName>
    <definedName name="solver_nwt" localSheetId="9" hidden="1">1</definedName>
    <definedName name="solver_opt" localSheetId="6" hidden="1">example!$H$13</definedName>
    <definedName name="solver_opt" localSheetId="9" hidden="1">'Fig3'!$M$106</definedName>
    <definedName name="solver_pre" localSheetId="6" hidden="1">0.000001</definedName>
    <definedName name="solver_pre" localSheetId="9" hidden="1">0.000001</definedName>
    <definedName name="solver_rbv" localSheetId="6" hidden="1">1</definedName>
    <definedName name="solver_rbv" localSheetId="9" hidden="1">1</definedName>
    <definedName name="solver_rlx" localSheetId="6" hidden="1">2</definedName>
    <definedName name="solver_rlx" localSheetId="9" hidden="1">2</definedName>
    <definedName name="solver_rsd" localSheetId="6" hidden="1">0</definedName>
    <definedName name="solver_rsd" localSheetId="9" hidden="1">0</definedName>
    <definedName name="solver_scl" localSheetId="6" hidden="1">1</definedName>
    <definedName name="solver_scl" localSheetId="9" hidden="1">1</definedName>
    <definedName name="solver_sho" localSheetId="6" hidden="1">2</definedName>
    <definedName name="solver_sho" localSheetId="9" hidden="1">2</definedName>
    <definedName name="solver_ssz" localSheetId="6" hidden="1">100</definedName>
    <definedName name="solver_ssz" localSheetId="9" hidden="1">100</definedName>
    <definedName name="solver_tim" localSheetId="6" hidden="1">2147483647</definedName>
    <definedName name="solver_tim" localSheetId="9" hidden="1">2147483647</definedName>
    <definedName name="solver_tol" localSheetId="6" hidden="1">0.01</definedName>
    <definedName name="solver_tol" localSheetId="9" hidden="1">0.01</definedName>
    <definedName name="solver_typ" localSheetId="6" hidden="1">3</definedName>
    <definedName name="solver_typ" localSheetId="9" hidden="1">3</definedName>
    <definedName name="solver_val" localSheetId="6" hidden="1">0</definedName>
    <definedName name="solver_val" localSheetId="9" hidden="1">256</definedName>
    <definedName name="solver_ver" localSheetId="6" hidden="1">3</definedName>
    <definedName name="solver_ver" localSheetId="9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7" l="1"/>
  <c r="A24" i="7"/>
  <c r="L9" i="7"/>
  <c r="A25" i="7"/>
  <c r="L6" i="7"/>
  <c r="A22" i="7"/>
  <c r="L7" i="7"/>
  <c r="A23" i="7"/>
  <c r="E5" i="7"/>
  <c r="C2" i="8"/>
  <c r="B2" i="13"/>
  <c r="E2" i="8"/>
  <c r="D2" i="13"/>
  <c r="A2" i="8"/>
  <c r="A2" i="13"/>
  <c r="D3" i="13"/>
  <c r="D4" i="13"/>
  <c r="C5" i="7"/>
  <c r="D2" i="8"/>
  <c r="C2" i="13"/>
  <c r="H4" i="13"/>
  <c r="B3" i="13"/>
  <c r="H3" i="13"/>
  <c r="I3" i="13"/>
  <c r="J3" i="13"/>
  <c r="A4" i="13"/>
  <c r="A3" i="13"/>
  <c r="D5" i="13"/>
  <c r="B4" i="13"/>
  <c r="G4" i="13"/>
  <c r="A21" i="13"/>
  <c r="G2" i="13"/>
  <c r="A48" i="13"/>
  <c r="B5" i="13"/>
  <c r="A42" i="13"/>
  <c r="B48" i="13"/>
  <c r="C48" i="13"/>
  <c r="D48" i="13"/>
  <c r="E2" i="13"/>
  <c r="E48" i="13"/>
  <c r="F48" i="13"/>
  <c r="E3" i="13"/>
  <c r="G48" i="13"/>
  <c r="H48" i="13"/>
  <c r="I48" i="13"/>
  <c r="E4" i="13"/>
  <c r="J48" i="13"/>
  <c r="K48" i="13"/>
  <c r="L48" i="13"/>
  <c r="M48" i="13"/>
  <c r="K32" i="7"/>
  <c r="K43" i="7"/>
  <c r="K54" i="7"/>
  <c r="K65" i="7"/>
  <c r="K76" i="7"/>
  <c r="K87" i="7"/>
  <c r="K98" i="7"/>
  <c r="L98" i="7"/>
  <c r="M98" i="7"/>
  <c r="K33" i="7"/>
  <c r="K44" i="7"/>
  <c r="K55" i="7"/>
  <c r="K66" i="7"/>
  <c r="K77" i="7"/>
  <c r="K88" i="7"/>
  <c r="K99" i="7"/>
  <c r="L99" i="7"/>
  <c r="M99" i="7"/>
  <c r="N99" i="7"/>
  <c r="K34" i="7"/>
  <c r="K45" i="7"/>
  <c r="K56" i="7"/>
  <c r="K67" i="7"/>
  <c r="K78" i="7"/>
  <c r="K89" i="7"/>
  <c r="K100" i="7"/>
  <c r="L100" i="7"/>
  <c r="M100" i="7"/>
  <c r="N100" i="7"/>
  <c r="K35" i="7"/>
  <c r="K46" i="7"/>
  <c r="K57" i="7"/>
  <c r="K68" i="7"/>
  <c r="K79" i="7"/>
  <c r="K90" i="7"/>
  <c r="K101" i="7"/>
  <c r="L101" i="7"/>
  <c r="M101" i="7"/>
  <c r="N101" i="7"/>
  <c r="K36" i="7"/>
  <c r="K47" i="7"/>
  <c r="K58" i="7"/>
  <c r="K69" i="7"/>
  <c r="K80" i="7"/>
  <c r="K91" i="7"/>
  <c r="K102" i="7"/>
  <c r="L102" i="7"/>
  <c r="M102" i="7"/>
  <c r="N102" i="7"/>
  <c r="K37" i="7"/>
  <c r="K48" i="7"/>
  <c r="K59" i="7"/>
  <c r="K70" i="7"/>
  <c r="K81" i="7"/>
  <c r="K92" i="7"/>
  <c r="K103" i="7"/>
  <c r="L103" i="7"/>
  <c r="M103" i="7"/>
  <c r="N103" i="7"/>
  <c r="K38" i="7"/>
  <c r="K49" i="7"/>
  <c r="K60" i="7"/>
  <c r="K71" i="7"/>
  <c r="K82" i="7"/>
  <c r="K93" i="7"/>
  <c r="K104" i="7"/>
  <c r="L104" i="7"/>
  <c r="M104" i="7"/>
  <c r="N104" i="7"/>
  <c r="K39" i="7"/>
  <c r="K50" i="7"/>
  <c r="K61" i="7"/>
  <c r="K72" i="7"/>
  <c r="K83" i="7"/>
  <c r="K94" i="7"/>
  <c r="K105" i="7"/>
  <c r="L105" i="7"/>
  <c r="M105" i="7"/>
  <c r="N105" i="7"/>
  <c r="K40" i="7"/>
  <c r="K51" i="7"/>
  <c r="K62" i="7"/>
  <c r="K73" i="7"/>
  <c r="K84" i="7"/>
  <c r="K95" i="7"/>
  <c r="K106" i="7"/>
  <c r="L106" i="7"/>
  <c r="M106" i="7"/>
  <c r="N106" i="7"/>
  <c r="N98" i="7"/>
  <c r="L87" i="7"/>
  <c r="M87" i="7"/>
  <c r="L88" i="7"/>
  <c r="M88" i="7"/>
  <c r="N88" i="7"/>
  <c r="L89" i="7"/>
  <c r="M89" i="7"/>
  <c r="N89" i="7"/>
  <c r="L90" i="7"/>
  <c r="M90" i="7"/>
  <c r="N90" i="7"/>
  <c r="L91" i="7"/>
  <c r="M91" i="7"/>
  <c r="N91" i="7"/>
  <c r="L92" i="7"/>
  <c r="M92" i="7"/>
  <c r="N92" i="7"/>
  <c r="L93" i="7"/>
  <c r="M93" i="7"/>
  <c r="N93" i="7"/>
  <c r="L94" i="7"/>
  <c r="M94" i="7"/>
  <c r="N94" i="7"/>
  <c r="L95" i="7"/>
  <c r="M95" i="7"/>
  <c r="N95" i="7"/>
  <c r="N87" i="7"/>
  <c r="L76" i="7"/>
  <c r="M76" i="7"/>
  <c r="L77" i="7"/>
  <c r="M77" i="7"/>
  <c r="N77" i="7"/>
  <c r="L78" i="7"/>
  <c r="M78" i="7"/>
  <c r="N78" i="7"/>
  <c r="L79" i="7"/>
  <c r="M79" i="7"/>
  <c r="N79" i="7"/>
  <c r="L80" i="7"/>
  <c r="M80" i="7"/>
  <c r="N80" i="7"/>
  <c r="L81" i="7"/>
  <c r="M81" i="7"/>
  <c r="N81" i="7"/>
  <c r="L82" i="7"/>
  <c r="M82" i="7"/>
  <c r="N82" i="7"/>
  <c r="L83" i="7"/>
  <c r="M83" i="7"/>
  <c r="N83" i="7"/>
  <c r="L84" i="7"/>
  <c r="M84" i="7"/>
  <c r="N84" i="7"/>
  <c r="N76" i="7"/>
  <c r="L65" i="7"/>
  <c r="M65" i="7"/>
  <c r="L66" i="7"/>
  <c r="M66" i="7"/>
  <c r="N66" i="7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3" i="13"/>
  <c r="A44" i="13"/>
  <c r="A45" i="13"/>
  <c r="A46" i="13"/>
  <c r="A47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K32" i="13"/>
  <c r="D32" i="13"/>
  <c r="M32" i="13"/>
  <c r="J32" i="13"/>
  <c r="C32" i="13"/>
  <c r="L32" i="13"/>
  <c r="H32" i="13"/>
  <c r="I32" i="13"/>
  <c r="G32" i="13"/>
  <c r="E32" i="13"/>
  <c r="F32" i="13"/>
  <c r="B32" i="13"/>
  <c r="K31" i="13"/>
  <c r="D31" i="13"/>
  <c r="M31" i="13"/>
  <c r="J31" i="13"/>
  <c r="C31" i="13"/>
  <c r="L31" i="13"/>
  <c r="H31" i="13"/>
  <c r="I31" i="13"/>
  <c r="G31" i="13"/>
  <c r="E31" i="13"/>
  <c r="F31" i="13"/>
  <c r="B31" i="13"/>
  <c r="K30" i="13"/>
  <c r="D30" i="13"/>
  <c r="M30" i="13"/>
  <c r="J30" i="13"/>
  <c r="C30" i="13"/>
  <c r="L30" i="13"/>
  <c r="H30" i="13"/>
  <c r="I30" i="13"/>
  <c r="G30" i="13"/>
  <c r="E30" i="13"/>
  <c r="F30" i="13"/>
  <c r="B30" i="13"/>
  <c r="K29" i="13"/>
  <c r="D29" i="13"/>
  <c r="M29" i="13"/>
  <c r="J29" i="13"/>
  <c r="C29" i="13"/>
  <c r="L29" i="13"/>
  <c r="H29" i="13"/>
  <c r="I29" i="13"/>
  <c r="G29" i="13"/>
  <c r="E29" i="13"/>
  <c r="F29" i="13"/>
  <c r="B29" i="13"/>
  <c r="K28" i="13"/>
  <c r="D28" i="13"/>
  <c r="M28" i="13"/>
  <c r="J28" i="13"/>
  <c r="C28" i="13"/>
  <c r="L28" i="13"/>
  <c r="H28" i="13"/>
  <c r="I28" i="13"/>
  <c r="G28" i="13"/>
  <c r="E28" i="13"/>
  <c r="F28" i="13"/>
  <c r="B28" i="13"/>
  <c r="K27" i="13"/>
  <c r="D27" i="13"/>
  <c r="M27" i="13"/>
  <c r="J27" i="13"/>
  <c r="C27" i="13"/>
  <c r="L27" i="13"/>
  <c r="H27" i="13"/>
  <c r="I27" i="13"/>
  <c r="G27" i="13"/>
  <c r="E27" i="13"/>
  <c r="F27" i="13"/>
  <c r="B27" i="13"/>
  <c r="K26" i="13"/>
  <c r="D26" i="13"/>
  <c r="M26" i="13"/>
  <c r="J26" i="13"/>
  <c r="C26" i="13"/>
  <c r="L26" i="13"/>
  <c r="H26" i="13"/>
  <c r="I26" i="13"/>
  <c r="G26" i="13"/>
  <c r="E26" i="13"/>
  <c r="F26" i="13"/>
  <c r="B26" i="13"/>
  <c r="K25" i="13"/>
  <c r="D25" i="13"/>
  <c r="M25" i="13"/>
  <c r="J25" i="13"/>
  <c r="C25" i="13"/>
  <c r="L25" i="13"/>
  <c r="H25" i="13"/>
  <c r="I25" i="13"/>
  <c r="G25" i="13"/>
  <c r="E25" i="13"/>
  <c r="F25" i="13"/>
  <c r="B25" i="13"/>
  <c r="K24" i="13"/>
  <c r="D24" i="13"/>
  <c r="M24" i="13"/>
  <c r="J24" i="13"/>
  <c r="C24" i="13"/>
  <c r="L24" i="13"/>
  <c r="H24" i="13"/>
  <c r="I24" i="13"/>
  <c r="G24" i="13"/>
  <c r="E24" i="13"/>
  <c r="F24" i="13"/>
  <c r="B24" i="13"/>
  <c r="K23" i="13"/>
  <c r="D23" i="13"/>
  <c r="M23" i="13"/>
  <c r="J23" i="13"/>
  <c r="C23" i="13"/>
  <c r="L23" i="13"/>
  <c r="H23" i="13"/>
  <c r="I23" i="13"/>
  <c r="G23" i="13"/>
  <c r="E23" i="13"/>
  <c r="F23" i="13"/>
  <c r="B23" i="13"/>
  <c r="K22" i="13"/>
  <c r="D22" i="13"/>
  <c r="M22" i="13"/>
  <c r="J22" i="13"/>
  <c r="C22" i="13"/>
  <c r="L22" i="13"/>
  <c r="H22" i="13"/>
  <c r="I22" i="13"/>
  <c r="G22" i="13"/>
  <c r="E22" i="13"/>
  <c r="F22" i="13"/>
  <c r="B22" i="13"/>
  <c r="K21" i="13"/>
  <c r="D21" i="13"/>
  <c r="M21" i="13"/>
  <c r="J21" i="13"/>
  <c r="C21" i="13"/>
  <c r="L21" i="13"/>
  <c r="H21" i="13"/>
  <c r="I21" i="13"/>
  <c r="G21" i="13"/>
  <c r="E21" i="13"/>
  <c r="F21" i="13"/>
  <c r="B21" i="13"/>
  <c r="K20" i="13"/>
  <c r="D20" i="13"/>
  <c r="M20" i="13"/>
  <c r="J20" i="13"/>
  <c r="C20" i="13"/>
  <c r="L20" i="13"/>
  <c r="H20" i="13"/>
  <c r="I20" i="13"/>
  <c r="G20" i="13"/>
  <c r="E20" i="13"/>
  <c r="F20" i="13"/>
  <c r="B20" i="13"/>
  <c r="K19" i="13"/>
  <c r="D19" i="13"/>
  <c r="M19" i="13"/>
  <c r="J19" i="13"/>
  <c r="C19" i="13"/>
  <c r="L19" i="13"/>
  <c r="H19" i="13"/>
  <c r="I19" i="13"/>
  <c r="G19" i="13"/>
  <c r="E19" i="13"/>
  <c r="F19" i="13"/>
  <c r="B19" i="13"/>
  <c r="K18" i="13"/>
  <c r="D18" i="13"/>
  <c r="M18" i="13"/>
  <c r="J18" i="13"/>
  <c r="C18" i="13"/>
  <c r="L18" i="13"/>
  <c r="H18" i="13"/>
  <c r="I18" i="13"/>
  <c r="G18" i="13"/>
  <c r="E18" i="13"/>
  <c r="F18" i="13"/>
  <c r="B18" i="13"/>
  <c r="K17" i="13"/>
  <c r="D17" i="13"/>
  <c r="M17" i="13"/>
  <c r="J17" i="13"/>
  <c r="C17" i="13"/>
  <c r="L17" i="13"/>
  <c r="H17" i="13"/>
  <c r="I17" i="13"/>
  <c r="G17" i="13"/>
  <c r="E17" i="13"/>
  <c r="F17" i="13"/>
  <c r="B17" i="13"/>
  <c r="K16" i="13"/>
  <c r="D16" i="13"/>
  <c r="M16" i="13"/>
  <c r="J16" i="13"/>
  <c r="C16" i="13"/>
  <c r="L16" i="13"/>
  <c r="H16" i="13"/>
  <c r="I16" i="13"/>
  <c r="G16" i="13"/>
  <c r="E16" i="13"/>
  <c r="F16" i="13"/>
  <c r="B16" i="13"/>
  <c r="K15" i="13"/>
  <c r="D15" i="13"/>
  <c r="M15" i="13"/>
  <c r="J15" i="13"/>
  <c r="C15" i="13"/>
  <c r="L15" i="13"/>
  <c r="H15" i="13"/>
  <c r="I15" i="13"/>
  <c r="G15" i="13"/>
  <c r="E15" i="13"/>
  <c r="F15" i="13"/>
  <c r="B15" i="13"/>
  <c r="K14" i="13"/>
  <c r="D14" i="13"/>
  <c r="M14" i="13"/>
  <c r="J14" i="13"/>
  <c r="C14" i="13"/>
  <c r="L14" i="13"/>
  <c r="H14" i="13"/>
  <c r="I14" i="13"/>
  <c r="G14" i="13"/>
  <c r="E14" i="13"/>
  <c r="F14" i="13"/>
  <c r="B14" i="13"/>
  <c r="K13" i="13"/>
  <c r="D13" i="13"/>
  <c r="M13" i="13"/>
  <c r="J13" i="13"/>
  <c r="C13" i="13"/>
  <c r="L13" i="13"/>
  <c r="H13" i="13"/>
  <c r="I13" i="13"/>
  <c r="G13" i="13"/>
  <c r="E13" i="13"/>
  <c r="F13" i="13"/>
  <c r="B13" i="13"/>
  <c r="K12" i="13"/>
  <c r="D12" i="13"/>
  <c r="M12" i="13"/>
  <c r="J12" i="13"/>
  <c r="C12" i="13"/>
  <c r="L12" i="13"/>
  <c r="H12" i="13"/>
  <c r="I12" i="13"/>
  <c r="G12" i="13"/>
  <c r="E12" i="13"/>
  <c r="F12" i="13"/>
  <c r="B12" i="13"/>
  <c r="K11" i="13"/>
  <c r="D11" i="13"/>
  <c r="M11" i="13"/>
  <c r="J11" i="13"/>
  <c r="C11" i="13"/>
  <c r="L11" i="13"/>
  <c r="H11" i="13"/>
  <c r="I11" i="13"/>
  <c r="G11" i="13"/>
  <c r="E11" i="13"/>
  <c r="F11" i="13"/>
  <c r="B11" i="13"/>
  <c r="K10" i="13"/>
  <c r="D10" i="13"/>
  <c r="M10" i="13"/>
  <c r="J10" i="13"/>
  <c r="C10" i="13"/>
  <c r="L10" i="13"/>
  <c r="H10" i="13"/>
  <c r="I10" i="13"/>
  <c r="G10" i="13"/>
  <c r="E10" i="13"/>
  <c r="F10" i="13"/>
  <c r="B10" i="13"/>
  <c r="K9" i="13"/>
  <c r="D9" i="13"/>
  <c r="M9" i="13"/>
  <c r="J9" i="13"/>
  <c r="C9" i="13"/>
  <c r="L9" i="13"/>
  <c r="H9" i="13"/>
  <c r="I9" i="13"/>
  <c r="G9" i="13"/>
  <c r="E9" i="13"/>
  <c r="F9" i="13"/>
  <c r="B9" i="13"/>
  <c r="K8" i="13"/>
  <c r="D8" i="13"/>
  <c r="M8" i="13"/>
  <c r="J8" i="13"/>
  <c r="C8" i="13"/>
  <c r="L8" i="13"/>
  <c r="H8" i="13"/>
  <c r="I8" i="13"/>
  <c r="G8" i="13"/>
  <c r="E8" i="13"/>
  <c r="F8" i="13"/>
  <c r="B8" i="13"/>
  <c r="E5" i="13"/>
  <c r="I4" i="13"/>
  <c r="G3" i="13"/>
  <c r="H2" i="13"/>
  <c r="L2" i="4"/>
  <c r="M2" i="4"/>
  <c r="K41" i="7"/>
  <c r="L41" i="7"/>
  <c r="M41" i="7"/>
  <c r="L32" i="7"/>
  <c r="M32" i="7"/>
  <c r="N41" i="7"/>
  <c r="L30" i="7"/>
  <c r="M30" i="7"/>
  <c r="L21" i="7"/>
  <c r="M21" i="7"/>
  <c r="N30" i="7"/>
  <c r="C31" i="8"/>
  <c r="D31" i="8"/>
  <c r="E31" i="8"/>
  <c r="E3" i="8"/>
  <c r="E6" i="7"/>
  <c r="C3" i="8"/>
  <c r="C6" i="7"/>
  <c r="D3" i="8"/>
  <c r="F3" i="8"/>
  <c r="H31" i="8"/>
  <c r="I31" i="8"/>
  <c r="C9" i="8"/>
  <c r="C10" i="8"/>
  <c r="B11" i="8"/>
  <c r="C11" i="8"/>
  <c r="B12" i="8"/>
  <c r="C12" i="8"/>
  <c r="B13" i="8"/>
  <c r="C13" i="8"/>
  <c r="C5" i="8"/>
  <c r="B14" i="8"/>
  <c r="C14" i="8"/>
  <c r="B15" i="8"/>
  <c r="C15" i="8"/>
  <c r="B16" i="8"/>
  <c r="C16" i="8"/>
  <c r="B17" i="8"/>
  <c r="C17" i="8"/>
  <c r="B18" i="8"/>
  <c r="C18" i="8"/>
  <c r="E9" i="7"/>
  <c r="C6" i="8"/>
  <c r="B19" i="8"/>
  <c r="C19" i="8"/>
  <c r="E7" i="7"/>
  <c r="C4" i="8"/>
  <c r="B20" i="8"/>
  <c r="C20" i="8"/>
  <c r="B21" i="8"/>
  <c r="C21" i="8"/>
  <c r="G2" i="8"/>
  <c r="B22" i="8"/>
  <c r="C22" i="8"/>
  <c r="B23" i="8"/>
  <c r="C23" i="8"/>
  <c r="B24" i="8"/>
  <c r="C24" i="8"/>
  <c r="B25" i="8"/>
  <c r="C25" i="8"/>
  <c r="B26" i="8"/>
  <c r="C26" i="8"/>
  <c r="E6" i="8"/>
  <c r="C9" i="7"/>
  <c r="D6" i="8"/>
  <c r="G6" i="8"/>
  <c r="B27" i="8"/>
  <c r="C27" i="8"/>
  <c r="E5" i="8"/>
  <c r="C8" i="7"/>
  <c r="D5" i="8"/>
  <c r="G5" i="8"/>
  <c r="B28" i="8"/>
  <c r="C28" i="8"/>
  <c r="E4" i="8"/>
  <c r="C7" i="7"/>
  <c r="D4" i="8"/>
  <c r="G4" i="8"/>
  <c r="B29" i="8"/>
  <c r="C29" i="8"/>
  <c r="B30" i="8"/>
  <c r="C30" i="8"/>
  <c r="F2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F4" i="8"/>
  <c r="J9" i="8"/>
  <c r="K9" i="8"/>
  <c r="F5" i="8"/>
  <c r="L9" i="8"/>
  <c r="M9" i="8"/>
  <c r="F6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N8" i="8"/>
  <c r="L8" i="8"/>
  <c r="J8" i="8"/>
  <c r="D28" i="8"/>
  <c r="E28" i="8"/>
  <c r="D29" i="8"/>
  <c r="E29" i="8"/>
  <c r="D30" i="8"/>
  <c r="E30" i="8"/>
  <c r="D22" i="8"/>
  <c r="E22" i="8"/>
  <c r="H6" i="8"/>
  <c r="H4" i="8"/>
  <c r="L40" i="7"/>
  <c r="M40" i="7"/>
  <c r="L29" i="7"/>
  <c r="M29" i="7"/>
  <c r="L27" i="7"/>
  <c r="M27" i="7"/>
  <c r="L28" i="7"/>
  <c r="M28" i="7"/>
  <c r="L38" i="7"/>
  <c r="M38" i="7"/>
  <c r="L39" i="7"/>
  <c r="M39" i="7"/>
  <c r="L49" i="7"/>
  <c r="M49" i="7"/>
  <c r="H5" i="8"/>
  <c r="G3" i="8"/>
  <c r="H3" i="8"/>
  <c r="L50" i="7"/>
  <c r="M50" i="7"/>
  <c r="L72" i="7"/>
  <c r="M72" i="7"/>
  <c r="L61" i="7"/>
  <c r="M61" i="7"/>
  <c r="G6" i="7"/>
  <c r="G8" i="7"/>
  <c r="H6" i="7"/>
  <c r="J6" i="7"/>
  <c r="M9" i="7"/>
  <c r="H7" i="7"/>
  <c r="J7" i="7"/>
  <c r="G7" i="7"/>
  <c r="L51" i="7"/>
  <c r="M51" i="7"/>
  <c r="L60" i="7"/>
  <c r="M60" i="7"/>
  <c r="L71" i="7"/>
  <c r="M71" i="7"/>
  <c r="M8" i="7"/>
  <c r="G9" i="7"/>
  <c r="M7" i="7"/>
  <c r="I6" i="7"/>
  <c r="M6" i="7"/>
  <c r="L5" i="7"/>
  <c r="A21" i="7"/>
  <c r="K6" i="7"/>
  <c r="L62" i="7"/>
  <c r="M62" i="7"/>
  <c r="L73" i="7"/>
  <c r="M73" i="7"/>
  <c r="I7" i="7"/>
  <c r="K7" i="7"/>
  <c r="L22" i="7"/>
  <c r="M22" i="7"/>
  <c r="L37" i="7"/>
  <c r="M37" i="7"/>
  <c r="L25" i="7"/>
  <c r="M25" i="7"/>
  <c r="L34" i="7"/>
  <c r="M34" i="7"/>
  <c r="L24" i="7"/>
  <c r="M24" i="7"/>
  <c r="L23" i="7"/>
  <c r="M23" i="7"/>
  <c r="L26" i="7"/>
  <c r="M26" i="7"/>
  <c r="L45" i="7"/>
  <c r="M45" i="7"/>
  <c r="L48" i="7"/>
  <c r="M48" i="7"/>
  <c r="L36" i="7"/>
  <c r="M36" i="7"/>
  <c r="L35" i="7"/>
  <c r="M35" i="7"/>
  <c r="L33" i="7"/>
  <c r="M33" i="7"/>
  <c r="E5" i="12"/>
  <c r="B3" i="9"/>
  <c r="E3" i="9"/>
  <c r="K9" i="9"/>
  <c r="K8" i="9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B8" i="12"/>
  <c r="I4" i="12"/>
  <c r="H4" i="12"/>
  <c r="G4" i="12"/>
  <c r="E4" i="12"/>
  <c r="G2" i="12"/>
  <c r="G3" i="12"/>
  <c r="B3" i="12"/>
  <c r="E3" i="12"/>
  <c r="H2" i="12"/>
  <c r="E2" i="12"/>
  <c r="L56" i="7"/>
  <c r="M56" i="7"/>
  <c r="L67" i="7"/>
  <c r="M67" i="7"/>
  <c r="L59" i="7"/>
  <c r="M59" i="7"/>
  <c r="L70" i="7"/>
  <c r="M70" i="7"/>
  <c r="L44" i="7"/>
  <c r="M44" i="7"/>
  <c r="L46" i="7"/>
  <c r="M46" i="7"/>
  <c r="L47" i="7"/>
  <c r="M47" i="7"/>
  <c r="B5" i="12"/>
  <c r="G8" i="12"/>
  <c r="H8" i="12"/>
  <c r="I8" i="12"/>
  <c r="K8" i="12"/>
  <c r="M8" i="12"/>
  <c r="J8" i="12"/>
  <c r="L8" i="12"/>
  <c r="H3" i="12"/>
  <c r="E8" i="12"/>
  <c r="F8" i="12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21" i="7"/>
  <c r="L58" i="7"/>
  <c r="M58" i="7"/>
  <c r="L69" i="7"/>
  <c r="M69" i="7"/>
  <c r="L55" i="7"/>
  <c r="M55" i="7"/>
  <c r="L57" i="7"/>
  <c r="M57" i="7"/>
  <c r="L68" i="7"/>
  <c r="M68" i="7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B9" i="12"/>
  <c r="J9" i="12"/>
  <c r="L9" i="12"/>
  <c r="J3" i="9"/>
  <c r="H4" i="9"/>
  <c r="G4" i="9"/>
  <c r="G13" i="11"/>
  <c r="G12" i="11"/>
  <c r="G11" i="11"/>
  <c r="B10" i="11"/>
  <c r="G10" i="11"/>
  <c r="D4" i="11"/>
  <c r="E10" i="11"/>
  <c r="E11" i="11"/>
  <c r="C10" i="11"/>
  <c r="D10" i="11"/>
  <c r="E12" i="11"/>
  <c r="F11" i="11"/>
  <c r="F10" i="11"/>
  <c r="F12" i="11"/>
  <c r="E13" i="11"/>
  <c r="F13" i="11"/>
  <c r="H13" i="11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B9" i="9"/>
  <c r="D8" i="9"/>
  <c r="C8" i="9"/>
  <c r="B8" i="9"/>
  <c r="H3" i="9"/>
  <c r="E4" i="9"/>
  <c r="H21" i="9"/>
  <c r="I4" i="9"/>
  <c r="H2" i="9"/>
  <c r="G2" i="9"/>
  <c r="G3" i="9"/>
  <c r="E2" i="9"/>
  <c r="E28" i="9"/>
  <c r="F28" i="9"/>
  <c r="J21" i="9"/>
  <c r="H23" i="9"/>
  <c r="J23" i="9"/>
  <c r="E19" i="9"/>
  <c r="E27" i="9"/>
  <c r="F27" i="9"/>
  <c r="G22" i="9"/>
  <c r="I22" i="9"/>
  <c r="H19" i="9"/>
  <c r="J19" i="9"/>
  <c r="E31" i="9"/>
  <c r="F31" i="9"/>
  <c r="G26" i="9"/>
  <c r="I26" i="9"/>
  <c r="E15" i="9"/>
  <c r="H31" i="9"/>
  <c r="J31" i="9"/>
  <c r="E23" i="9"/>
  <c r="E11" i="9"/>
  <c r="G30" i="9"/>
  <c r="I30" i="9"/>
  <c r="H27" i="9"/>
  <c r="J27" i="9"/>
  <c r="E22" i="9"/>
  <c r="E14" i="9"/>
  <c r="G29" i="9"/>
  <c r="I29" i="9"/>
  <c r="G25" i="9"/>
  <c r="I25" i="9"/>
  <c r="G21" i="9"/>
  <c r="I21" i="9"/>
  <c r="E25" i="9"/>
  <c r="E21" i="9"/>
  <c r="E17" i="9"/>
  <c r="E13" i="9"/>
  <c r="E9" i="9"/>
  <c r="E29" i="9"/>
  <c r="F29" i="9"/>
  <c r="G32" i="9"/>
  <c r="I32" i="9"/>
  <c r="G28" i="9"/>
  <c r="I28" i="9"/>
  <c r="G24" i="9"/>
  <c r="I24" i="9"/>
  <c r="G20" i="9"/>
  <c r="I20" i="9"/>
  <c r="H32" i="9"/>
  <c r="J32" i="9"/>
  <c r="H28" i="9"/>
  <c r="J28" i="9"/>
  <c r="H24" i="9"/>
  <c r="J24" i="9"/>
  <c r="H20" i="9"/>
  <c r="J20" i="9"/>
  <c r="E18" i="9"/>
  <c r="E10" i="9"/>
  <c r="E30" i="9"/>
  <c r="F30" i="9"/>
  <c r="E26" i="9"/>
  <c r="F26" i="9"/>
  <c r="K3" i="9"/>
  <c r="E24" i="9"/>
  <c r="E20" i="9"/>
  <c r="E16" i="9"/>
  <c r="E12" i="9"/>
  <c r="E32" i="9"/>
  <c r="F32" i="9"/>
  <c r="G31" i="9"/>
  <c r="I31" i="9"/>
  <c r="G27" i="9"/>
  <c r="I27" i="9"/>
  <c r="G23" i="9"/>
  <c r="I23" i="9"/>
  <c r="G19" i="9"/>
  <c r="I19" i="9"/>
  <c r="H30" i="9"/>
  <c r="J30" i="9"/>
  <c r="H29" i="9"/>
  <c r="J29" i="9"/>
  <c r="H26" i="9"/>
  <c r="J26" i="9"/>
  <c r="H25" i="9"/>
  <c r="J25" i="9"/>
  <c r="H22" i="9"/>
  <c r="J22" i="9"/>
  <c r="B20" i="9"/>
  <c r="B11" i="9"/>
  <c r="H11" i="9"/>
  <c r="J11" i="9"/>
  <c r="G12" i="9"/>
  <c r="I12" i="9"/>
  <c r="G8" i="9"/>
  <c r="I8" i="9"/>
  <c r="G9" i="9"/>
  <c r="I9" i="9"/>
  <c r="B10" i="9"/>
  <c r="H12" i="9"/>
  <c r="J12" i="9"/>
  <c r="H8" i="9"/>
  <c r="J8" i="9"/>
  <c r="H9" i="9"/>
  <c r="J9" i="9"/>
  <c r="G10" i="9"/>
  <c r="I10" i="9"/>
  <c r="E8" i="9"/>
  <c r="H10" i="9"/>
  <c r="J10" i="9"/>
  <c r="G11" i="9"/>
  <c r="I11" i="9"/>
  <c r="L19" i="9"/>
  <c r="M19" i="9"/>
  <c r="K22" i="9"/>
  <c r="L23" i="9"/>
  <c r="M23" i="9"/>
  <c r="K26" i="9"/>
  <c r="L27" i="9"/>
  <c r="M27" i="9"/>
  <c r="K30" i="9"/>
  <c r="L31" i="9"/>
  <c r="M31" i="9"/>
  <c r="K24" i="9"/>
  <c r="K28" i="9"/>
  <c r="K29" i="9"/>
  <c r="K19" i="9"/>
  <c r="L25" i="9"/>
  <c r="M25" i="9"/>
  <c r="K27" i="9"/>
  <c r="K31" i="9"/>
  <c r="L32" i="9"/>
  <c r="M32" i="9"/>
  <c r="L22" i="9"/>
  <c r="M22" i="9"/>
  <c r="L26" i="9"/>
  <c r="M26" i="9"/>
  <c r="L30" i="9"/>
  <c r="M30" i="9"/>
  <c r="K20" i="9"/>
  <c r="K21" i="9"/>
  <c r="K25" i="9"/>
  <c r="K32" i="9"/>
  <c r="L20" i="9"/>
  <c r="M20" i="9"/>
  <c r="L21" i="9"/>
  <c r="M21" i="9"/>
  <c r="K23" i="9"/>
  <c r="L24" i="9"/>
  <c r="M24" i="9"/>
  <c r="L28" i="9"/>
  <c r="M28" i="9"/>
  <c r="L29" i="9"/>
  <c r="M29" i="9"/>
  <c r="F12" i="9"/>
  <c r="F11" i="9"/>
  <c r="F10" i="9"/>
  <c r="F9" i="9"/>
  <c r="K12" i="9"/>
  <c r="L11" i="9"/>
  <c r="M11" i="9"/>
  <c r="K11" i="9"/>
  <c r="L10" i="9"/>
  <c r="M10" i="9"/>
  <c r="K10" i="9"/>
  <c r="L9" i="9"/>
  <c r="M9" i="9"/>
  <c r="L8" i="9"/>
  <c r="M8" i="9"/>
  <c r="L12" i="9"/>
  <c r="M12" i="9"/>
  <c r="F20" i="9"/>
  <c r="F8" i="9"/>
  <c r="B12" i="9"/>
  <c r="C5" i="4"/>
  <c r="I5" i="4"/>
  <c r="B13" i="9"/>
  <c r="G13" i="9"/>
  <c r="I13" i="9"/>
  <c r="H13" i="9"/>
  <c r="J13" i="9"/>
  <c r="K13" i="9"/>
  <c r="L13" i="9"/>
  <c r="M13" i="9"/>
  <c r="F13" i="9"/>
  <c r="B14" i="9"/>
  <c r="G14" i="9"/>
  <c r="I14" i="9"/>
  <c r="H14" i="9"/>
  <c r="J14" i="9"/>
  <c r="L14" i="9"/>
  <c r="M14" i="9"/>
  <c r="K14" i="9"/>
  <c r="I2" i="4"/>
  <c r="H3" i="4"/>
  <c r="H5" i="4"/>
  <c r="K3" i="4"/>
  <c r="B15" i="9"/>
  <c r="G15" i="9"/>
  <c r="I15" i="9"/>
  <c r="H15" i="9"/>
  <c r="J15" i="9"/>
  <c r="K15" i="9"/>
  <c r="L15" i="9"/>
  <c r="M15" i="9"/>
  <c r="F14" i="9"/>
  <c r="C4" i="4"/>
  <c r="H4" i="4"/>
  <c r="H2" i="4"/>
  <c r="I4" i="4"/>
  <c r="J4" i="4"/>
  <c r="J3" i="4"/>
  <c r="I43" i="8"/>
  <c r="I44" i="8"/>
  <c r="I45" i="8"/>
  <c r="I46" i="8"/>
  <c r="I41" i="8"/>
  <c r="I42" i="8"/>
  <c r="I40" i="8"/>
  <c r="I39" i="8"/>
  <c r="D24" i="8"/>
  <c r="E24" i="8"/>
  <c r="D21" i="8"/>
  <c r="E21" i="8"/>
  <c r="D26" i="8"/>
  <c r="E26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3" i="8"/>
  <c r="E23" i="8"/>
  <c r="D25" i="8"/>
  <c r="E25" i="8"/>
  <c r="D27" i="8"/>
  <c r="H8" i="8"/>
  <c r="F8" i="8"/>
  <c r="F46" i="8"/>
  <c r="F45" i="8"/>
  <c r="F44" i="8"/>
  <c r="F43" i="8"/>
  <c r="F42" i="8"/>
  <c r="F41" i="8"/>
  <c r="F40" i="8"/>
  <c r="F39" i="8"/>
  <c r="F38" i="8"/>
  <c r="F37" i="8"/>
  <c r="E27" i="8"/>
  <c r="E13" i="8"/>
  <c r="D13" i="8"/>
  <c r="E12" i="8"/>
  <c r="D12" i="8"/>
  <c r="E11" i="8"/>
  <c r="D11" i="8"/>
  <c r="E10" i="8"/>
  <c r="D10" i="8"/>
  <c r="E9" i="8"/>
  <c r="D9" i="8"/>
  <c r="F15" i="9"/>
  <c r="B16" i="9"/>
  <c r="G16" i="9"/>
  <c r="I16" i="9"/>
  <c r="H16" i="9"/>
  <c r="J16" i="9"/>
  <c r="L16" i="9"/>
  <c r="M16" i="9"/>
  <c r="K16" i="9"/>
  <c r="H5" i="7"/>
  <c r="B17" i="9"/>
  <c r="H17" i="9"/>
  <c r="J17" i="9"/>
  <c r="G17" i="9"/>
  <c r="I17" i="9"/>
  <c r="L17" i="9"/>
  <c r="M17" i="9"/>
  <c r="K17" i="9"/>
  <c r="F16" i="9"/>
  <c r="G2" i="4"/>
  <c r="B21" i="4"/>
  <c r="G3" i="4"/>
  <c r="D9" i="4"/>
  <c r="T9" i="4"/>
  <c r="D10" i="4"/>
  <c r="T10" i="4"/>
  <c r="D11" i="4"/>
  <c r="T11" i="4"/>
  <c r="D12" i="4"/>
  <c r="T12" i="4"/>
  <c r="D13" i="4"/>
  <c r="T13" i="4"/>
  <c r="D14" i="4"/>
  <c r="T14" i="4"/>
  <c r="D15" i="4"/>
  <c r="T15" i="4"/>
  <c r="D16" i="4"/>
  <c r="T16" i="4"/>
  <c r="D17" i="4"/>
  <c r="T17" i="4"/>
  <c r="D18" i="4"/>
  <c r="T18" i="4"/>
  <c r="D19" i="4"/>
  <c r="T19" i="4"/>
  <c r="D20" i="4"/>
  <c r="T20" i="4"/>
  <c r="D21" i="4"/>
  <c r="T21" i="4"/>
  <c r="D22" i="4"/>
  <c r="T22" i="4"/>
  <c r="D23" i="4"/>
  <c r="T23" i="4"/>
  <c r="D24" i="4"/>
  <c r="T24" i="4"/>
  <c r="D25" i="4"/>
  <c r="T25" i="4"/>
  <c r="D26" i="4"/>
  <c r="T26" i="4"/>
  <c r="D8" i="4"/>
  <c r="F43" i="4"/>
  <c r="F42" i="4"/>
  <c r="F41" i="4"/>
  <c r="F40" i="4"/>
  <c r="F39" i="4"/>
  <c r="F38" i="4"/>
  <c r="F37" i="4"/>
  <c r="F36" i="4"/>
  <c r="F35" i="4"/>
  <c r="F34" i="4"/>
  <c r="E26" i="4"/>
  <c r="U26" i="4"/>
  <c r="E25" i="4"/>
  <c r="U25" i="4"/>
  <c r="E24" i="4"/>
  <c r="U24" i="4"/>
  <c r="E23" i="4"/>
  <c r="U23" i="4"/>
  <c r="E22" i="4"/>
  <c r="U22" i="4"/>
  <c r="E21" i="4"/>
  <c r="E20" i="4"/>
  <c r="U20" i="4"/>
  <c r="E19" i="4"/>
  <c r="U19" i="4"/>
  <c r="E18" i="4"/>
  <c r="U18" i="4"/>
  <c r="E17" i="4"/>
  <c r="U17" i="4"/>
  <c r="E16" i="4"/>
  <c r="U16" i="4"/>
  <c r="E15" i="4"/>
  <c r="U15" i="4"/>
  <c r="E14" i="4"/>
  <c r="U14" i="4"/>
  <c r="E13" i="4"/>
  <c r="U13" i="4"/>
  <c r="E12" i="4"/>
  <c r="U12" i="4"/>
  <c r="E11" i="4"/>
  <c r="U11" i="4"/>
  <c r="B11" i="4"/>
  <c r="E10" i="4"/>
  <c r="C10" i="4"/>
  <c r="E9" i="4"/>
  <c r="U9" i="4"/>
  <c r="C9" i="4"/>
  <c r="E8" i="4"/>
  <c r="B8" i="4"/>
  <c r="C8" i="4"/>
  <c r="F3" i="4"/>
  <c r="I9" i="4"/>
  <c r="F2" i="4"/>
  <c r="F17" i="9"/>
  <c r="B18" i="9"/>
  <c r="G18" i="9"/>
  <c r="I18" i="9"/>
  <c r="H18" i="9"/>
  <c r="J18" i="9"/>
  <c r="K18" i="9"/>
  <c r="L18" i="9"/>
  <c r="M18" i="9"/>
  <c r="F10" i="4"/>
  <c r="F5" i="4"/>
  <c r="C11" i="4"/>
  <c r="P11" i="4"/>
  <c r="Q11" i="4"/>
  <c r="U10" i="4"/>
  <c r="U21" i="4"/>
  <c r="K9" i="4"/>
  <c r="F11" i="4"/>
  <c r="G4" i="4"/>
  <c r="H9" i="4"/>
  <c r="H8" i="4"/>
  <c r="G10" i="4"/>
  <c r="S10" i="4"/>
  <c r="V10" i="4"/>
  <c r="R10" i="4"/>
  <c r="H11" i="4"/>
  <c r="H10" i="4"/>
  <c r="C21" i="4"/>
  <c r="F21" i="4"/>
  <c r="F8" i="4"/>
  <c r="G8" i="4"/>
  <c r="F9" i="4"/>
  <c r="B12" i="4"/>
  <c r="F4" i="4"/>
  <c r="L8" i="4"/>
  <c r="I10" i="4"/>
  <c r="K10" i="4"/>
  <c r="I11" i="4"/>
  <c r="K11" i="4"/>
  <c r="B19" i="9"/>
  <c r="F18" i="9"/>
  <c r="O21" i="4"/>
  <c r="P10" i="4"/>
  <c r="Q10" i="4"/>
  <c r="O8" i="4"/>
  <c r="P21" i="4"/>
  <c r="Q21" i="4"/>
  <c r="P8" i="4"/>
  <c r="Q8" i="4"/>
  <c r="O10" i="4"/>
  <c r="O9" i="4"/>
  <c r="P9" i="4"/>
  <c r="Q9" i="4"/>
  <c r="O11" i="4"/>
  <c r="H12" i="4"/>
  <c r="P12" i="4"/>
  <c r="Q12" i="4"/>
  <c r="O12" i="4"/>
  <c r="J10" i="4"/>
  <c r="J11" i="4"/>
  <c r="J9" i="4"/>
  <c r="J12" i="4"/>
  <c r="G11" i="4"/>
  <c r="S11" i="4"/>
  <c r="V11" i="4"/>
  <c r="R11" i="4"/>
  <c r="G21" i="4"/>
  <c r="S21" i="4"/>
  <c r="R21" i="4"/>
  <c r="L11" i="4"/>
  <c r="L12" i="4"/>
  <c r="L10" i="4"/>
  <c r="L9" i="4"/>
  <c r="G9" i="4"/>
  <c r="S9" i="4"/>
  <c r="V9" i="4"/>
  <c r="R9" i="4"/>
  <c r="M8" i="4"/>
  <c r="N8" i="4"/>
  <c r="M12" i="4"/>
  <c r="N12" i="4"/>
  <c r="M11" i="4"/>
  <c r="N11" i="4"/>
  <c r="M10" i="4"/>
  <c r="N10" i="4"/>
  <c r="M9" i="4"/>
  <c r="N9" i="4"/>
  <c r="C12" i="4"/>
  <c r="B13" i="4"/>
  <c r="F12" i="4"/>
  <c r="I12" i="4"/>
  <c r="K12" i="4"/>
  <c r="F19" i="9"/>
  <c r="B21" i="9"/>
  <c r="F21" i="9"/>
  <c r="H13" i="4"/>
  <c r="O13" i="4"/>
  <c r="P13" i="4"/>
  <c r="Q13" i="4"/>
  <c r="J13" i="4"/>
  <c r="L13" i="4"/>
  <c r="G12" i="4"/>
  <c r="S12" i="4"/>
  <c r="V12" i="4"/>
  <c r="R12" i="4"/>
  <c r="M13" i="4"/>
  <c r="N13" i="4"/>
  <c r="C13" i="4"/>
  <c r="B14" i="4"/>
  <c r="F13" i="4"/>
  <c r="I13" i="4"/>
  <c r="K13" i="4"/>
  <c r="B22" i="9"/>
  <c r="F22" i="9"/>
  <c r="P14" i="4"/>
  <c r="Q14" i="4"/>
  <c r="O14" i="4"/>
  <c r="G13" i="4"/>
  <c r="S13" i="4"/>
  <c r="V13" i="4"/>
  <c r="R13" i="4"/>
  <c r="H14" i="4"/>
  <c r="L14" i="4"/>
  <c r="C14" i="4"/>
  <c r="B15" i="4"/>
  <c r="F14" i="4"/>
  <c r="I14" i="4"/>
  <c r="K14" i="4"/>
  <c r="M14" i="4"/>
  <c r="N14" i="4"/>
  <c r="B23" i="9"/>
  <c r="F23" i="9"/>
  <c r="P15" i="4"/>
  <c r="Q15" i="4"/>
  <c r="O15" i="4"/>
  <c r="J14" i="4"/>
  <c r="G14" i="4"/>
  <c r="S14" i="4"/>
  <c r="V14" i="4"/>
  <c r="R14" i="4"/>
  <c r="H15" i="4"/>
  <c r="L15" i="4"/>
  <c r="C15" i="4"/>
  <c r="F15" i="4"/>
  <c r="B16" i="4"/>
  <c r="I15" i="4"/>
  <c r="K15" i="4"/>
  <c r="M15" i="4"/>
  <c r="N15" i="4"/>
  <c r="B24" i="9"/>
  <c r="F24" i="9"/>
  <c r="P16" i="4"/>
  <c r="Q16" i="4"/>
  <c r="O16" i="4"/>
  <c r="J15" i="4"/>
  <c r="H16" i="4"/>
  <c r="L16" i="4"/>
  <c r="G15" i="4"/>
  <c r="S15" i="4"/>
  <c r="V15" i="4"/>
  <c r="R15" i="4"/>
  <c r="C16" i="4"/>
  <c r="B17" i="4"/>
  <c r="F16" i="4"/>
  <c r="I16" i="4"/>
  <c r="K16" i="4"/>
  <c r="M16" i="4"/>
  <c r="N16" i="4"/>
  <c r="B25" i="9"/>
  <c r="F25" i="9"/>
  <c r="P17" i="4"/>
  <c r="Q17" i="4"/>
  <c r="O17" i="4"/>
  <c r="J16" i="4"/>
  <c r="G16" i="4"/>
  <c r="S16" i="4"/>
  <c r="V16" i="4"/>
  <c r="R16" i="4"/>
  <c r="H17" i="4"/>
  <c r="L17" i="4"/>
  <c r="C17" i="4"/>
  <c r="B18" i="4"/>
  <c r="F17" i="4"/>
  <c r="I17" i="4"/>
  <c r="K17" i="4"/>
  <c r="M17" i="4"/>
  <c r="N17" i="4"/>
  <c r="P18" i="4"/>
  <c r="Q18" i="4"/>
  <c r="O18" i="4"/>
  <c r="J17" i="4"/>
  <c r="G17" i="4"/>
  <c r="S17" i="4"/>
  <c r="V17" i="4"/>
  <c r="R17" i="4"/>
  <c r="H18" i="4"/>
  <c r="L18" i="4"/>
  <c r="C18" i="4"/>
  <c r="B19" i="4"/>
  <c r="F18" i="4"/>
  <c r="I18" i="4"/>
  <c r="K18" i="4"/>
  <c r="M18" i="4"/>
  <c r="N18" i="4"/>
  <c r="P19" i="4"/>
  <c r="Q19" i="4"/>
  <c r="O19" i="4"/>
  <c r="J18" i="4"/>
  <c r="G18" i="4"/>
  <c r="S18" i="4"/>
  <c r="V18" i="4"/>
  <c r="R18" i="4"/>
  <c r="H19" i="4"/>
  <c r="L19" i="4"/>
  <c r="C19" i="4"/>
  <c r="F19" i="4"/>
  <c r="B20" i="4"/>
  <c r="I19" i="4"/>
  <c r="K19" i="4"/>
  <c r="M19" i="4"/>
  <c r="N19" i="4"/>
  <c r="O20" i="4"/>
  <c r="P20" i="4"/>
  <c r="Q20" i="4"/>
  <c r="J19" i="4"/>
  <c r="G19" i="4"/>
  <c r="S19" i="4"/>
  <c r="V19" i="4"/>
  <c r="R19" i="4"/>
  <c r="C20" i="4"/>
  <c r="B22" i="4"/>
  <c r="F20" i="4"/>
  <c r="V21" i="4"/>
  <c r="G20" i="4"/>
  <c r="S20" i="4"/>
  <c r="V20" i="4"/>
  <c r="R20" i="4"/>
  <c r="V22" i="4"/>
  <c r="C22" i="4"/>
  <c r="B23" i="4"/>
  <c r="F22" i="4"/>
  <c r="G22" i="4"/>
  <c r="B24" i="4"/>
  <c r="V23" i="4"/>
  <c r="C23" i="4"/>
  <c r="F23" i="4"/>
  <c r="G23" i="4"/>
  <c r="B25" i="4"/>
  <c r="C24" i="4"/>
  <c r="V24" i="4"/>
  <c r="F24" i="4"/>
  <c r="G24" i="4"/>
  <c r="C25" i="4"/>
  <c r="B26" i="4"/>
  <c r="V25" i="4"/>
  <c r="F25" i="4"/>
  <c r="G25" i="4"/>
  <c r="V26" i="4"/>
  <c r="C26" i="4"/>
  <c r="F26" i="4"/>
  <c r="G26" i="4"/>
  <c r="I38" i="8"/>
  <c r="G5" i="7"/>
  <c r="M5" i="7"/>
  <c r="J5" i="7"/>
  <c r="H9" i="7"/>
  <c r="H8" i="7"/>
  <c r="E9" i="12"/>
  <c r="F9" i="12"/>
  <c r="H9" i="12"/>
  <c r="I9" i="12"/>
  <c r="K9" i="12"/>
  <c r="M9" i="12"/>
  <c r="G9" i="12"/>
  <c r="H10" i="12"/>
  <c r="I10" i="12"/>
  <c r="H2" i="8"/>
  <c r="J8" i="7"/>
  <c r="I8" i="7"/>
  <c r="J9" i="7"/>
  <c r="I9" i="7"/>
  <c r="K9" i="7"/>
  <c r="I5" i="7"/>
  <c r="K5" i="7"/>
  <c r="E10" i="12"/>
  <c r="F10" i="12"/>
  <c r="K10" i="12"/>
  <c r="M10" i="12"/>
  <c r="J10" i="12"/>
  <c r="L10" i="12"/>
  <c r="G10" i="12"/>
  <c r="B10" i="12"/>
  <c r="B11" i="12"/>
  <c r="H11" i="12"/>
  <c r="I11" i="12"/>
  <c r="K11" i="12"/>
  <c r="M11" i="12"/>
  <c r="J11" i="12"/>
  <c r="L11" i="12"/>
  <c r="E11" i="12"/>
  <c r="F11" i="12"/>
  <c r="G11" i="12"/>
  <c r="K8" i="7"/>
  <c r="D24" i="7"/>
  <c r="D28" i="7"/>
  <c r="D32" i="7"/>
  <c r="D36" i="7"/>
  <c r="D40" i="7"/>
  <c r="D23" i="7"/>
  <c r="D35" i="7"/>
  <c r="D25" i="7"/>
  <c r="D29" i="7"/>
  <c r="D33" i="7"/>
  <c r="D37" i="7"/>
  <c r="D41" i="7"/>
  <c r="D27" i="7"/>
  <c r="D39" i="7"/>
  <c r="D22" i="7"/>
  <c r="D26" i="7"/>
  <c r="D30" i="7"/>
  <c r="D34" i="7"/>
  <c r="D38" i="7"/>
  <c r="D21" i="7"/>
  <c r="D31" i="7"/>
  <c r="E25" i="7"/>
  <c r="E29" i="7"/>
  <c r="E33" i="7"/>
  <c r="E37" i="7"/>
  <c r="E41" i="7"/>
  <c r="E28" i="7"/>
  <c r="E36" i="7"/>
  <c r="E22" i="7"/>
  <c r="E26" i="7"/>
  <c r="E30" i="7"/>
  <c r="E34" i="7"/>
  <c r="E38" i="7"/>
  <c r="E21" i="7"/>
  <c r="E32" i="7"/>
  <c r="E40" i="7"/>
  <c r="E23" i="7"/>
  <c r="E27" i="7"/>
  <c r="E31" i="7"/>
  <c r="E35" i="7"/>
  <c r="E39" i="7"/>
  <c r="E24" i="7"/>
  <c r="B12" i="12"/>
  <c r="G12" i="12"/>
  <c r="H12" i="12"/>
  <c r="I12" i="12"/>
  <c r="K12" i="12"/>
  <c r="M12" i="12"/>
  <c r="E12" i="12"/>
  <c r="F12" i="12"/>
  <c r="J12" i="12"/>
  <c r="L12" i="12"/>
  <c r="J13" i="12"/>
  <c r="L13" i="12"/>
  <c r="B13" i="12"/>
  <c r="K13" i="12"/>
  <c r="M13" i="12"/>
  <c r="E13" i="12"/>
  <c r="F13" i="12"/>
  <c r="G13" i="12"/>
  <c r="H13" i="12"/>
  <c r="I13" i="12"/>
  <c r="B14" i="12"/>
  <c r="E14" i="12"/>
  <c r="F14" i="12"/>
  <c r="J14" i="12"/>
  <c r="L14" i="12"/>
  <c r="G14" i="12"/>
  <c r="H14" i="12"/>
  <c r="I14" i="12"/>
  <c r="K14" i="12"/>
  <c r="M14" i="12"/>
  <c r="H15" i="12"/>
  <c r="I15" i="12"/>
  <c r="E15" i="12"/>
  <c r="F15" i="12"/>
  <c r="K15" i="12"/>
  <c r="M15" i="12"/>
  <c r="J15" i="12"/>
  <c r="L15" i="12"/>
  <c r="G15" i="12"/>
  <c r="B15" i="12"/>
  <c r="B16" i="12"/>
  <c r="J16" i="12"/>
  <c r="L16" i="12"/>
  <c r="G16" i="12"/>
  <c r="E16" i="12"/>
  <c r="F16" i="12"/>
  <c r="H16" i="12"/>
  <c r="I16" i="12"/>
  <c r="K16" i="12"/>
  <c r="M16" i="12"/>
  <c r="J17" i="12"/>
  <c r="L17" i="12"/>
  <c r="K17" i="12"/>
  <c r="M17" i="12"/>
  <c r="B17" i="12"/>
  <c r="G17" i="12"/>
  <c r="H17" i="12"/>
  <c r="I17" i="12"/>
  <c r="E17" i="12"/>
  <c r="F17" i="12"/>
  <c r="B18" i="12"/>
  <c r="E18" i="12"/>
  <c r="F18" i="12"/>
  <c r="H18" i="12"/>
  <c r="I18" i="12"/>
  <c r="G18" i="12"/>
  <c r="J18" i="12"/>
  <c r="L18" i="12"/>
  <c r="K18" i="12"/>
  <c r="M18" i="12"/>
  <c r="G19" i="12"/>
  <c r="E19" i="12"/>
  <c r="F19" i="12"/>
  <c r="K19" i="12"/>
  <c r="M19" i="12"/>
  <c r="H19" i="12"/>
  <c r="I19" i="12"/>
  <c r="J19" i="12"/>
  <c r="L19" i="12"/>
  <c r="B19" i="12"/>
  <c r="G20" i="12"/>
  <c r="J20" i="12"/>
  <c r="L20" i="12"/>
  <c r="E20" i="12"/>
  <c r="F20" i="12"/>
  <c r="K20" i="12"/>
  <c r="M20" i="12"/>
  <c r="B20" i="12"/>
  <c r="H20" i="12"/>
  <c r="I20" i="12"/>
  <c r="B21" i="12"/>
  <c r="K21" i="12"/>
  <c r="M21" i="12"/>
  <c r="J21" i="12"/>
  <c r="L21" i="12"/>
  <c r="H21" i="12"/>
  <c r="I21" i="12"/>
  <c r="G21" i="12"/>
  <c r="E21" i="12"/>
  <c r="F21" i="12"/>
  <c r="B22" i="12"/>
  <c r="E22" i="12"/>
  <c r="F22" i="12"/>
  <c r="H22" i="12"/>
  <c r="I22" i="12"/>
  <c r="J22" i="12"/>
  <c r="L22" i="12"/>
  <c r="K22" i="12"/>
  <c r="M22" i="12"/>
  <c r="G22" i="12"/>
  <c r="G23" i="12"/>
  <c r="E23" i="12"/>
  <c r="F23" i="12"/>
  <c r="K23" i="12"/>
  <c r="M23" i="12"/>
  <c r="H23" i="12"/>
  <c r="I23" i="12"/>
  <c r="J23" i="12"/>
  <c r="L23" i="12"/>
  <c r="B23" i="12"/>
  <c r="G24" i="12"/>
  <c r="H24" i="12"/>
  <c r="I24" i="12"/>
  <c r="J24" i="12"/>
  <c r="L24" i="12"/>
  <c r="E24" i="12"/>
  <c r="F24" i="12"/>
  <c r="B24" i="12"/>
  <c r="K24" i="12"/>
  <c r="M24" i="12"/>
  <c r="B25" i="12"/>
  <c r="K25" i="12"/>
  <c r="M25" i="12"/>
  <c r="G25" i="12"/>
  <c r="E25" i="12"/>
  <c r="F25" i="12"/>
  <c r="J25" i="12"/>
  <c r="L25" i="12"/>
  <c r="H25" i="12"/>
  <c r="I25" i="12"/>
  <c r="B26" i="12"/>
  <c r="E26" i="12"/>
  <c r="F26" i="12"/>
  <c r="H26" i="12"/>
  <c r="I26" i="12"/>
  <c r="K26" i="12"/>
  <c r="M26" i="12"/>
  <c r="G26" i="12"/>
  <c r="J26" i="12"/>
  <c r="L26" i="12"/>
  <c r="B27" i="12"/>
  <c r="E27" i="12"/>
  <c r="F27" i="12"/>
  <c r="K27" i="12"/>
  <c r="M27" i="12"/>
  <c r="J27" i="12"/>
  <c r="L27" i="12"/>
  <c r="H27" i="12"/>
  <c r="I27" i="12"/>
  <c r="G27" i="12"/>
  <c r="B28" i="12"/>
  <c r="H28" i="12"/>
  <c r="I28" i="12"/>
  <c r="E28" i="12"/>
  <c r="F28" i="12"/>
  <c r="G28" i="12"/>
  <c r="K28" i="12"/>
  <c r="M28" i="12"/>
  <c r="J28" i="12"/>
  <c r="L28" i="12"/>
  <c r="B29" i="12"/>
  <c r="K29" i="12"/>
  <c r="M29" i="12"/>
  <c r="G29" i="12"/>
  <c r="E29" i="12"/>
  <c r="F29" i="12"/>
  <c r="J29" i="12"/>
  <c r="L29" i="12"/>
  <c r="H29" i="12"/>
  <c r="I29" i="12"/>
  <c r="G30" i="12"/>
  <c r="E30" i="12"/>
  <c r="F30" i="12"/>
  <c r="H30" i="12"/>
  <c r="I30" i="12"/>
  <c r="J30" i="12"/>
  <c r="L30" i="12"/>
  <c r="K30" i="12"/>
  <c r="M30" i="12"/>
  <c r="B30" i="12"/>
  <c r="G31" i="12"/>
  <c r="E31" i="12"/>
  <c r="F31" i="12"/>
  <c r="J31" i="12"/>
  <c r="L31" i="12"/>
  <c r="K31" i="12"/>
  <c r="M31" i="12"/>
  <c r="H31" i="12"/>
  <c r="I31" i="12"/>
  <c r="B31" i="12"/>
  <c r="B32" i="12"/>
  <c r="E32" i="12"/>
  <c r="F32" i="12"/>
  <c r="H32" i="12"/>
  <c r="I32" i="12"/>
  <c r="J32" i="12"/>
  <c r="L32" i="12"/>
  <c r="G32" i="12"/>
  <c r="K32" i="12"/>
  <c r="M32" i="12"/>
  <c r="N40" i="7"/>
  <c r="N73" i="7"/>
  <c r="N29" i="7"/>
  <c r="L43" i="7"/>
  <c r="M43" i="7"/>
  <c r="N51" i="7"/>
  <c r="N22" i="7"/>
  <c r="N28" i="7"/>
  <c r="N27" i="7"/>
  <c r="N44" i="7"/>
  <c r="N43" i="7"/>
  <c r="N49" i="7"/>
  <c r="N45" i="7"/>
  <c r="N50" i="7"/>
  <c r="N46" i="7"/>
  <c r="N65" i="7"/>
  <c r="N67" i="7"/>
  <c r="N72" i="7"/>
  <c r="N70" i="7"/>
  <c r="N71" i="7"/>
  <c r="N69" i="7"/>
  <c r="N68" i="7"/>
  <c r="N39" i="7"/>
  <c r="N37" i="7"/>
  <c r="N34" i="7"/>
  <c r="N33" i="7"/>
  <c r="N35" i="7"/>
  <c r="N36" i="7"/>
  <c r="N38" i="7"/>
  <c r="N32" i="7"/>
  <c r="N21" i="7"/>
  <c r="N25" i="7"/>
  <c r="L54" i="7"/>
  <c r="M54" i="7"/>
  <c r="N62" i="7"/>
  <c r="N24" i="7"/>
  <c r="N26" i="7"/>
  <c r="N23" i="7"/>
  <c r="N48" i="7"/>
  <c r="N47" i="7"/>
  <c r="N60" i="7"/>
  <c r="N55" i="7"/>
  <c r="N56" i="7"/>
  <c r="N61" i="7"/>
  <c r="N58" i="7"/>
  <c r="N59" i="7"/>
  <c r="N54" i="7"/>
  <c r="N57" i="7"/>
</calcChain>
</file>

<file path=xl/comments1.xml><?xml version="1.0" encoding="utf-8"?>
<comments xmlns="http://schemas.openxmlformats.org/spreadsheetml/2006/main">
  <authors>
    <author>Soheil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Soheil:</t>
        </r>
        <r>
          <rPr>
            <sz val="9"/>
            <color indexed="81"/>
            <rFont val="Tahoma"/>
            <family val="2"/>
          </rPr>
          <t xml:space="preserve">
http://www.iea.org/topics/renewables/subtopics/wind/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eia.gov/forecasts/aeo/electricity_generation.cfm" htmlFormat="all"/>
  </connection>
</connections>
</file>

<file path=xl/sharedStrings.xml><?xml version="1.0" encoding="utf-8"?>
<sst xmlns="http://schemas.openxmlformats.org/spreadsheetml/2006/main" count="333" uniqueCount="155">
  <si>
    <t>Dirty</t>
  </si>
  <si>
    <t>Clean</t>
  </si>
  <si>
    <t>a</t>
  </si>
  <si>
    <t>b</t>
  </si>
  <si>
    <t>gap</t>
  </si>
  <si>
    <t>base</t>
  </si>
  <si>
    <t>Conventional Technology</t>
  </si>
  <si>
    <t>New Technology</t>
  </si>
  <si>
    <t>Q*</t>
  </si>
  <si>
    <t>I</t>
  </si>
  <si>
    <t>eI</t>
  </si>
  <si>
    <t>Technology</t>
  </si>
  <si>
    <t>LR</t>
  </si>
  <si>
    <t>Q0</t>
  </si>
  <si>
    <t>PV</t>
  </si>
  <si>
    <t>Wind</t>
  </si>
  <si>
    <t>Biomass</t>
  </si>
  <si>
    <t>P0</t>
  </si>
  <si>
    <r>
      <t>Reduced P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</si>
  <si>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Reduced Q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</si>
  <si>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eP</t>
  </si>
  <si>
    <t>International_data</t>
  </si>
  <si>
    <t>http://www.eia.gov/beta/international/data/browser/#?ord=CR&amp;cy=2013&amp;v=H&amp;vo=0&amp;so=0&amp;io=0&amp;start=1980&amp;end=2013&amp;vs=INTL.2-7-WORL-MK.A&amp;c=00000000000000000000000000000000000000000000000001&amp;pa=0000000000000000000007vo7&amp;f=A&amp;ug=g&amp;ct=1&amp;tl_type=p&amp;tl_id=2-A</t>
  </si>
  <si>
    <t>Thu Mar 24 2016 16:35:59 GMT-0700 (Pacific Daylight Time)</t>
  </si>
  <si>
    <t>Source: U.S. Energy Information Administration</t>
  </si>
  <si>
    <t>Electricity</t>
  </si>
  <si>
    <t>Million Kw</t>
  </si>
  <si>
    <t>World</t>
  </si>
  <si>
    <t>Capacity</t>
  </si>
  <si>
    <t>Nuclear</t>
  </si>
  <si>
    <t>Renewables</t>
  </si>
  <si>
    <t>Hydroelectricity</t>
  </si>
  <si>
    <t>Non-Hydroelectric Renewables</t>
  </si>
  <si>
    <t>Geothermal</t>
  </si>
  <si>
    <t>Solar, Tide, Wave, Fuel Cell</t>
  </si>
  <si>
    <t>Tide, Wave, Fuel Cell</t>
  </si>
  <si>
    <t>Tide and Wave</t>
  </si>
  <si>
    <t>Solar</t>
  </si>
  <si>
    <t>(s)</t>
  </si>
  <si>
    <t>Biomass and Waste</t>
  </si>
  <si>
    <t>Fossil Fuels</t>
  </si>
  <si>
    <t>Hydroelectric Pumped Storage</t>
  </si>
  <si>
    <t>http://www.eia.gov/beta/international/data/browser/#?ord=CR&amp;cy=2014&amp;v=H&amp;vo=0&amp;so=0&amp;io=0&amp;start=1980&amp;end=2014&amp;vs=INTL.2-12-WORL-BKWH.A&amp;c=00000000000000000000000000000000000000000000000001&amp;pa=00000000000000000000000000000fvu&amp;f=A&amp;ug=g&amp;ct=1&amp;tl_type=p&amp;tl_id=2-A</t>
  </si>
  <si>
    <t>Thu Mar 24 2016 16:37:25 GMT-0700 (Pacific Daylight Time)</t>
  </si>
  <si>
    <t>Billion Kwh</t>
  </si>
  <si>
    <t>Generation</t>
  </si>
  <si>
    <t>Pc</t>
  </si>
  <si>
    <t>USD/MWh</t>
  </si>
  <si>
    <t>EIA</t>
  </si>
  <si>
    <t>Wind-offshore</t>
  </si>
  <si>
    <t>Twh</t>
  </si>
  <si>
    <t>EIA (https://www.eia.gov/forecasts/aeo/electricity_generation.cfm)</t>
  </si>
  <si>
    <t>Rubin 2015</t>
  </si>
  <si>
    <t>Coal (Baseline)</t>
  </si>
  <si>
    <r>
      <t>Increased Q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</si>
  <si>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Type I</t>
  </si>
  <si>
    <t>Type II</t>
  </si>
  <si>
    <t>Ir</t>
  </si>
  <si>
    <t>Table 1. Estimated levelized cost of electricity (LCOE) for new generation resources, 2020</t>
  </si>
  <si>
    <r>
      <t>U.S. average levelized costs (2013 $/MWh) for plants entering service in 2020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</si>
  <si>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Plant type</t>
  </si>
  <si>
    <t>Capacity factor (%)</t>
  </si>
  <si>
    <t>Levelized capital cost</t>
  </si>
  <si>
    <t>Fixed O&amp;M</t>
  </si>
  <si>
    <t>Variable O&amp;M (including fuel)</t>
  </si>
  <si>
    <t>Transmission investment</t>
  </si>
  <si>
    <t>Total system LCOE</t>
  </si>
  <si>
    <r>
      <t>Subsidy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</si>
  <si>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Total LCOE including Subsidy</t>
  </si>
  <si>
    <t>Dispatchable Technologies</t>
  </si>
  <si>
    <t>Conventional Coal</t>
  </si>
  <si>
    <t>Advanced Coal</t>
  </si>
  <si>
    <t>Advanced Coal with CCS</t>
  </si>
  <si>
    <t>Natural Gas-fired</t>
  </si>
  <si>
    <t>ConventionalCombined Cycle</t>
  </si>
  <si>
    <t>Advanced Combined Cycle</t>
  </si>
  <si>
    <t>Advanced CC with CCS</t>
  </si>
  <si>
    <t>Conventional Combustion Turbine</t>
  </si>
  <si>
    <t>Advanced Combustion Turbine</t>
  </si>
  <si>
    <t>Advanced Nuclear</t>
  </si>
  <si>
    <t>Non-Dispatchable Technologies</t>
  </si>
  <si>
    <t>Wind – Offshore</t>
  </si>
  <si>
    <r>
      <t>Solar PV</t>
    </r>
    <r>
      <rPr>
        <vertAlign val="superscript"/>
        <sz val="10"/>
        <color theme="1"/>
        <rFont val="Calibri"/>
        <family val="2"/>
        <scheme val="minor"/>
      </rPr>
      <t>3</t>
    </r>
  </si>
  <si>
    <t>Solar Thermal</t>
  </si>
  <si>
    <r>
      <t>Hydroelectric</t>
    </r>
    <r>
      <rPr>
        <vertAlign val="superscript"/>
        <sz val="10"/>
        <color theme="1"/>
        <rFont val="Calibri"/>
        <family val="2"/>
        <scheme val="minor"/>
      </rPr>
      <t>4</t>
    </r>
  </si>
  <si>
    <r>
      <t>1</t>
    </r>
    <r>
      <rPr>
        <sz val="10"/>
        <color theme="1"/>
        <rFont val="Calibri"/>
        <family val="2"/>
        <scheme val="minor"/>
      </rPr>
      <t>Costs for the advanced nuclear technology reflect an online date of 2022.</t>
    </r>
  </si>
  <si>
    <r>
      <t>2</t>
    </r>
    <r>
      <rPr>
        <sz val="10"/>
        <color theme="1"/>
        <rFont val="Calibri"/>
        <family val="2"/>
        <scheme val="minor"/>
      </rPr>
      <t>The subsidy component is based on targeted tax credits such as the production or investment tax credit available for some technologies. It only reflects subsidies available in 2020, which include a permanent 10% investment tax credit for geothermal and solar technologies. EIA models tax credit expiration as follows: new solar thermal and PV plants are eligible to receive a 30% investment tax credit on capital expenditures if placed in service before the end of 2016, and 10% thereafter. New wind, geothermal, biomass, hydroelectric, and landfill gas plants are eligible to receive either: (1) a $23.0/MWh ($11.0/MWh for technologies other than wind, geothermal and closed-loop biomass) inflation-adjusted production tax credit over the plant's first ten years of service or (2) a 30% investment tax credit, if they are under construction before the end of 2013. Up to 6 GW of new nuclear plants are eligible to receive an $18/MWh production tax credit if in service by 2020; nuclear plants shown in this table have an in-service date of 2022.</t>
    </r>
  </si>
  <si>
    <r>
      <t>3</t>
    </r>
    <r>
      <rPr>
        <sz val="10"/>
        <color theme="1"/>
        <rFont val="Calibri"/>
        <family val="2"/>
        <scheme val="minor"/>
      </rPr>
      <t>Costs are expressed in terms of net AC power available to the grid for the installed capacity.</t>
    </r>
  </si>
  <si>
    <r>
      <t>4</t>
    </r>
    <r>
      <rPr>
        <sz val="10"/>
        <color theme="1"/>
        <rFont val="Calibri"/>
        <family val="2"/>
        <scheme val="minor"/>
      </rPr>
      <t>As modeled, hydroelectric is assumed to have seasonal storage so that it can be dispatched within a season, but overall operation is limited by resources available by site and season.</t>
    </r>
  </si>
  <si>
    <r>
      <t xml:space="preserve">Source: U.S. Energy Information Administration, </t>
    </r>
    <r>
      <rPr>
        <i/>
        <sz val="10"/>
        <color theme="1"/>
        <rFont val="Calibri"/>
        <family val="2"/>
        <scheme val="minor"/>
      </rPr>
      <t>Annual Energy Outlook 2015</t>
    </r>
    <r>
      <rPr>
        <sz val="10"/>
        <color theme="1"/>
        <rFont val="Calibri"/>
        <family val="2"/>
        <scheme val="minor"/>
      </rPr>
      <t>, April 2015, DOE/EIA-0383(2015).</t>
    </r>
  </si>
  <si>
    <t>Init cost</t>
  </si>
  <si>
    <t>init cap</t>
  </si>
  <si>
    <t>learning coeff</t>
  </si>
  <si>
    <t>fuel cost</t>
  </si>
  <si>
    <t>mil$/TWh</t>
  </si>
  <si>
    <t>TWh</t>
  </si>
  <si>
    <t>m0</t>
  </si>
  <si>
    <t>C0</t>
  </si>
  <si>
    <t>theta</t>
  </si>
  <si>
    <t>eta</t>
  </si>
  <si>
    <t>gamma</t>
  </si>
  <si>
    <t>Case III</t>
  </si>
  <si>
    <t>C*1</t>
  </si>
  <si>
    <t>D1</t>
  </si>
  <si>
    <t>D2</t>
  </si>
  <si>
    <t>m1</t>
  </si>
  <si>
    <t>fcc</t>
  </si>
  <si>
    <t>m1*</t>
  </si>
  <si>
    <t>fdd</t>
  </si>
  <si>
    <t>Case II</t>
  </si>
  <si>
    <t>Case IV</t>
  </si>
  <si>
    <t>OECD</t>
  </si>
  <si>
    <t>non OECD</t>
  </si>
  <si>
    <t>B</t>
  </si>
  <si>
    <t>Br</t>
  </si>
  <si>
    <t>Reduced Cost</t>
  </si>
  <si>
    <t>eII</t>
  </si>
  <si>
    <t>delta Q</t>
  </si>
  <si>
    <t>Q</t>
  </si>
  <si>
    <t>P</t>
  </si>
  <si>
    <t>Log(P)</t>
  </si>
  <si>
    <t>Delta P</t>
  </si>
  <si>
    <t>Delta Log(P)</t>
  </si>
  <si>
    <t>Log(Pc)</t>
  </si>
  <si>
    <t>Log(Q)</t>
  </si>
  <si>
    <t>P (Q+DeltaQ)</t>
  </si>
  <si>
    <t>delta</t>
  </si>
  <si>
    <t>er</t>
  </si>
  <si>
    <t>Private Type R&amp;D</t>
  </si>
  <si>
    <t>Public Type R&amp;D</t>
  </si>
  <si>
    <t>Pr</t>
  </si>
  <si>
    <t>Wind-onshore</t>
  </si>
  <si>
    <t>Hydro</t>
  </si>
  <si>
    <t>IER 2015</t>
  </si>
  <si>
    <r>
      <t>e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2</t>
    </r>
  </si>
  <si>
    <t>public</t>
  </si>
  <si>
    <t>private</t>
  </si>
  <si>
    <r>
      <t>e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4</t>
    </r>
  </si>
  <si>
    <r>
      <t>e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8</t>
    </r>
  </si>
  <si>
    <r>
      <t>e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16</t>
    </r>
  </si>
  <si>
    <r>
      <t>e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32</t>
    </r>
  </si>
  <si>
    <r>
      <t>e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64</t>
    </r>
  </si>
  <si>
    <r>
      <t>e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128</t>
    </r>
  </si>
  <si>
    <t>Cbar</t>
  </si>
  <si>
    <t>C</t>
  </si>
  <si>
    <t>C (Q+DeltaQ)</t>
  </si>
  <si>
    <t>Delta C</t>
  </si>
  <si>
    <t>Log(C)</t>
  </si>
  <si>
    <t>Delta Log(C)</t>
  </si>
  <si>
    <r>
      <t>e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256</t>
    </r>
  </si>
  <si>
    <t>Solar PV</t>
  </si>
  <si>
    <t>Fossil Fuel</t>
  </si>
  <si>
    <t>Private-type R&amp;D</t>
  </si>
  <si>
    <t>Public-type R&amp;D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</si>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</sst>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2" fillId="4" borderId="0" xfId="0" applyFont="1" applyFill="1" applyBorder="1"/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6" borderId="0" xfId="0" applyFill="1"/>
    <xf numFmtId="0" fontId="1" fillId="6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7" borderId="6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9" xfId="0" applyFont="1" applyFill="1" applyBorder="1"/>
    <xf numFmtId="0" fontId="1" fillId="5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0" xfId="0" applyFill="1" applyBorder="1"/>
    <xf numFmtId="9" fontId="0" fillId="0" borderId="0" xfId="1" applyFont="1" applyAlignment="1">
      <alignment horizontal="center"/>
    </xf>
    <xf numFmtId="0" fontId="1" fillId="3" borderId="0" xfId="0" applyFont="1" applyFill="1"/>
    <xf numFmtId="0" fontId="0" fillId="3" borderId="0" xfId="0" applyFill="1"/>
    <xf numFmtId="0" fontId="7" fillId="8" borderId="0" xfId="0" applyFont="1" applyFill="1" applyBorder="1"/>
    <xf numFmtId="0" fontId="7" fillId="8" borderId="0" xfId="0" applyFont="1" applyFill="1" applyBorder="1" applyAlignment="1">
      <alignment horizontal="center"/>
    </xf>
    <xf numFmtId="0" fontId="8" fillId="8" borderId="0" xfId="0" applyFont="1" applyFill="1"/>
    <xf numFmtId="0" fontId="7" fillId="8" borderId="0" xfId="0" applyFont="1" applyFill="1"/>
    <xf numFmtId="0" fontId="1" fillId="2" borderId="0" xfId="0" applyFont="1" applyFill="1" applyBorder="1" applyAlignment="1">
      <alignment horizontal="center"/>
    </xf>
    <xf numFmtId="0" fontId="9" fillId="0" borderId="0" xfId="2"/>
    <xf numFmtId="0" fontId="0" fillId="10" borderId="0" xfId="0" applyFill="1" applyAlignment="1">
      <alignment horizontal="center"/>
    </xf>
    <xf numFmtId="0" fontId="0" fillId="9" borderId="0" xfId="0" applyFill="1"/>
    <xf numFmtId="10" fontId="0" fillId="0" borderId="0" xfId="1" applyNumberFormat="1" applyFont="1"/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11" borderId="0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/>
    <xf numFmtId="0" fontId="0" fillId="13" borderId="0" xfId="0" applyFill="1"/>
    <xf numFmtId="0" fontId="15" fillId="0" borderId="0" xfId="0" applyFont="1"/>
    <xf numFmtId="0" fontId="0" fillId="0" borderId="0" xfId="0"/>
    <xf numFmtId="0" fontId="0" fillId="14" borderId="0" xfId="0" applyFill="1"/>
    <xf numFmtId="0" fontId="1" fillId="14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7" fillId="15" borderId="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0" fontId="0" fillId="0" borderId="0" xfId="0"/>
    <xf numFmtId="0" fontId="0" fillId="16" borderId="0" xfId="0" applyFill="1"/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1" fillId="0" borderId="0" xfId="0" applyFont="1"/>
    <xf numFmtId="9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7" borderId="0" xfId="0" applyFill="1"/>
    <xf numFmtId="0" fontId="0" fillId="0" borderId="0" xfId="0"/>
    <xf numFmtId="0" fontId="0" fillId="8" borderId="0" xfId="0" applyFill="1"/>
    <xf numFmtId="0" fontId="2" fillId="18" borderId="0" xfId="0" applyFont="1" applyFill="1" applyAlignment="1">
      <alignment horizontal="left"/>
    </xf>
    <xf numFmtId="0" fontId="2" fillId="19" borderId="0" xfId="0" applyFont="1" applyFill="1" applyAlignment="1">
      <alignment horizontal="left"/>
    </xf>
    <xf numFmtId="0" fontId="2" fillId="20" borderId="0" xfId="0" applyFont="1" applyFill="1" applyAlignment="1">
      <alignment horizontal="left"/>
    </xf>
    <xf numFmtId="0" fontId="2" fillId="21" borderId="0" xfId="0" applyFont="1" applyFill="1" applyAlignment="1">
      <alignment horizontal="left"/>
    </xf>
    <xf numFmtId="0" fontId="2" fillId="22" borderId="0" xfId="0" applyFont="1" applyFill="1" applyAlignment="1">
      <alignment horizontal="left"/>
    </xf>
    <xf numFmtId="0" fontId="1" fillId="0" borderId="11" xfId="0" applyFont="1" applyFill="1" applyBorder="1"/>
    <xf numFmtId="0" fontId="0" fillId="0" borderId="12" xfId="0" applyBorder="1"/>
    <xf numFmtId="0" fontId="2" fillId="20" borderId="12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2" fillId="19" borderId="12" xfId="0" applyFont="1" applyFill="1" applyBorder="1" applyAlignment="1">
      <alignment horizontal="right"/>
    </xf>
    <xf numFmtId="0" fontId="2" fillId="18" borderId="12" xfId="0" applyFont="1" applyFill="1" applyBorder="1" applyAlignment="1">
      <alignment horizontal="right"/>
    </xf>
    <xf numFmtId="0" fontId="2" fillId="22" borderId="12" xfId="0" applyFont="1" applyFill="1" applyBorder="1" applyAlignment="1">
      <alignment horizontal="right"/>
    </xf>
    <xf numFmtId="0" fontId="2" fillId="21" borderId="12" xfId="0" applyFont="1" applyFill="1" applyBorder="1" applyAlignment="1">
      <alignment horizontal="right"/>
    </xf>
    <xf numFmtId="0" fontId="0" fillId="0" borderId="13" xfId="0" applyBorder="1"/>
    <xf numFmtId="0" fontId="2" fillId="19" borderId="3" xfId="0" applyFont="1" applyFill="1" applyBorder="1" applyAlignment="1">
      <alignment horizontal="left"/>
    </xf>
    <xf numFmtId="0" fontId="2" fillId="19" borderId="9" xfId="0" applyFont="1" applyFill="1" applyBorder="1" applyAlignment="1">
      <alignment horizontal="left"/>
    </xf>
    <xf numFmtId="0" fontId="2" fillId="21" borderId="9" xfId="0" applyFont="1" applyFill="1" applyBorder="1" applyAlignment="1">
      <alignment horizontal="left"/>
    </xf>
    <xf numFmtId="0" fontId="2" fillId="22" borderId="9" xfId="0" applyFont="1" applyFill="1" applyBorder="1" applyAlignment="1">
      <alignment horizontal="left"/>
    </xf>
    <xf numFmtId="0" fontId="2" fillId="20" borderId="9" xfId="0" applyFont="1" applyFill="1" applyBorder="1" applyAlignment="1">
      <alignment horizontal="left"/>
    </xf>
    <xf numFmtId="0" fontId="2" fillId="18" borderId="9" xfId="0" applyFont="1" applyFill="1" applyBorder="1" applyAlignment="1">
      <alignment horizontal="left"/>
    </xf>
    <xf numFmtId="0" fontId="2" fillId="18" borderId="4" xfId="0" applyFont="1" applyFill="1" applyBorder="1" applyAlignment="1">
      <alignment horizontal="left"/>
    </xf>
    <xf numFmtId="0" fontId="0" fillId="7" borderId="8" xfId="0" applyFill="1" applyBorder="1"/>
    <xf numFmtId="0" fontId="0" fillId="13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9" fontId="0" fillId="0" borderId="0" xfId="1" applyFont="1"/>
    <xf numFmtId="0" fontId="0" fillId="11" borderId="0" xfId="0" applyFill="1" applyBorder="1" applyAlignment="1">
      <alignment horizontal="left"/>
    </xf>
    <xf numFmtId="0" fontId="7" fillId="15" borderId="0" xfId="0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0" xfId="0"/>
    <xf numFmtId="0" fontId="11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9277022193E-2"/>
          <c:y val="3.4920634920634921E-2"/>
          <c:w val="0.92947133738964449"/>
          <c:h val="0.86643369578802654"/>
        </c:manualLayout>
      </c:layout>
      <c:areaChart>
        <c:grouping val="stacked"/>
        <c:varyColors val="0"/>
        <c:ser>
          <c:idx val="0"/>
          <c:order val="2"/>
          <c:tx>
            <c:strRef>
              <c:f>'Sheet1 (4)'!$U$7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'Sheet1 (4)'!$B$9:$B$21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3124.9999999999982</c:v>
                </c:pt>
              </c:numCache>
            </c:numRef>
          </c:cat>
          <c:val>
            <c:numRef>
              <c:f>'Sheet1 (4)'!$T$9:$T$21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3-4D7C-9937-465D855CC549}"/>
            </c:ext>
          </c:extLst>
        </c:ser>
        <c:ser>
          <c:idx val="1"/>
          <c:order val="3"/>
          <c:tx>
            <c:strRef>
              <c:f>'Sheet1 (4)'!$S$7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>
                <a:alpha val="20000"/>
              </a:schemeClr>
            </a:solidFill>
            <a:ln w="25400">
              <a:noFill/>
            </a:ln>
            <a:effectLst/>
          </c:spPr>
          <c:cat>
            <c:numRef>
              <c:f>'Sheet1 (4)'!$B$9:$B$21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3124.9999999999982</c:v>
                </c:pt>
              </c:numCache>
            </c:numRef>
          </c:cat>
          <c:val>
            <c:numRef>
              <c:f>'Sheet1 (4)'!$R$9:$R$21</c:f>
              <c:numCache>
                <c:formatCode>General</c:formatCode>
                <c:ptCount val="13"/>
                <c:pt idx="0">
                  <c:v>8</c:v>
                </c:pt>
                <c:pt idx="1">
                  <c:v>6.7055056329612412</c:v>
                </c:pt>
                <c:pt idx="2">
                  <c:v>5.5785828325519908</c:v>
                </c:pt>
                <c:pt idx="3">
                  <c:v>4.5975395538644719</c:v>
                </c:pt>
                <c:pt idx="4">
                  <c:v>3.7434917749851753</c:v>
                </c:pt>
                <c:pt idx="5">
                  <c:v>3</c:v>
                </c:pt>
                <c:pt idx="6">
                  <c:v>2.3527528164806206</c:v>
                </c:pt>
                <c:pt idx="7">
                  <c:v>1.7892914162759954</c:v>
                </c:pt>
                <c:pt idx="8">
                  <c:v>1.2987697769322359</c:v>
                </c:pt>
                <c:pt idx="9">
                  <c:v>0.87174588749258719</c:v>
                </c:pt>
                <c:pt idx="10">
                  <c:v>0.49999999999999956</c:v>
                </c:pt>
                <c:pt idx="11">
                  <c:v>0.17637640824030987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3-4D7C-9937-465D855C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4320"/>
        <c:axId val="131649472"/>
      </c:areaChart>
      <c:lineChart>
        <c:grouping val="standard"/>
        <c:varyColors val="0"/>
        <c:ser>
          <c:idx val="3"/>
          <c:order val="0"/>
          <c:tx>
            <c:strRef>
              <c:f>'Sheet1 (4)'!$E$7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317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cat>
            <c:numRef>
              <c:f>'Sheet1 (4)'!$B$9:$B$21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3124.9999999999982</c:v>
                </c:pt>
              </c:numCache>
            </c:numRef>
          </c:cat>
          <c:val>
            <c:numRef>
              <c:f>'Sheet1 (4)'!$D$9:$D$21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3-4D7C-9937-465D855CC549}"/>
            </c:ext>
          </c:extLst>
        </c:ser>
        <c:ser>
          <c:idx val="2"/>
          <c:order val="1"/>
          <c:tx>
            <c:strRef>
              <c:f>'Sheet1 (4)'!$F$7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'Sheet1 (4)'!$B$9:$B$21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3124.9999999999982</c:v>
                </c:pt>
              </c:numCache>
            </c:numRef>
          </c:cat>
          <c:val>
            <c:numRef>
              <c:f>'Sheet1 (4)'!$F$9:$F$21</c:f>
              <c:numCache>
                <c:formatCode>General</c:formatCode>
                <c:ptCount val="13"/>
                <c:pt idx="0">
                  <c:v>10</c:v>
                </c:pt>
                <c:pt idx="1">
                  <c:v>8.7055056329612412</c:v>
                </c:pt>
                <c:pt idx="2">
                  <c:v>7.5785828325519908</c:v>
                </c:pt>
                <c:pt idx="3">
                  <c:v>6.5975395538644719</c:v>
                </c:pt>
                <c:pt idx="4">
                  <c:v>5.7434917749851753</c:v>
                </c:pt>
                <c:pt idx="5">
                  <c:v>5</c:v>
                </c:pt>
                <c:pt idx="6">
                  <c:v>4.3527528164806206</c:v>
                </c:pt>
                <c:pt idx="7">
                  <c:v>3.7892914162759954</c:v>
                </c:pt>
                <c:pt idx="8">
                  <c:v>3.2987697769322359</c:v>
                </c:pt>
                <c:pt idx="9">
                  <c:v>2.8717458874925872</c:v>
                </c:pt>
                <c:pt idx="10">
                  <c:v>2.4999999999999996</c:v>
                </c:pt>
                <c:pt idx="11">
                  <c:v>2.1763764082403099</c:v>
                </c:pt>
                <c:pt idx="12">
                  <c:v>1.9999999999999996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3-4D7C-9937-465D855C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65344"/>
        <c:axId val="131650048"/>
      </c:lineChart>
      <c:catAx>
        <c:axId val="670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9472"/>
        <c:crosses val="autoZero"/>
        <c:auto val="0"/>
        <c:lblAlgn val="r"/>
        <c:lblOffset val="100"/>
        <c:tickLblSkip val="1"/>
        <c:tickMarkSkip val="100"/>
        <c:noMultiLvlLbl val="0"/>
      </c:catAx>
      <c:valAx>
        <c:axId val="13164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4320"/>
        <c:crossesAt val="1"/>
        <c:crossBetween val="between"/>
      </c:valAx>
      <c:valAx>
        <c:axId val="131650048"/>
        <c:scaling>
          <c:orientation val="minMax"/>
          <c:max val="3"/>
        </c:scaling>
        <c:delete val="1"/>
        <c:axPos val="r"/>
        <c:numFmt formatCode="General" sourceLinked="1"/>
        <c:majorTickMark val="out"/>
        <c:minorTickMark val="none"/>
        <c:tickLblPos val="nextTo"/>
        <c:crossAx val="67065344"/>
        <c:crosses val="max"/>
        <c:crossBetween val="between"/>
      </c:valAx>
      <c:catAx>
        <c:axId val="6706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650048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8984937962300164"/>
          <c:y val="0.11785676790401202"/>
          <c:w val="0.28507396802672391"/>
          <c:h val="0.11706386701662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2322922002E-2"/>
          <c:y val="3.492054402290623E-2"/>
          <c:w val="0.92947133738964449"/>
          <c:h val="0.8664336957880265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'Sheet1 (6)'!$K$6</c:f>
              <c:strCache>
                <c:ptCount val="1"/>
                <c:pt idx="0">
                  <c:v>Public Type R&amp;D</c:v>
                </c:pt>
              </c:strCache>
            </c:strRef>
          </c:tx>
          <c:spPr>
            <a:ln w="19050" cap="rnd">
              <a:solidFill>
                <a:schemeClr val="accent5">
                  <a:alpha val="99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diamond"/>
              <c:size val="7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00-4F9F-A9BC-1F58C06361FB}"/>
              </c:ext>
            </c:extLst>
          </c:dPt>
          <c:xVal>
            <c:numRef>
              <c:f>'Sheet1 (6)'!$A$8:$A$13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'Sheet1 (6)'!$J$8:$J$13</c:f>
              <c:numCache>
                <c:formatCode>General</c:formatCode>
                <c:ptCount val="6"/>
                <c:pt idx="0">
                  <c:v>5</c:v>
                </c:pt>
                <c:pt idx="1">
                  <c:v>3.5355339059327373</c:v>
                </c:pt>
                <c:pt idx="2">
                  <c:v>2.8867513459481291</c:v>
                </c:pt>
                <c:pt idx="3">
                  <c:v>2.5</c:v>
                </c:pt>
                <c:pt idx="4">
                  <c:v>2.2360679774997898</c:v>
                </c:pt>
                <c:pt idx="5">
                  <c:v>2.0412414523193152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0-4F9F-A9BC-1F58C06361FB}"/>
            </c:ext>
          </c:extLst>
        </c:ser>
        <c:ser>
          <c:idx val="3"/>
          <c:order val="1"/>
          <c:tx>
            <c:strRef>
              <c:f>'Sheet1 (6)'!$D$6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'Sheet1 (6)'!$A$8:$A$32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(6)'!$C$8:$C$32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0-4F9F-A9BC-1F58C06361FB}"/>
            </c:ext>
          </c:extLst>
        </c:ser>
        <c:ser>
          <c:idx val="2"/>
          <c:order val="2"/>
          <c:tx>
            <c:strRef>
              <c:f>'Sheet1 (6)'!$E$6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'Sheet1 (6)'!$A$8:$A$32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(6)'!$E$8:$E$32</c:f>
              <c:numCache>
                <c:formatCode>General</c:formatCode>
                <c:ptCount val="25"/>
                <c:pt idx="0">
                  <c:v>10</c:v>
                </c:pt>
                <c:pt idx="1">
                  <c:v>7.0710678118654746</c:v>
                </c:pt>
                <c:pt idx="2">
                  <c:v>5.7735026918962582</c:v>
                </c:pt>
                <c:pt idx="3">
                  <c:v>5</c:v>
                </c:pt>
                <c:pt idx="4">
                  <c:v>4.4721359549995796</c:v>
                </c:pt>
                <c:pt idx="5">
                  <c:v>4.0824829046386304</c:v>
                </c:pt>
                <c:pt idx="6">
                  <c:v>3.7796447300922722</c:v>
                </c:pt>
                <c:pt idx="7">
                  <c:v>3.5355339059327373</c:v>
                </c:pt>
                <c:pt idx="8">
                  <c:v>3.333333333333333</c:v>
                </c:pt>
                <c:pt idx="9">
                  <c:v>3.1622776601683795</c:v>
                </c:pt>
                <c:pt idx="10">
                  <c:v>3.0151134457776365</c:v>
                </c:pt>
                <c:pt idx="11">
                  <c:v>2.8867513459481291</c:v>
                </c:pt>
                <c:pt idx="12">
                  <c:v>2.773500981126146</c:v>
                </c:pt>
                <c:pt idx="13">
                  <c:v>2.6726124191242437</c:v>
                </c:pt>
                <c:pt idx="14">
                  <c:v>2.5819888974716108</c:v>
                </c:pt>
                <c:pt idx="15">
                  <c:v>2.5</c:v>
                </c:pt>
                <c:pt idx="16">
                  <c:v>2.4253562503633299</c:v>
                </c:pt>
                <c:pt idx="17">
                  <c:v>2.3570226039551585</c:v>
                </c:pt>
                <c:pt idx="18">
                  <c:v>2.2941573387056176</c:v>
                </c:pt>
                <c:pt idx="19">
                  <c:v>2.2360679774997898</c:v>
                </c:pt>
                <c:pt idx="20">
                  <c:v>2.1821789023599241</c:v>
                </c:pt>
                <c:pt idx="21">
                  <c:v>2.132007163556104</c:v>
                </c:pt>
                <c:pt idx="22">
                  <c:v>2.0851441405707476</c:v>
                </c:pt>
                <c:pt idx="23">
                  <c:v>2.0412414523193152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0-4F9F-A9BC-1F58C063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4464"/>
        <c:axId val="132815040"/>
        <c:extLst/>
      </c:scatterChart>
      <c:valAx>
        <c:axId val="1328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5040"/>
        <c:crosses val="autoZero"/>
        <c:crossBetween val="midCat"/>
        <c:majorUnit val="1"/>
        <c:minorUnit val="100"/>
      </c:valAx>
      <c:valAx>
        <c:axId val="13281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446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84937962300164"/>
          <c:y val="2.7053209257933706E-3"/>
          <c:w val="0.31015062037699831"/>
          <c:h val="0.19786566451920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2322922002E-2"/>
          <c:y val="3.492054402290623E-2"/>
          <c:w val="0.92947133738964449"/>
          <c:h val="0.8664336957880265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'Sheet1 (6)'!$D$6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'Sheet1 (6)'!$A$8:$A$32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(6)'!$C$8:$C$32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9-4506-81A2-14AF9201F37D}"/>
            </c:ext>
          </c:extLst>
        </c:ser>
        <c:ser>
          <c:idx val="2"/>
          <c:order val="1"/>
          <c:tx>
            <c:strRef>
              <c:f>'Sheet1 (6)'!$E$6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'Sheet1 (6)'!$A$8:$A$32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(6)'!$E$8:$E$32</c:f>
              <c:numCache>
                <c:formatCode>General</c:formatCode>
                <c:ptCount val="25"/>
                <c:pt idx="0">
                  <c:v>10</c:v>
                </c:pt>
                <c:pt idx="1">
                  <c:v>7.0710678118654746</c:v>
                </c:pt>
                <c:pt idx="2">
                  <c:v>5.7735026918962582</c:v>
                </c:pt>
                <c:pt idx="3">
                  <c:v>5</c:v>
                </c:pt>
                <c:pt idx="4">
                  <c:v>4.4721359549995796</c:v>
                </c:pt>
                <c:pt idx="5">
                  <c:v>4.0824829046386304</c:v>
                </c:pt>
                <c:pt idx="6">
                  <c:v>3.7796447300922722</c:v>
                </c:pt>
                <c:pt idx="7">
                  <c:v>3.5355339059327373</c:v>
                </c:pt>
                <c:pt idx="8">
                  <c:v>3.333333333333333</c:v>
                </c:pt>
                <c:pt idx="9">
                  <c:v>3.1622776601683795</c:v>
                </c:pt>
                <c:pt idx="10">
                  <c:v>3.0151134457776365</c:v>
                </c:pt>
                <c:pt idx="11">
                  <c:v>2.8867513459481291</c:v>
                </c:pt>
                <c:pt idx="12">
                  <c:v>2.773500981126146</c:v>
                </c:pt>
                <c:pt idx="13">
                  <c:v>2.6726124191242437</c:v>
                </c:pt>
                <c:pt idx="14">
                  <c:v>2.5819888974716108</c:v>
                </c:pt>
                <c:pt idx="15">
                  <c:v>2.5</c:v>
                </c:pt>
                <c:pt idx="16">
                  <c:v>2.4253562503633299</c:v>
                </c:pt>
                <c:pt idx="17">
                  <c:v>2.3570226039551585</c:v>
                </c:pt>
                <c:pt idx="18">
                  <c:v>2.2941573387056176</c:v>
                </c:pt>
                <c:pt idx="19">
                  <c:v>2.2360679774997898</c:v>
                </c:pt>
                <c:pt idx="20">
                  <c:v>2.1821789023599241</c:v>
                </c:pt>
                <c:pt idx="21">
                  <c:v>2.132007163556104</c:v>
                </c:pt>
                <c:pt idx="22">
                  <c:v>2.0851441405707476</c:v>
                </c:pt>
                <c:pt idx="23">
                  <c:v>2.0412414523193152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C9-4506-81A2-14AF9201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25376"/>
        <c:axId val="133325952"/>
        <c:extLst/>
      </c:scatterChart>
      <c:valAx>
        <c:axId val="1333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5952"/>
        <c:crosses val="autoZero"/>
        <c:crossBetween val="midCat"/>
        <c:majorUnit val="1"/>
        <c:minorUnit val="100"/>
      </c:valAx>
      <c:valAx>
        <c:axId val="13332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537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84937962300164"/>
          <c:y val="2.7053209257933706E-3"/>
          <c:w val="0.31015062037699831"/>
          <c:h val="0.19786566451920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33016367396484E-2"/>
          <c:y val="3.4737199800438955E-2"/>
          <c:w val="0.87665958836448832"/>
          <c:h val="0.8197564309638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'Fig1'!$C$8</c:f>
              <c:strCache>
                <c:ptCount val="1"/>
                <c:pt idx="0">
                  <c:v>Coal (Baseline)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'Fig1'!$B$9:$B$28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134</c:v>
                </c:pt>
                <c:pt idx="9">
                  <c:v>240</c:v>
                </c:pt>
                <c:pt idx="10">
                  <c:v>424</c:v>
                </c:pt>
                <c:pt idx="11">
                  <c:v>645</c:v>
                </c:pt>
                <c:pt idx="12">
                  <c:v>960</c:v>
                </c:pt>
                <c:pt idx="13">
                  <c:v>1531.84397894839</c:v>
                </c:pt>
                <c:pt idx="14">
                  <c:v>1920</c:v>
                </c:pt>
                <c:pt idx="15">
                  <c:v>3761</c:v>
                </c:pt>
                <c:pt idx="16">
                  <c:v>7680</c:v>
                </c:pt>
                <c:pt idx="17">
                  <c:v>15360</c:v>
                </c:pt>
                <c:pt idx="18">
                  <c:v>26964.136759303485</c:v>
                </c:pt>
                <c:pt idx="19">
                  <c:v>50683.601973439116</c:v>
                </c:pt>
              </c:numCache>
            </c:numRef>
          </c:xVal>
          <c:yVal>
            <c:numRef>
              <c:f>'Fig1'!$D$9:$D$28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0-4ABD-9876-358C55DE0C1B}"/>
            </c:ext>
          </c:extLst>
        </c:ser>
        <c:ser>
          <c:idx val="1"/>
          <c:order val="1"/>
          <c:tx>
            <c:strRef>
              <c:f>'Fig1'!$F$8</c:f>
              <c:strCache>
                <c:ptCount val="1"/>
                <c:pt idx="0">
                  <c:v>PV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'Fig1'!$B$9:$B$18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134</c:v>
                </c:pt>
                <c:pt idx="9">
                  <c:v>240</c:v>
                </c:pt>
              </c:numCache>
            </c:numRef>
          </c:xVal>
          <c:yVal>
            <c:numRef>
              <c:f>'Fig1'!$F$9:$F$18</c:f>
              <c:numCache>
                <c:formatCode>General</c:formatCode>
                <c:ptCount val="10"/>
                <c:pt idx="0">
                  <c:v>794.36066529484287</c:v>
                </c:pt>
                <c:pt idx="1">
                  <c:v>611.65771227702908</c:v>
                </c:pt>
                <c:pt idx="2">
                  <c:v>470.97643845331231</c:v>
                </c:pt>
                <c:pt idx="3">
                  <c:v>362.65185760905058</c:v>
                </c:pt>
                <c:pt idx="4">
                  <c:v>279.24193035896889</c:v>
                </c:pt>
                <c:pt idx="5">
                  <c:v>220.3130067981065</c:v>
                </c:pt>
                <c:pt idx="6">
                  <c:v>169.64101523454201</c:v>
                </c:pt>
                <c:pt idx="7">
                  <c:v>130.62358173059738</c:v>
                </c:pt>
                <c:pt idx="8">
                  <c:v>125.3</c:v>
                </c:pt>
                <c:pt idx="9">
                  <c:v>100.58015793255997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0-4ABD-9876-358C55DE0C1B}"/>
            </c:ext>
          </c:extLst>
        </c:ser>
        <c:ser>
          <c:idx val="4"/>
          <c:order val="2"/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'Fig1'!$B$18:$B$20</c:f>
              <c:numCache>
                <c:formatCode>General</c:formatCode>
                <c:ptCount val="3"/>
                <c:pt idx="0">
                  <c:v>240</c:v>
                </c:pt>
                <c:pt idx="1">
                  <c:v>424</c:v>
                </c:pt>
                <c:pt idx="2">
                  <c:v>645</c:v>
                </c:pt>
              </c:numCache>
            </c:numRef>
          </c:xVal>
          <c:yVal>
            <c:numRef>
              <c:f>'Fig1'!$F$18:$F$20</c:f>
              <c:numCache>
                <c:formatCode>General</c:formatCode>
                <c:ptCount val="3"/>
                <c:pt idx="0">
                  <c:v>100.58015793255997</c:v>
                </c:pt>
                <c:pt idx="1">
                  <c:v>81.155472256187608</c:v>
                </c:pt>
                <c:pt idx="2">
                  <c:v>69.281620166440035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0-4ABD-9876-358C55DE0C1B}"/>
            </c:ext>
          </c:extLst>
        </c:ser>
        <c:ser>
          <c:idx val="2"/>
          <c:order val="3"/>
          <c:tx>
            <c:strRef>
              <c:f>'Fig1'!$H$8</c:f>
              <c:strCache>
                <c:ptCount val="1"/>
                <c:pt idx="0">
                  <c:v>Hydro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'Fig1'!$B$9:$B$14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</c:numCache>
            </c:numRef>
          </c:xVal>
          <c:yVal>
            <c:numRef>
              <c:f>'Fig1'!$H$9:$H$14</c:f>
              <c:numCache>
                <c:formatCode>General</c:formatCode>
                <c:ptCount val="6"/>
                <c:pt idx="0">
                  <c:v>138.09123552338133</c:v>
                </c:pt>
                <c:pt idx="1">
                  <c:v>136.15795822605398</c:v>
                </c:pt>
                <c:pt idx="2">
                  <c:v>134.25174681088922</c:v>
                </c:pt>
                <c:pt idx="3">
                  <c:v>132.37222235553676</c:v>
                </c:pt>
                <c:pt idx="4">
                  <c:v>130.51901124255926</c:v>
                </c:pt>
                <c:pt idx="5">
                  <c:v>128.86079513741208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0-4ABD-9876-358C55DE0C1B}"/>
            </c:ext>
          </c:extLst>
        </c:ser>
        <c:ser>
          <c:idx val="5"/>
          <c:order val="4"/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'Fig1'!$B$14:$B$26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134</c:v>
                </c:pt>
                <c:pt idx="4">
                  <c:v>240</c:v>
                </c:pt>
                <c:pt idx="5">
                  <c:v>424</c:v>
                </c:pt>
                <c:pt idx="6">
                  <c:v>645</c:v>
                </c:pt>
                <c:pt idx="7">
                  <c:v>960</c:v>
                </c:pt>
                <c:pt idx="8">
                  <c:v>1531.84397894839</c:v>
                </c:pt>
                <c:pt idx="9">
                  <c:v>1920</c:v>
                </c:pt>
                <c:pt idx="10">
                  <c:v>3761</c:v>
                </c:pt>
                <c:pt idx="11">
                  <c:v>7680</c:v>
                </c:pt>
                <c:pt idx="12">
                  <c:v>15360</c:v>
                </c:pt>
              </c:numCache>
            </c:numRef>
          </c:xVal>
          <c:yVal>
            <c:numRef>
              <c:f>'Fig1'!$H$14:$H$26</c:f>
              <c:numCache>
                <c:formatCode>General</c:formatCode>
                <c:ptCount val="13"/>
                <c:pt idx="0">
                  <c:v>128.86079513741208</c:v>
                </c:pt>
                <c:pt idx="1">
                  <c:v>127.05674400548831</c:v>
                </c:pt>
                <c:pt idx="2">
                  <c:v>125.27794958941149</c:v>
                </c:pt>
                <c:pt idx="3">
                  <c:v>124.99707493830986</c:v>
                </c:pt>
                <c:pt idx="4">
                  <c:v>123.52405829515972</c:v>
                </c:pt>
                <c:pt idx="5">
                  <c:v>122.10243251193346</c:v>
                </c:pt>
                <c:pt idx="6">
                  <c:v>121.06494561028329</c:v>
                </c:pt>
                <c:pt idx="7">
                  <c:v>120.08959537832109</c:v>
                </c:pt>
                <c:pt idx="8">
                  <c:v>118.9535544810567</c:v>
                </c:pt>
                <c:pt idx="9">
                  <c:v>118.40834104302461</c:v>
                </c:pt>
                <c:pt idx="10">
                  <c:v>116.8</c:v>
                </c:pt>
                <c:pt idx="11">
                  <c:v>115.11611552866434</c:v>
                </c:pt>
                <c:pt idx="12">
                  <c:v>113.50448991126304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10-4ABD-9876-358C55DE0C1B}"/>
            </c:ext>
          </c:extLst>
        </c:ser>
        <c:ser>
          <c:idx val="3"/>
          <c:order val="5"/>
          <c:tx>
            <c:strRef>
              <c:f>'Fig1'!$J$8</c:f>
              <c:strCache>
                <c:ptCount val="1"/>
                <c:pt idx="0">
                  <c:v>Wind-onshore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'Fig1'!$B$9:$B$21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134</c:v>
                </c:pt>
                <c:pt idx="9">
                  <c:v>240</c:v>
                </c:pt>
                <c:pt idx="10">
                  <c:v>424</c:v>
                </c:pt>
                <c:pt idx="11">
                  <c:v>645</c:v>
                </c:pt>
                <c:pt idx="12">
                  <c:v>960</c:v>
                </c:pt>
              </c:numCache>
            </c:numRef>
          </c:xVal>
          <c:yVal>
            <c:numRef>
              <c:f>'Fig1'!$J$9:$J$21</c:f>
              <c:numCache>
                <c:formatCode>General</c:formatCode>
                <c:ptCount val="13"/>
                <c:pt idx="0">
                  <c:v>371.92977304694381</c:v>
                </c:pt>
                <c:pt idx="1">
                  <c:v>327.29820028131059</c:v>
                </c:pt>
                <c:pt idx="2">
                  <c:v>288.02241624755328</c:v>
                </c:pt>
                <c:pt idx="3">
                  <c:v>253.45972629784688</c:v>
                </c:pt>
                <c:pt idx="4">
                  <c:v>223.04455914210527</c:v>
                </c:pt>
                <c:pt idx="5">
                  <c:v>198.62938191366922</c:v>
                </c:pt>
                <c:pt idx="6">
                  <c:v>174.79385608402893</c:v>
                </c:pt>
                <c:pt idx="7">
                  <c:v>153.81859335394546</c:v>
                </c:pt>
                <c:pt idx="8">
                  <c:v>150.71988528492082</c:v>
                </c:pt>
                <c:pt idx="9">
                  <c:v>135.36036215147197</c:v>
                </c:pt>
                <c:pt idx="10">
                  <c:v>121.873735800201</c:v>
                </c:pt>
                <c:pt idx="11">
                  <c:v>112.8</c:v>
                </c:pt>
                <c:pt idx="12">
                  <c:v>104.82306445009989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0-4ABD-9876-358C55DE0C1B}"/>
            </c:ext>
          </c:extLst>
        </c:ser>
        <c:ser>
          <c:idx val="6"/>
          <c:order val="6"/>
          <c:spPr>
            <a:ln w="254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'Fig1'!$B$21:$B$24</c:f>
              <c:numCache>
                <c:formatCode>General</c:formatCode>
                <c:ptCount val="4"/>
                <c:pt idx="0">
                  <c:v>960</c:v>
                </c:pt>
                <c:pt idx="1">
                  <c:v>1531.84397894839</c:v>
                </c:pt>
                <c:pt idx="2">
                  <c:v>1920</c:v>
                </c:pt>
                <c:pt idx="3">
                  <c:v>3761</c:v>
                </c:pt>
              </c:numCache>
            </c:numRef>
          </c:xVal>
          <c:yVal>
            <c:numRef>
              <c:f>'Fig1'!$J$21:$J$24</c:f>
              <c:numCache>
                <c:formatCode>General</c:formatCode>
                <c:ptCount val="4"/>
                <c:pt idx="0">
                  <c:v>104.82306445009989</c:v>
                </c:pt>
                <c:pt idx="1">
                  <c:v>96.167675945555601</c:v>
                </c:pt>
                <c:pt idx="2">
                  <c:v>92.244296716087931</c:v>
                </c:pt>
                <c:pt idx="3">
                  <c:v>81.486780829424148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10-4ABD-9876-358C55DE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28256"/>
        <c:axId val="133328832"/>
      </c:scatterChart>
      <c:valAx>
        <c:axId val="133328256"/>
        <c:scaling>
          <c:logBase val="10"/>
          <c:orientation val="minMax"/>
          <c:max val="200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Cumulative generation</a:t>
                </a:r>
                <a:r>
                  <a:rPr lang="en-US" baseline="0">
                    <a:solidFill>
                      <a:schemeClr val="tx1"/>
                    </a:solidFill>
                  </a:rPr>
                  <a:t> capacity (TWh)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9678294969587571"/>
              <c:y val="0.92727981855214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832"/>
        <c:crosses val="autoZero"/>
        <c:crossBetween val="midCat"/>
        <c:majorUnit val="10"/>
      </c:valAx>
      <c:valAx>
        <c:axId val="133328832"/>
        <c:scaling>
          <c:logBase val="10"/>
          <c:orientation val="minMax"/>
          <c:max val="300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Unit cost of generation (USD/MWh)</a:t>
                </a:r>
              </a:p>
            </c:rich>
          </c:tx>
          <c:layout>
            <c:manualLayout>
              <c:xMode val="edge"/>
              <c:yMode val="edge"/>
              <c:x val="1.7412297336508065E-2"/>
              <c:y val="0.12283855093705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256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33016367396484E-2"/>
          <c:y val="3.4737199800438955E-2"/>
          <c:w val="0.87665958836448832"/>
          <c:h val="0.8197564309638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'Fig1'!$C$8</c:f>
              <c:strCache>
                <c:ptCount val="1"/>
                <c:pt idx="0">
                  <c:v>Coal (Baseline)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'Fig1'!$B$9:$B$31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134</c:v>
                </c:pt>
                <c:pt idx="9">
                  <c:v>240</c:v>
                </c:pt>
                <c:pt idx="10">
                  <c:v>424</c:v>
                </c:pt>
                <c:pt idx="11">
                  <c:v>645</c:v>
                </c:pt>
                <c:pt idx="12">
                  <c:v>960</c:v>
                </c:pt>
                <c:pt idx="13">
                  <c:v>1531.84397894839</c:v>
                </c:pt>
                <c:pt idx="14">
                  <c:v>1920</c:v>
                </c:pt>
                <c:pt idx="15">
                  <c:v>3761</c:v>
                </c:pt>
                <c:pt idx="16">
                  <c:v>7680</c:v>
                </c:pt>
                <c:pt idx="17">
                  <c:v>15360</c:v>
                </c:pt>
                <c:pt idx="18">
                  <c:v>26964.136759303485</c:v>
                </c:pt>
                <c:pt idx="19">
                  <c:v>50683.601973439116</c:v>
                </c:pt>
                <c:pt idx="20">
                  <c:v>53144.709456095014</c:v>
                </c:pt>
                <c:pt idx="21">
                  <c:v>61440</c:v>
                </c:pt>
                <c:pt idx="22">
                  <c:v>100000</c:v>
                </c:pt>
              </c:numCache>
            </c:numRef>
          </c:xVal>
          <c:yVal>
            <c:numRef>
              <c:f>'Fig1'!$D$9:$D$31</c:f>
              <c:numCache>
                <c:formatCode>General</c:formatCode>
                <c:ptCount val="2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B-44B2-A888-4125BDAD3EDE}"/>
            </c:ext>
          </c:extLst>
        </c:ser>
        <c:ser>
          <c:idx val="1"/>
          <c:order val="1"/>
          <c:tx>
            <c:strRef>
              <c:f>'Fig1'!$F$8</c:f>
              <c:strCache>
                <c:ptCount val="1"/>
                <c:pt idx="0">
                  <c:v>PV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'Fig1'!$B$9:$B$17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134</c:v>
                </c:pt>
              </c:numCache>
            </c:numRef>
          </c:xVal>
          <c:yVal>
            <c:numRef>
              <c:f>'Fig1'!$F$9:$F$17</c:f>
              <c:numCache>
                <c:formatCode>General</c:formatCode>
                <c:ptCount val="9"/>
                <c:pt idx="0">
                  <c:v>794.36066529484287</c:v>
                </c:pt>
                <c:pt idx="1">
                  <c:v>611.65771227702908</c:v>
                </c:pt>
                <c:pt idx="2">
                  <c:v>470.97643845331231</c:v>
                </c:pt>
                <c:pt idx="3">
                  <c:v>362.65185760905058</c:v>
                </c:pt>
                <c:pt idx="4">
                  <c:v>279.24193035896889</c:v>
                </c:pt>
                <c:pt idx="5">
                  <c:v>220.3130067981065</c:v>
                </c:pt>
                <c:pt idx="6">
                  <c:v>169.64101523454201</c:v>
                </c:pt>
                <c:pt idx="7">
                  <c:v>130.62358173059738</c:v>
                </c:pt>
                <c:pt idx="8">
                  <c:v>125.3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B-44B2-A888-4125BDAD3EDE}"/>
            </c:ext>
          </c:extLst>
        </c:ser>
        <c:ser>
          <c:idx val="4"/>
          <c:order val="2"/>
          <c:tx>
            <c:v>PV2</c:v>
          </c:tx>
          <c:spPr>
            <a:ln w="2540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'Fig1'!$B$17:$B$22</c:f>
              <c:numCache>
                <c:formatCode>General</c:formatCode>
                <c:ptCount val="6"/>
                <c:pt idx="0">
                  <c:v>134</c:v>
                </c:pt>
                <c:pt idx="1">
                  <c:v>240</c:v>
                </c:pt>
                <c:pt idx="2">
                  <c:v>424</c:v>
                </c:pt>
                <c:pt idx="3">
                  <c:v>645</c:v>
                </c:pt>
                <c:pt idx="4">
                  <c:v>960</c:v>
                </c:pt>
                <c:pt idx="5">
                  <c:v>1531.84397894839</c:v>
                </c:pt>
              </c:numCache>
            </c:numRef>
          </c:xVal>
          <c:yVal>
            <c:numRef>
              <c:f>'Fig1'!$F$17:$F$22</c:f>
              <c:numCache>
                <c:formatCode>General</c:formatCode>
                <c:ptCount val="6"/>
                <c:pt idx="0">
                  <c:v>125.3</c:v>
                </c:pt>
                <c:pt idx="1">
                  <c:v>100.58015793255997</c:v>
                </c:pt>
                <c:pt idx="2">
                  <c:v>81.155472256187608</c:v>
                </c:pt>
                <c:pt idx="3">
                  <c:v>69.281620166440035</c:v>
                </c:pt>
                <c:pt idx="4">
                  <c:v>59.633975638214793</c:v>
                </c:pt>
                <c:pt idx="5">
                  <c:v>49.999999999999986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B-44B2-A888-4125BDAD3EDE}"/>
            </c:ext>
          </c:extLst>
        </c:ser>
        <c:ser>
          <c:idx val="2"/>
          <c:order val="3"/>
          <c:tx>
            <c:strRef>
              <c:f>'Fig1'!$H$8</c:f>
              <c:strCache>
                <c:ptCount val="1"/>
                <c:pt idx="0">
                  <c:v>Hydro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'Fig1'!$B$9:$B$24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134</c:v>
                </c:pt>
                <c:pt idx="9">
                  <c:v>240</c:v>
                </c:pt>
                <c:pt idx="10">
                  <c:v>424</c:v>
                </c:pt>
                <c:pt idx="11">
                  <c:v>645</c:v>
                </c:pt>
                <c:pt idx="12">
                  <c:v>960</c:v>
                </c:pt>
                <c:pt idx="13">
                  <c:v>1531.84397894839</c:v>
                </c:pt>
                <c:pt idx="14">
                  <c:v>1920</c:v>
                </c:pt>
                <c:pt idx="15">
                  <c:v>3761</c:v>
                </c:pt>
              </c:numCache>
            </c:numRef>
          </c:xVal>
          <c:yVal>
            <c:numRef>
              <c:f>'Fig1'!$H$9:$H$24</c:f>
              <c:numCache>
                <c:formatCode>General</c:formatCode>
                <c:ptCount val="16"/>
                <c:pt idx="0">
                  <c:v>138.09123552338133</c:v>
                </c:pt>
                <c:pt idx="1">
                  <c:v>136.15795822605398</c:v>
                </c:pt>
                <c:pt idx="2">
                  <c:v>134.25174681088922</c:v>
                </c:pt>
                <c:pt idx="3">
                  <c:v>132.37222235553676</c:v>
                </c:pt>
                <c:pt idx="4">
                  <c:v>130.51901124255926</c:v>
                </c:pt>
                <c:pt idx="5">
                  <c:v>128.86079513741208</c:v>
                </c:pt>
                <c:pt idx="6">
                  <c:v>127.05674400548831</c:v>
                </c:pt>
                <c:pt idx="7">
                  <c:v>125.27794958941149</c:v>
                </c:pt>
                <c:pt idx="8">
                  <c:v>124.99707493830986</c:v>
                </c:pt>
                <c:pt idx="9">
                  <c:v>123.52405829515972</c:v>
                </c:pt>
                <c:pt idx="10">
                  <c:v>122.10243251193346</c:v>
                </c:pt>
                <c:pt idx="11">
                  <c:v>121.06494561028329</c:v>
                </c:pt>
                <c:pt idx="12">
                  <c:v>120.08959537832109</c:v>
                </c:pt>
                <c:pt idx="13">
                  <c:v>118.9535544810567</c:v>
                </c:pt>
                <c:pt idx="14">
                  <c:v>118.40834104302461</c:v>
                </c:pt>
                <c:pt idx="15">
                  <c:v>116.8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B-44B2-A888-4125BDAD3EDE}"/>
            </c:ext>
          </c:extLst>
        </c:ser>
        <c:ser>
          <c:idx val="5"/>
          <c:order val="4"/>
          <c:tx>
            <c:v>Hydro2</c:v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'Fig1'!$B$24:$B$31</c:f>
              <c:numCache>
                <c:formatCode>General</c:formatCode>
                <c:ptCount val="8"/>
                <c:pt idx="0">
                  <c:v>3761</c:v>
                </c:pt>
                <c:pt idx="1">
                  <c:v>7680</c:v>
                </c:pt>
                <c:pt idx="2">
                  <c:v>15360</c:v>
                </c:pt>
                <c:pt idx="3">
                  <c:v>26964.136759303485</c:v>
                </c:pt>
                <c:pt idx="4">
                  <c:v>50683.601973439116</c:v>
                </c:pt>
                <c:pt idx="5">
                  <c:v>53144.709456095014</c:v>
                </c:pt>
                <c:pt idx="6">
                  <c:v>61440</c:v>
                </c:pt>
                <c:pt idx="7">
                  <c:v>100000</c:v>
                </c:pt>
              </c:numCache>
            </c:numRef>
          </c:xVal>
          <c:yVal>
            <c:numRef>
              <c:f>'Fig1'!$H$24:$H$31</c:f>
              <c:numCache>
                <c:formatCode>General</c:formatCode>
                <c:ptCount val="8"/>
                <c:pt idx="0">
                  <c:v>116.8</c:v>
                </c:pt>
                <c:pt idx="1">
                  <c:v>115.11611552866434</c:v>
                </c:pt>
                <c:pt idx="2">
                  <c:v>113.50448991126304</c:v>
                </c:pt>
                <c:pt idx="3">
                  <c:v>112.21267906869691</c:v>
                </c:pt>
                <c:pt idx="4">
                  <c:v>110.78143892488335</c:v>
                </c:pt>
                <c:pt idx="5">
                  <c:v>110.67464556486527</c:v>
                </c:pt>
                <c:pt idx="6">
                  <c:v>110.34861107377027</c:v>
                </c:pt>
                <c:pt idx="7">
                  <c:v>109.26067366675339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AB-44B2-A888-4125BDAD3EDE}"/>
            </c:ext>
          </c:extLst>
        </c:ser>
        <c:ser>
          <c:idx val="3"/>
          <c:order val="5"/>
          <c:tx>
            <c:strRef>
              <c:f>'Fig1'!$J$8</c:f>
              <c:strCache>
                <c:ptCount val="1"/>
                <c:pt idx="0">
                  <c:v>Wind-onshore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'Fig1'!$B$9:$B$20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134</c:v>
                </c:pt>
                <c:pt idx="9">
                  <c:v>240</c:v>
                </c:pt>
                <c:pt idx="10">
                  <c:v>424</c:v>
                </c:pt>
                <c:pt idx="11">
                  <c:v>645</c:v>
                </c:pt>
              </c:numCache>
            </c:numRef>
          </c:xVal>
          <c:yVal>
            <c:numRef>
              <c:f>'Fig1'!$J$9:$J$20</c:f>
              <c:numCache>
                <c:formatCode>General</c:formatCode>
                <c:ptCount val="12"/>
                <c:pt idx="0">
                  <c:v>371.92977304694381</c:v>
                </c:pt>
                <c:pt idx="1">
                  <c:v>327.29820028131059</c:v>
                </c:pt>
                <c:pt idx="2">
                  <c:v>288.02241624755328</c:v>
                </c:pt>
                <c:pt idx="3">
                  <c:v>253.45972629784688</c:v>
                </c:pt>
                <c:pt idx="4">
                  <c:v>223.04455914210527</c:v>
                </c:pt>
                <c:pt idx="5">
                  <c:v>198.62938191366922</c:v>
                </c:pt>
                <c:pt idx="6">
                  <c:v>174.79385608402893</c:v>
                </c:pt>
                <c:pt idx="7">
                  <c:v>153.81859335394546</c:v>
                </c:pt>
                <c:pt idx="8">
                  <c:v>150.71988528492082</c:v>
                </c:pt>
                <c:pt idx="9">
                  <c:v>135.36036215147197</c:v>
                </c:pt>
                <c:pt idx="10">
                  <c:v>121.873735800201</c:v>
                </c:pt>
                <c:pt idx="11">
                  <c:v>112.8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AB-44B2-A888-4125BDAD3EDE}"/>
            </c:ext>
          </c:extLst>
        </c:ser>
        <c:ser>
          <c:idx val="6"/>
          <c:order val="6"/>
          <c:tx>
            <c:v>WindOn2</c:v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'Fig1'!$B$20:$B$29</c:f>
              <c:numCache>
                <c:formatCode>General</c:formatCode>
                <c:ptCount val="10"/>
                <c:pt idx="0">
                  <c:v>645</c:v>
                </c:pt>
                <c:pt idx="1">
                  <c:v>960</c:v>
                </c:pt>
                <c:pt idx="2">
                  <c:v>1531.84397894839</c:v>
                </c:pt>
                <c:pt idx="3">
                  <c:v>1920</c:v>
                </c:pt>
                <c:pt idx="4">
                  <c:v>3761</c:v>
                </c:pt>
                <c:pt idx="5">
                  <c:v>7680</c:v>
                </c:pt>
                <c:pt idx="6">
                  <c:v>15360</c:v>
                </c:pt>
                <c:pt idx="7">
                  <c:v>26964.136759303485</c:v>
                </c:pt>
                <c:pt idx="8">
                  <c:v>50683.601973439116</c:v>
                </c:pt>
                <c:pt idx="9">
                  <c:v>53144.709456095014</c:v>
                </c:pt>
              </c:numCache>
            </c:numRef>
          </c:xVal>
          <c:yVal>
            <c:numRef>
              <c:f>'Fig1'!$J$20:$J$29</c:f>
              <c:numCache>
                <c:formatCode>General</c:formatCode>
                <c:ptCount val="10"/>
                <c:pt idx="0">
                  <c:v>112.8</c:v>
                </c:pt>
                <c:pt idx="1">
                  <c:v>104.82306445009989</c:v>
                </c:pt>
                <c:pt idx="2">
                  <c:v>96.167675945555601</c:v>
                </c:pt>
                <c:pt idx="3">
                  <c:v>92.244296716087931</c:v>
                </c:pt>
                <c:pt idx="4">
                  <c:v>81.486780829424148</c:v>
                </c:pt>
                <c:pt idx="5">
                  <c:v>71.433983376938514</c:v>
                </c:pt>
                <c:pt idx="6">
                  <c:v>62.86190537170588</c:v>
                </c:pt>
                <c:pt idx="7">
                  <c:v>56.665019314651737</c:v>
                </c:pt>
                <c:pt idx="8">
                  <c:v>50.439152339682373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AB-44B2-A888-4125BDAD3EDE}"/>
            </c:ext>
          </c:extLst>
        </c:ser>
        <c:ser>
          <c:idx val="7"/>
          <c:order val="7"/>
          <c:tx>
            <c:strRef>
              <c:f>'Fig1'!$L$8</c:f>
              <c:strCache>
                <c:ptCount val="1"/>
                <c:pt idx="0">
                  <c:v>Wind-offshore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'Fig1'!$B$9:$B$14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</c:numCache>
            </c:numRef>
          </c:xVal>
          <c:yVal>
            <c:numRef>
              <c:f>'Fig1'!$L$9:$L$14</c:f>
              <c:numCache>
                <c:formatCode>General</c:formatCode>
                <c:ptCount val="6"/>
                <c:pt idx="0">
                  <c:v>368.69153801612629</c:v>
                </c:pt>
                <c:pt idx="1">
                  <c:v>324.4485534541912</c:v>
                </c:pt>
                <c:pt idx="2">
                  <c:v>285.51472703968818</c:v>
                </c:pt>
                <c:pt idx="3">
                  <c:v>251.2529597949256</c:v>
                </c:pt>
                <c:pt idx="4">
                  <c:v>221.10260461953453</c:v>
                </c:pt>
                <c:pt idx="5">
                  <c:v>196.9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AB-44B2-A888-4125BDAD3EDE}"/>
            </c:ext>
          </c:extLst>
        </c:ser>
        <c:ser>
          <c:idx val="8"/>
          <c:order val="8"/>
          <c:tx>
            <c:v>WindOff2</c:v>
          </c:tx>
          <c:spPr>
            <a:ln w="31750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'Fig1'!$B$14:$B$28</c:f>
              <c:numCache>
                <c:formatCode>General</c:formatCode>
                <c:ptCount val="1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134</c:v>
                </c:pt>
                <c:pt idx="4">
                  <c:v>240</c:v>
                </c:pt>
                <c:pt idx="5">
                  <c:v>424</c:v>
                </c:pt>
                <c:pt idx="6">
                  <c:v>645</c:v>
                </c:pt>
                <c:pt idx="7">
                  <c:v>960</c:v>
                </c:pt>
                <c:pt idx="8">
                  <c:v>1531.84397894839</c:v>
                </c:pt>
                <c:pt idx="9">
                  <c:v>1920</c:v>
                </c:pt>
                <c:pt idx="10">
                  <c:v>3761</c:v>
                </c:pt>
                <c:pt idx="11">
                  <c:v>7680</c:v>
                </c:pt>
                <c:pt idx="12">
                  <c:v>15360</c:v>
                </c:pt>
                <c:pt idx="13">
                  <c:v>26964.136759303485</c:v>
                </c:pt>
                <c:pt idx="14">
                  <c:v>50683.601973439116</c:v>
                </c:pt>
              </c:numCache>
            </c:numRef>
          </c:xVal>
          <c:yVal>
            <c:numRef>
              <c:f>'Fig1'!$L$14:$L$28</c:f>
              <c:numCache>
                <c:formatCode>General</c:formatCode>
                <c:ptCount val="15"/>
                <c:pt idx="0">
                  <c:v>196.9</c:v>
                </c:pt>
                <c:pt idx="1">
                  <c:v>173.27200000000005</c:v>
                </c:pt>
                <c:pt idx="2">
                  <c:v>152.47936000000004</c:v>
                </c:pt>
                <c:pt idx="3">
                  <c:v>149.40763106990579</c:v>
                </c:pt>
                <c:pt idx="4">
                  <c:v>134.18183680000001</c:v>
                </c:pt>
                <c:pt idx="5">
                  <c:v>120.81263279311531</c:v>
                </c:pt>
                <c:pt idx="6">
                  <c:v>111.81789816802294</c:v>
                </c:pt>
                <c:pt idx="7">
                  <c:v>103.91041441791999</c:v>
                </c:pt>
                <c:pt idx="8">
                  <c:v>95.33038471574082</c:v>
                </c:pt>
                <c:pt idx="9">
                  <c:v>91.441164687769614</c:v>
                </c:pt>
                <c:pt idx="10">
                  <c:v>80.777309936387894</c:v>
                </c:pt>
                <c:pt idx="11">
                  <c:v>70.812037934208803</c:v>
                </c:pt>
                <c:pt idx="12">
                  <c:v>62.314593382103745</c:v>
                </c:pt>
                <c:pt idx="13">
                  <c:v>56.171660987719683</c:v>
                </c:pt>
                <c:pt idx="14">
                  <c:v>49.999999999999993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AB-44B2-A888-4125BDAD3EDE}"/>
            </c:ext>
          </c:extLst>
        </c:ser>
        <c:ser>
          <c:idx val="9"/>
          <c:order val="9"/>
          <c:tx>
            <c:strRef>
              <c:f>'Fig1'!$N$8</c:f>
              <c:strCache>
                <c:ptCount val="1"/>
                <c:pt idx="0">
                  <c:v>Biomass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'Fig1'!$B$9:$B$19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134</c:v>
                </c:pt>
                <c:pt idx="9">
                  <c:v>240</c:v>
                </c:pt>
                <c:pt idx="10">
                  <c:v>424</c:v>
                </c:pt>
              </c:numCache>
            </c:numRef>
          </c:xVal>
          <c:yVal>
            <c:numRef>
              <c:f>'Fig1'!$N$9:$N$19</c:f>
              <c:numCache>
                <c:formatCode>General</c:formatCode>
                <c:ptCount val="11"/>
                <c:pt idx="0">
                  <c:v>277.89840744283902</c:v>
                </c:pt>
                <c:pt idx="1">
                  <c:v>247.32958262412669</c:v>
                </c:pt>
                <c:pt idx="2">
                  <c:v>220.12332853547278</c:v>
                </c:pt>
                <c:pt idx="3">
                  <c:v>195.90976239657078</c:v>
                </c:pt>
                <c:pt idx="4">
                  <c:v>174.35968853294801</c:v>
                </c:pt>
                <c:pt idx="5">
                  <c:v>156.87305619039142</c:v>
                </c:pt>
                <c:pt idx="6">
                  <c:v>139.61702000944837</c:v>
                </c:pt>
                <c:pt idx="7">
                  <c:v>124.25914780840905</c:v>
                </c:pt>
                <c:pt idx="8">
                  <c:v>121.975141610238</c:v>
                </c:pt>
                <c:pt idx="9">
                  <c:v>110.59064154948408</c:v>
                </c:pt>
                <c:pt idx="10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AB-44B2-A888-4125BDAD3EDE}"/>
            </c:ext>
          </c:extLst>
        </c:ser>
        <c:ser>
          <c:idx val="10"/>
          <c:order val="10"/>
          <c:tx>
            <c:v>Biomass2</c:v>
          </c:tx>
          <c:spPr>
            <a:ln w="31750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'Fig1'!$B$19:$B$27</c:f>
              <c:numCache>
                <c:formatCode>General</c:formatCode>
                <c:ptCount val="9"/>
                <c:pt idx="0">
                  <c:v>424</c:v>
                </c:pt>
                <c:pt idx="1">
                  <c:v>645</c:v>
                </c:pt>
                <c:pt idx="2">
                  <c:v>960</c:v>
                </c:pt>
                <c:pt idx="3">
                  <c:v>1531.84397894839</c:v>
                </c:pt>
                <c:pt idx="4">
                  <c:v>1920</c:v>
                </c:pt>
                <c:pt idx="5">
                  <c:v>3761</c:v>
                </c:pt>
                <c:pt idx="6">
                  <c:v>7680</c:v>
                </c:pt>
                <c:pt idx="7">
                  <c:v>15360</c:v>
                </c:pt>
                <c:pt idx="8">
                  <c:v>26964.136759303485</c:v>
                </c:pt>
              </c:numCache>
            </c:numRef>
          </c:xVal>
          <c:yVal>
            <c:numRef>
              <c:f>'Fig1'!$N$19:$N$27</c:f>
              <c:numCache>
                <c:formatCode>General</c:formatCode>
                <c:ptCount val="9"/>
                <c:pt idx="0">
                  <c:v>100.5</c:v>
                </c:pt>
                <c:pt idx="1">
                  <c:v>93.655896996161331</c:v>
                </c:pt>
                <c:pt idx="2">
                  <c:v>87.598847171346321</c:v>
                </c:pt>
                <c:pt idx="3">
                  <c:v>80.980229480989294</c:v>
                </c:pt>
                <c:pt idx="4">
                  <c:v>77.962973982498241</c:v>
                </c:pt>
                <c:pt idx="5">
                  <c:v>69.629968382891008</c:v>
                </c:pt>
                <c:pt idx="6">
                  <c:v>61.754471691536857</c:v>
                </c:pt>
                <c:pt idx="7">
                  <c:v>54.961479805467796</c:v>
                </c:pt>
                <c:pt idx="8">
                  <c:v>50.000000000000007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AB-44B2-A888-4125BDA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3232"/>
        <c:axId val="132063808"/>
      </c:scatterChart>
      <c:valAx>
        <c:axId val="13206323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Cumulative quantity 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(TWh)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390601206882081"/>
              <c:y val="0.92727980055745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3808"/>
        <c:crosses val="autoZero"/>
        <c:crossBetween val="midCat"/>
      </c:valAx>
      <c:valAx>
        <c:axId val="132063808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Unit cost of generation (USD/MWh)</a:t>
                </a:r>
              </a:p>
            </c:rich>
          </c:tx>
          <c:layout>
            <c:manualLayout>
              <c:xMode val="edge"/>
              <c:yMode val="edge"/>
              <c:x val="3.7360672426844871E-3"/>
              <c:y val="0.19889203560127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3232"/>
        <c:crosses val="autoZero"/>
        <c:crossBetween val="midCat"/>
      </c:valAx>
      <c:spPr>
        <a:solidFill>
          <a:schemeClr val="bg2">
            <a:alpha val="3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9277022193E-2"/>
          <c:y val="3.4920634920634921E-2"/>
          <c:w val="0.92947133738964449"/>
          <c:h val="0.86643369578802654"/>
        </c:manualLayout>
      </c:layout>
      <c:scatterChart>
        <c:scatterStyle val="lineMarker"/>
        <c:varyColors val="0"/>
        <c:ser>
          <c:idx val="4"/>
          <c:order val="2"/>
          <c:tx>
            <c:strRef>
              <c:f>'Fig2'!$H$6</c:f>
              <c:strCache>
                <c:ptCount val="1"/>
                <c:pt idx="0">
                  <c:v>Private-type R&amp;D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'Fig2'!$A$8:$A$41</c:f>
              <c:numCache>
                <c:formatCode>General</c:formatCode>
                <c:ptCount val="34"/>
                <c:pt idx="0">
                  <c:v>134</c:v>
                </c:pt>
                <c:pt idx="1">
                  <c:v>169.28309629258106</c:v>
                </c:pt>
                <c:pt idx="2">
                  <c:v>204.56619258516213</c:v>
                </c:pt>
                <c:pt idx="3">
                  <c:v>239.84928887774319</c:v>
                </c:pt>
                <c:pt idx="4">
                  <c:v>275.13238517032426</c:v>
                </c:pt>
                <c:pt idx="5">
                  <c:v>310.41548146290529</c:v>
                </c:pt>
                <c:pt idx="6">
                  <c:v>345.69857775548633</c:v>
                </c:pt>
                <c:pt idx="7">
                  <c:v>380.98167404806736</c:v>
                </c:pt>
                <c:pt idx="8">
                  <c:v>416.2647703406484</c:v>
                </c:pt>
                <c:pt idx="9">
                  <c:v>451.54786663322943</c:v>
                </c:pt>
                <c:pt idx="10">
                  <c:v>486.83096292581047</c:v>
                </c:pt>
                <c:pt idx="11">
                  <c:v>522.1140592183915</c:v>
                </c:pt>
                <c:pt idx="12">
                  <c:v>557.39715551097254</c:v>
                </c:pt>
                <c:pt idx="13">
                  <c:v>593.77476908299639</c:v>
                </c:pt>
                <c:pt idx="14">
                  <c:v>629.05786537557742</c:v>
                </c:pt>
                <c:pt idx="15">
                  <c:v>664.34096166815846</c:v>
                </c:pt>
                <c:pt idx="16">
                  <c:v>699.62405796073949</c:v>
                </c:pt>
                <c:pt idx="17">
                  <c:v>734.90715425332053</c:v>
                </c:pt>
                <c:pt idx="18">
                  <c:v>770.19025054590156</c:v>
                </c:pt>
                <c:pt idx="19">
                  <c:v>805.4733468384826</c:v>
                </c:pt>
                <c:pt idx="20">
                  <c:v>840.75644313106363</c:v>
                </c:pt>
                <c:pt idx="21">
                  <c:v>876.03953942364467</c:v>
                </c:pt>
                <c:pt idx="22">
                  <c:v>911.3226357162257</c:v>
                </c:pt>
                <c:pt idx="23">
                  <c:v>946.60573200880674</c:v>
                </c:pt>
                <c:pt idx="24">
                  <c:v>981.88882830138778</c:v>
                </c:pt>
                <c:pt idx="25">
                  <c:v>1017.1719245939688</c:v>
                </c:pt>
                <c:pt idx="26">
                  <c:v>1052.4550208865498</c:v>
                </c:pt>
                <c:pt idx="27">
                  <c:v>1087.738117179131</c:v>
                </c:pt>
                <c:pt idx="28">
                  <c:v>1123.0212134717121</c:v>
                </c:pt>
                <c:pt idx="29">
                  <c:v>1158.3043097642933</c:v>
                </c:pt>
                <c:pt idx="30">
                  <c:v>1193.5874060568744</c:v>
                </c:pt>
                <c:pt idx="31">
                  <c:v>1228.8705023494556</c:v>
                </c:pt>
                <c:pt idx="32">
                  <c:v>1264.1535986420367</c:v>
                </c:pt>
                <c:pt idx="33">
                  <c:v>1299.4366949346179</c:v>
                </c:pt>
              </c:numCache>
            </c:numRef>
          </c:xVal>
          <c:yVal>
            <c:numRef>
              <c:f>'Fig2'!$G$8:$G$41</c:f>
              <c:numCache>
                <c:formatCode>General</c:formatCode>
                <c:ptCount val="34"/>
                <c:pt idx="0">
                  <c:v>87.65</c:v>
                </c:pt>
                <c:pt idx="1">
                  <c:v>84.49619121154582</c:v>
                </c:pt>
                <c:pt idx="2">
                  <c:v>81.720860978867378</c:v>
                </c:pt>
                <c:pt idx="3">
                  <c:v>79.251867096943386</c:v>
                </c:pt>
                <c:pt idx="4">
                  <c:v>77.035158252474972</c:v>
                </c:pt>
                <c:pt idx="5">
                  <c:v>75.029299164497289</c:v>
                </c:pt>
                <c:pt idx="6">
                  <c:v>73.201899899272803</c:v>
                </c:pt>
                <c:pt idx="7">
                  <c:v>71.527211493230638</c:v>
                </c:pt>
                <c:pt idx="8">
                  <c:v>69.984461881476477</c:v>
                </c:pt>
                <c:pt idx="9">
                  <c:v>68.556676404101452</c:v>
                </c:pt>
                <c:pt idx="10">
                  <c:v>67.229824114388023</c:v>
                </c:pt>
                <c:pt idx="11">
                  <c:v>65.992188361174783</c:v>
                </c:pt>
                <c:pt idx="12">
                  <c:v>64.83389501614289</c:v>
                </c:pt>
                <c:pt idx="13">
                  <c:v>63.713877240986768</c:v>
                </c:pt>
                <c:pt idx="14">
                  <c:v>62.692178763769228</c:v>
                </c:pt>
                <c:pt idx="15">
                  <c:v>61.727878170236913</c:v>
                </c:pt>
                <c:pt idx="16">
                  <c:v>60.815627058642036</c:v>
                </c:pt>
                <c:pt idx="17">
                  <c:v>59.950758397480264</c:v>
                </c:pt>
                <c:pt idx="18">
                  <c:v>59.12917809945921</c:v>
                </c:pt>
                <c:pt idx="19">
                  <c:v>58.347277048851694</c:v>
                </c:pt>
                <c:pt idx="20">
                  <c:v>57.60185916120502</c:v>
                </c:pt>
                <c:pt idx="21">
                  <c:v>56.890082123658942</c:v>
                </c:pt>
                <c:pt idx="22">
                  <c:v>56.209408249037956</c:v>
                </c:pt>
                <c:pt idx="23">
                  <c:v>55.55756345947983</c:v>
                </c:pt>
                <c:pt idx="24">
                  <c:v>54.932502852278596</c:v>
                </c:pt>
                <c:pt idx="25">
                  <c:v>54.33238163144938</c:v>
                </c:pt>
                <c:pt idx="26">
                  <c:v>53.755530441289473</c:v>
                </c:pt>
                <c:pt idx="27">
                  <c:v>53.200434332968278</c:v>
                </c:pt>
                <c:pt idx="28">
                  <c:v>52.665714746432876</c:v>
                </c:pt>
                <c:pt idx="29">
                  <c:v>52.150114008262825</c:v>
                </c:pt>
                <c:pt idx="30">
                  <c:v>51.652481939357642</c:v>
                </c:pt>
                <c:pt idx="31">
                  <c:v>51.171764240304093</c:v>
                </c:pt>
                <c:pt idx="32">
                  <c:v>50.706992381306058</c:v>
                </c:pt>
                <c:pt idx="33">
                  <c:v>50.257274770960088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9-419C-9E64-DBCE0798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8992"/>
        <c:axId val="133332288"/>
      </c:scatterChart>
      <c:scatterChart>
        <c:scatterStyle val="smoothMarker"/>
        <c:varyColors val="0"/>
        <c:ser>
          <c:idx val="3"/>
          <c:order val="0"/>
          <c:tx>
            <c:strRef>
              <c:f>'Fig2'!$D$6</c:f>
              <c:strCache>
                <c:ptCount val="1"/>
                <c:pt idx="0">
                  <c:v>Fossil Fuel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'Fig2'!$A$8:$A$47</c:f>
              <c:numCache>
                <c:formatCode>General</c:formatCode>
                <c:ptCount val="40"/>
                <c:pt idx="0">
                  <c:v>134</c:v>
                </c:pt>
                <c:pt idx="1">
                  <c:v>169.28309629258106</c:v>
                </c:pt>
                <c:pt idx="2">
                  <c:v>204.56619258516213</c:v>
                </c:pt>
                <c:pt idx="3">
                  <c:v>239.84928887774319</c:v>
                </c:pt>
                <c:pt idx="4">
                  <c:v>275.13238517032426</c:v>
                </c:pt>
                <c:pt idx="5">
                  <c:v>310.41548146290529</c:v>
                </c:pt>
                <c:pt idx="6">
                  <c:v>345.69857775548633</c:v>
                </c:pt>
                <c:pt idx="7">
                  <c:v>380.98167404806736</c:v>
                </c:pt>
                <c:pt idx="8">
                  <c:v>416.2647703406484</c:v>
                </c:pt>
                <c:pt idx="9">
                  <c:v>451.54786663322943</c:v>
                </c:pt>
                <c:pt idx="10">
                  <c:v>486.83096292581047</c:v>
                </c:pt>
                <c:pt idx="11">
                  <c:v>522.1140592183915</c:v>
                </c:pt>
                <c:pt idx="12">
                  <c:v>557.39715551097254</c:v>
                </c:pt>
                <c:pt idx="13">
                  <c:v>593.77476908299639</c:v>
                </c:pt>
                <c:pt idx="14">
                  <c:v>629.05786537557742</c:v>
                </c:pt>
                <c:pt idx="15">
                  <c:v>664.34096166815846</c:v>
                </c:pt>
                <c:pt idx="16">
                  <c:v>699.62405796073949</c:v>
                </c:pt>
                <c:pt idx="17">
                  <c:v>734.90715425332053</c:v>
                </c:pt>
                <c:pt idx="18">
                  <c:v>770.19025054590156</c:v>
                </c:pt>
                <c:pt idx="19">
                  <c:v>805.4733468384826</c:v>
                </c:pt>
                <c:pt idx="20">
                  <c:v>840.75644313106363</c:v>
                </c:pt>
                <c:pt idx="21">
                  <c:v>876.03953942364467</c:v>
                </c:pt>
                <c:pt idx="22">
                  <c:v>911.3226357162257</c:v>
                </c:pt>
                <c:pt idx="23">
                  <c:v>946.60573200880674</c:v>
                </c:pt>
                <c:pt idx="24">
                  <c:v>981.88882830138778</c:v>
                </c:pt>
                <c:pt idx="25">
                  <c:v>1017.1719245939688</c:v>
                </c:pt>
                <c:pt idx="26">
                  <c:v>1052.4550208865498</c:v>
                </c:pt>
                <c:pt idx="27">
                  <c:v>1087.738117179131</c:v>
                </c:pt>
                <c:pt idx="28">
                  <c:v>1123.0212134717121</c:v>
                </c:pt>
                <c:pt idx="29">
                  <c:v>1158.3043097642933</c:v>
                </c:pt>
                <c:pt idx="30">
                  <c:v>1193.5874060568744</c:v>
                </c:pt>
                <c:pt idx="31">
                  <c:v>1228.8705023494556</c:v>
                </c:pt>
                <c:pt idx="32">
                  <c:v>1264.1535986420367</c:v>
                </c:pt>
                <c:pt idx="33">
                  <c:v>1299.4366949346179</c:v>
                </c:pt>
                <c:pt idx="34">
                  <c:v>1320.1454011929036</c:v>
                </c:pt>
                <c:pt idx="35">
                  <c:v>1355.4284974854847</c:v>
                </c:pt>
                <c:pt idx="36">
                  <c:v>1390.7115937780659</c:v>
                </c:pt>
                <c:pt idx="37">
                  <c:v>1425.994690070647</c:v>
                </c:pt>
                <c:pt idx="38">
                  <c:v>1461.2777863632282</c:v>
                </c:pt>
                <c:pt idx="39">
                  <c:v>1496.5608826558093</c:v>
                </c:pt>
              </c:numCache>
            </c:numRef>
          </c:xVal>
          <c:yVal>
            <c:numRef>
              <c:f>'Fig2'!$C$8:$C$47</c:f>
              <c:numCache>
                <c:formatCode>General</c:formatCode>
                <c:ptCount val="4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9-419C-9E64-DBCE0798F00F}"/>
            </c:ext>
          </c:extLst>
        </c:ser>
        <c:ser>
          <c:idx val="2"/>
          <c:order val="1"/>
          <c:tx>
            <c:strRef>
              <c:f>'Fig2'!$E$6</c:f>
              <c:strCache>
                <c:ptCount val="1"/>
                <c:pt idx="0">
                  <c:v>Solar PV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'Fig2'!$A$8:$A$47</c:f>
              <c:numCache>
                <c:formatCode>General</c:formatCode>
                <c:ptCount val="40"/>
                <c:pt idx="0">
                  <c:v>134</c:v>
                </c:pt>
                <c:pt idx="1">
                  <c:v>169.28309629258106</c:v>
                </c:pt>
                <c:pt idx="2">
                  <c:v>204.56619258516213</c:v>
                </c:pt>
                <c:pt idx="3">
                  <c:v>239.84928887774319</c:v>
                </c:pt>
                <c:pt idx="4">
                  <c:v>275.13238517032426</c:v>
                </c:pt>
                <c:pt idx="5">
                  <c:v>310.41548146290529</c:v>
                </c:pt>
                <c:pt idx="6">
                  <c:v>345.69857775548633</c:v>
                </c:pt>
                <c:pt idx="7">
                  <c:v>380.98167404806736</c:v>
                </c:pt>
                <c:pt idx="8">
                  <c:v>416.2647703406484</c:v>
                </c:pt>
                <c:pt idx="9">
                  <c:v>451.54786663322943</c:v>
                </c:pt>
                <c:pt idx="10">
                  <c:v>486.83096292581047</c:v>
                </c:pt>
                <c:pt idx="11">
                  <c:v>522.1140592183915</c:v>
                </c:pt>
                <c:pt idx="12">
                  <c:v>557.39715551097254</c:v>
                </c:pt>
                <c:pt idx="13">
                  <c:v>593.77476908299639</c:v>
                </c:pt>
                <c:pt idx="14">
                  <c:v>629.05786537557742</c:v>
                </c:pt>
                <c:pt idx="15">
                  <c:v>664.34096166815846</c:v>
                </c:pt>
                <c:pt idx="16">
                  <c:v>699.62405796073949</c:v>
                </c:pt>
                <c:pt idx="17">
                  <c:v>734.90715425332053</c:v>
                </c:pt>
                <c:pt idx="18">
                  <c:v>770.19025054590156</c:v>
                </c:pt>
                <c:pt idx="19">
                  <c:v>805.4733468384826</c:v>
                </c:pt>
                <c:pt idx="20">
                  <c:v>840.75644313106363</c:v>
                </c:pt>
                <c:pt idx="21">
                  <c:v>876.03953942364467</c:v>
                </c:pt>
                <c:pt idx="22">
                  <c:v>911.3226357162257</c:v>
                </c:pt>
                <c:pt idx="23">
                  <c:v>946.60573200880674</c:v>
                </c:pt>
                <c:pt idx="24">
                  <c:v>981.88882830138778</c:v>
                </c:pt>
                <c:pt idx="25">
                  <c:v>1017.1719245939688</c:v>
                </c:pt>
                <c:pt idx="26">
                  <c:v>1052.4550208865498</c:v>
                </c:pt>
                <c:pt idx="27">
                  <c:v>1087.738117179131</c:v>
                </c:pt>
                <c:pt idx="28">
                  <c:v>1123.0212134717121</c:v>
                </c:pt>
                <c:pt idx="29">
                  <c:v>1158.3043097642933</c:v>
                </c:pt>
                <c:pt idx="30">
                  <c:v>1193.5874060568744</c:v>
                </c:pt>
                <c:pt idx="31">
                  <c:v>1228.8705023494556</c:v>
                </c:pt>
                <c:pt idx="32">
                  <c:v>1264.1535986420367</c:v>
                </c:pt>
                <c:pt idx="33">
                  <c:v>1299.4366949346179</c:v>
                </c:pt>
                <c:pt idx="34">
                  <c:v>1320.1454011929036</c:v>
                </c:pt>
                <c:pt idx="35">
                  <c:v>1355.4284974854847</c:v>
                </c:pt>
                <c:pt idx="36">
                  <c:v>1390.7115937780659</c:v>
                </c:pt>
                <c:pt idx="37">
                  <c:v>1425.994690070647</c:v>
                </c:pt>
                <c:pt idx="38">
                  <c:v>1461.2777863632282</c:v>
                </c:pt>
                <c:pt idx="39">
                  <c:v>1496.5608826558093</c:v>
                </c:pt>
              </c:numCache>
            </c:numRef>
          </c:xVal>
          <c:yVal>
            <c:numRef>
              <c:f>'Fig2'!$E$8:$E$47</c:f>
              <c:numCache>
                <c:formatCode>General</c:formatCode>
                <c:ptCount val="40"/>
                <c:pt idx="0">
                  <c:v>125.3</c:v>
                </c:pt>
                <c:pt idx="1">
                  <c:v>114.72952223478963</c:v>
                </c:pt>
                <c:pt idx="2">
                  <c:v>106.82488092927329</c:v>
                </c:pt>
                <c:pt idx="3">
                  <c:v>100.60398418740887</c:v>
                </c:pt>
                <c:pt idx="4">
                  <c:v>95.530179366687818</c:v>
                </c:pt>
                <c:pt idx="5">
                  <c:v>91.281237197378942</c:v>
                </c:pt>
                <c:pt idx="6">
                  <c:v>87.65</c:v>
                </c:pt>
                <c:pt idx="7">
                  <c:v>84.49619121154582</c:v>
                </c:pt>
                <c:pt idx="8">
                  <c:v>81.720860978867378</c:v>
                </c:pt>
                <c:pt idx="9">
                  <c:v>79.251867096943386</c:v>
                </c:pt>
                <c:pt idx="10">
                  <c:v>77.035158252474972</c:v>
                </c:pt>
                <c:pt idx="11">
                  <c:v>75.029299164497289</c:v>
                </c:pt>
                <c:pt idx="12">
                  <c:v>73.201899899272831</c:v>
                </c:pt>
                <c:pt idx="13">
                  <c:v>71.477467199087243</c:v>
                </c:pt>
                <c:pt idx="14">
                  <c:v>69.938521907589276</c:v>
                </c:pt>
                <c:pt idx="15">
                  <c:v>68.514064992505041</c:v>
                </c:pt>
                <c:pt idx="16">
                  <c:v>67.190145802741696</c:v>
                </c:pt>
                <c:pt idx="17">
                  <c:v>65.955111255268477</c:v>
                </c:pt>
                <c:pt idx="18">
                  <c:v>64.799138148522132</c:v>
                </c:pt>
                <c:pt idx="19">
                  <c:v>63.713877240986768</c:v>
                </c:pt>
                <c:pt idx="20">
                  <c:v>62.692178763769228</c:v>
                </c:pt>
                <c:pt idx="21">
                  <c:v>61.727878170236913</c:v>
                </c:pt>
                <c:pt idx="22">
                  <c:v>60.815627058642036</c:v>
                </c:pt>
                <c:pt idx="23">
                  <c:v>59.950758397480264</c:v>
                </c:pt>
                <c:pt idx="24">
                  <c:v>59.12917809945921</c:v>
                </c:pt>
                <c:pt idx="25">
                  <c:v>58.347277048851694</c:v>
                </c:pt>
                <c:pt idx="26">
                  <c:v>57.60185916120502</c:v>
                </c:pt>
                <c:pt idx="27">
                  <c:v>56.890082123658942</c:v>
                </c:pt>
                <c:pt idx="28">
                  <c:v>56.209408249037956</c:v>
                </c:pt>
                <c:pt idx="29">
                  <c:v>55.55756345947983</c:v>
                </c:pt>
                <c:pt idx="30">
                  <c:v>54.932502852278596</c:v>
                </c:pt>
                <c:pt idx="31">
                  <c:v>54.332381631449344</c:v>
                </c:pt>
                <c:pt idx="32">
                  <c:v>53.755530441289473</c:v>
                </c:pt>
                <c:pt idx="33">
                  <c:v>53.200434332968278</c:v>
                </c:pt>
                <c:pt idx="34">
                  <c:v>52.884204532265635</c:v>
                </c:pt>
                <c:pt idx="35">
                  <c:v>52.36085165376123</c:v>
                </c:pt>
                <c:pt idx="36">
                  <c:v>51.855930300008126</c:v>
                </c:pt>
                <c:pt idx="37">
                  <c:v>51.368347872450165</c:v>
                </c:pt>
                <c:pt idx="38">
                  <c:v>50.89710155136013</c:v>
                </c:pt>
                <c:pt idx="39">
                  <c:v>50.441268961088277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9-419C-9E64-DBCE0798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8992"/>
        <c:axId val="133332288"/>
      </c:scatterChart>
      <c:valAx>
        <c:axId val="1320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2288"/>
        <c:crosses val="autoZero"/>
        <c:crossBetween val="midCat"/>
        <c:majorUnit val="1"/>
        <c:minorUnit val="100"/>
      </c:valAx>
      <c:valAx>
        <c:axId val="13333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8992"/>
        <c:crossesAt val="13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9435468327932"/>
          <c:y val="2.082795901008122E-3"/>
          <c:w val="0.2370564531672068"/>
          <c:h val="0.2018950131233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2322922002E-2"/>
          <c:y val="3.492054402290623E-2"/>
          <c:w val="0.92947133738964449"/>
          <c:h val="0.8664336957880265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'Fig2'!$K$6</c:f>
              <c:strCache>
                <c:ptCount val="1"/>
                <c:pt idx="0">
                  <c:v>Public-type R&amp;D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alpha val="99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ED3-4CE1-9C9C-7EC49181542B}"/>
              </c:ext>
            </c:extLst>
          </c:dPt>
          <c:xVal>
            <c:numRef>
              <c:f>'Fig2'!$A$8:$A$21</c:f>
              <c:numCache>
                <c:formatCode>General</c:formatCode>
                <c:ptCount val="14"/>
                <c:pt idx="0">
                  <c:v>134</c:v>
                </c:pt>
                <c:pt idx="1">
                  <c:v>169.28309629258106</c:v>
                </c:pt>
                <c:pt idx="2">
                  <c:v>204.56619258516213</c:v>
                </c:pt>
                <c:pt idx="3">
                  <c:v>239.84928887774319</c:v>
                </c:pt>
                <c:pt idx="4">
                  <c:v>275.13238517032426</c:v>
                </c:pt>
                <c:pt idx="5">
                  <c:v>310.41548146290529</c:v>
                </c:pt>
                <c:pt idx="6">
                  <c:v>345.69857775548633</c:v>
                </c:pt>
                <c:pt idx="7">
                  <c:v>380.98167404806736</c:v>
                </c:pt>
                <c:pt idx="8">
                  <c:v>416.2647703406484</c:v>
                </c:pt>
                <c:pt idx="9">
                  <c:v>451.54786663322943</c:v>
                </c:pt>
                <c:pt idx="10">
                  <c:v>486.83096292581047</c:v>
                </c:pt>
                <c:pt idx="11">
                  <c:v>522.1140592183915</c:v>
                </c:pt>
                <c:pt idx="12">
                  <c:v>557.39715551097254</c:v>
                </c:pt>
                <c:pt idx="13">
                  <c:v>593.77476908299639</c:v>
                </c:pt>
              </c:numCache>
            </c:numRef>
          </c:xVal>
          <c:yVal>
            <c:numRef>
              <c:f>'Fig2'!$J$8:$J$21</c:f>
              <c:numCache>
                <c:formatCode>General</c:formatCode>
                <c:ptCount val="14"/>
                <c:pt idx="0">
                  <c:v>87.65000000000002</c:v>
                </c:pt>
                <c:pt idx="1">
                  <c:v>80.255727245644962</c:v>
                </c:pt>
                <c:pt idx="2">
                  <c:v>74.72626347526581</c:v>
                </c:pt>
                <c:pt idx="3">
                  <c:v>70.374614637082104</c:v>
                </c:pt>
                <c:pt idx="4">
                  <c:v>66.82538085786264</c:v>
                </c:pt>
                <c:pt idx="5">
                  <c:v>63.853155948525661</c:v>
                </c:pt>
                <c:pt idx="6">
                  <c:v>61.313028731045499</c:v>
                </c:pt>
                <c:pt idx="7">
                  <c:v>59.106872782857081</c:v>
                </c:pt>
                <c:pt idx="8">
                  <c:v>57.165470588968297</c:v>
                </c:pt>
                <c:pt idx="9">
                  <c:v>55.4383571512138</c:v>
                </c:pt>
                <c:pt idx="10">
                  <c:v>53.887722432796743</c:v>
                </c:pt>
                <c:pt idx="11">
                  <c:v>52.484581578357449</c:v>
                </c:pt>
                <c:pt idx="12">
                  <c:v>51.206277144223982</c:v>
                </c:pt>
                <c:pt idx="13">
                  <c:v>49.999999999999986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D3-4CE1-9C9C-7EC49181542B}"/>
            </c:ext>
          </c:extLst>
        </c:ser>
        <c:ser>
          <c:idx val="3"/>
          <c:order val="1"/>
          <c:tx>
            <c:strRef>
              <c:f>'Fig2'!$D$6</c:f>
              <c:strCache>
                <c:ptCount val="1"/>
                <c:pt idx="0">
                  <c:v>Fossil Fuel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'Fig2'!$A$8:$A$47</c:f>
              <c:numCache>
                <c:formatCode>General</c:formatCode>
                <c:ptCount val="40"/>
                <c:pt idx="0">
                  <c:v>134</c:v>
                </c:pt>
                <c:pt idx="1">
                  <c:v>169.28309629258106</c:v>
                </c:pt>
                <c:pt idx="2">
                  <c:v>204.56619258516213</c:v>
                </c:pt>
                <c:pt idx="3">
                  <c:v>239.84928887774319</c:v>
                </c:pt>
                <c:pt idx="4">
                  <c:v>275.13238517032426</c:v>
                </c:pt>
                <c:pt idx="5">
                  <c:v>310.41548146290529</c:v>
                </c:pt>
                <c:pt idx="6">
                  <c:v>345.69857775548633</c:v>
                </c:pt>
                <c:pt idx="7">
                  <c:v>380.98167404806736</c:v>
                </c:pt>
                <c:pt idx="8">
                  <c:v>416.2647703406484</c:v>
                </c:pt>
                <c:pt idx="9">
                  <c:v>451.54786663322943</c:v>
                </c:pt>
                <c:pt idx="10">
                  <c:v>486.83096292581047</c:v>
                </c:pt>
                <c:pt idx="11">
                  <c:v>522.1140592183915</c:v>
                </c:pt>
                <c:pt idx="12">
                  <c:v>557.39715551097254</c:v>
                </c:pt>
                <c:pt idx="13">
                  <c:v>593.77476908299639</c:v>
                </c:pt>
                <c:pt idx="14">
                  <c:v>629.05786537557742</c:v>
                </c:pt>
                <c:pt idx="15">
                  <c:v>664.34096166815846</c:v>
                </c:pt>
                <c:pt idx="16">
                  <c:v>699.62405796073949</c:v>
                </c:pt>
                <c:pt idx="17">
                  <c:v>734.90715425332053</c:v>
                </c:pt>
                <c:pt idx="18">
                  <c:v>770.19025054590156</c:v>
                </c:pt>
                <c:pt idx="19">
                  <c:v>805.4733468384826</c:v>
                </c:pt>
                <c:pt idx="20">
                  <c:v>840.75644313106363</c:v>
                </c:pt>
                <c:pt idx="21">
                  <c:v>876.03953942364467</c:v>
                </c:pt>
                <c:pt idx="22">
                  <c:v>911.3226357162257</c:v>
                </c:pt>
                <c:pt idx="23">
                  <c:v>946.60573200880674</c:v>
                </c:pt>
                <c:pt idx="24">
                  <c:v>981.88882830138778</c:v>
                </c:pt>
                <c:pt idx="25">
                  <c:v>1017.1719245939688</c:v>
                </c:pt>
                <c:pt idx="26">
                  <c:v>1052.4550208865498</c:v>
                </c:pt>
                <c:pt idx="27">
                  <c:v>1087.738117179131</c:v>
                </c:pt>
                <c:pt idx="28">
                  <c:v>1123.0212134717121</c:v>
                </c:pt>
                <c:pt idx="29">
                  <c:v>1158.3043097642933</c:v>
                </c:pt>
                <c:pt idx="30">
                  <c:v>1193.5874060568744</c:v>
                </c:pt>
                <c:pt idx="31">
                  <c:v>1228.8705023494556</c:v>
                </c:pt>
                <c:pt idx="32">
                  <c:v>1264.1535986420367</c:v>
                </c:pt>
                <c:pt idx="33">
                  <c:v>1299.4366949346179</c:v>
                </c:pt>
                <c:pt idx="34">
                  <c:v>1320.1454011929036</c:v>
                </c:pt>
                <c:pt idx="35">
                  <c:v>1355.4284974854847</c:v>
                </c:pt>
                <c:pt idx="36">
                  <c:v>1390.7115937780659</c:v>
                </c:pt>
                <c:pt idx="37">
                  <c:v>1425.994690070647</c:v>
                </c:pt>
                <c:pt idx="38">
                  <c:v>1461.2777863632282</c:v>
                </c:pt>
                <c:pt idx="39">
                  <c:v>1496.5608826558093</c:v>
                </c:pt>
              </c:numCache>
            </c:numRef>
          </c:xVal>
          <c:yVal>
            <c:numRef>
              <c:f>'Fig2'!$C$8:$C$47</c:f>
              <c:numCache>
                <c:formatCode>General</c:formatCode>
                <c:ptCount val="4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D3-4CE1-9C9C-7EC49181542B}"/>
            </c:ext>
          </c:extLst>
        </c:ser>
        <c:ser>
          <c:idx val="2"/>
          <c:order val="2"/>
          <c:tx>
            <c:strRef>
              <c:f>'Fig2'!$E$6</c:f>
              <c:strCache>
                <c:ptCount val="1"/>
                <c:pt idx="0">
                  <c:v>Solar PV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'Fig2'!$A$8:$A$47</c:f>
              <c:numCache>
                <c:formatCode>General</c:formatCode>
                <c:ptCount val="40"/>
                <c:pt idx="0">
                  <c:v>134</c:v>
                </c:pt>
                <c:pt idx="1">
                  <c:v>169.28309629258106</c:v>
                </c:pt>
                <c:pt idx="2">
                  <c:v>204.56619258516213</c:v>
                </c:pt>
                <c:pt idx="3">
                  <c:v>239.84928887774319</c:v>
                </c:pt>
                <c:pt idx="4">
                  <c:v>275.13238517032426</c:v>
                </c:pt>
                <c:pt idx="5">
                  <c:v>310.41548146290529</c:v>
                </c:pt>
                <c:pt idx="6">
                  <c:v>345.69857775548633</c:v>
                </c:pt>
                <c:pt idx="7">
                  <c:v>380.98167404806736</c:v>
                </c:pt>
                <c:pt idx="8">
                  <c:v>416.2647703406484</c:v>
                </c:pt>
                <c:pt idx="9">
                  <c:v>451.54786663322943</c:v>
                </c:pt>
                <c:pt idx="10">
                  <c:v>486.83096292581047</c:v>
                </c:pt>
                <c:pt idx="11">
                  <c:v>522.1140592183915</c:v>
                </c:pt>
                <c:pt idx="12">
                  <c:v>557.39715551097254</c:v>
                </c:pt>
                <c:pt idx="13">
                  <c:v>593.77476908299639</c:v>
                </c:pt>
                <c:pt idx="14">
                  <c:v>629.05786537557742</c:v>
                </c:pt>
                <c:pt idx="15">
                  <c:v>664.34096166815846</c:v>
                </c:pt>
                <c:pt idx="16">
                  <c:v>699.62405796073949</c:v>
                </c:pt>
                <c:pt idx="17">
                  <c:v>734.90715425332053</c:v>
                </c:pt>
                <c:pt idx="18">
                  <c:v>770.19025054590156</c:v>
                </c:pt>
                <c:pt idx="19">
                  <c:v>805.4733468384826</c:v>
                </c:pt>
                <c:pt idx="20">
                  <c:v>840.75644313106363</c:v>
                </c:pt>
                <c:pt idx="21">
                  <c:v>876.03953942364467</c:v>
                </c:pt>
                <c:pt idx="22">
                  <c:v>911.3226357162257</c:v>
                </c:pt>
                <c:pt idx="23">
                  <c:v>946.60573200880674</c:v>
                </c:pt>
                <c:pt idx="24">
                  <c:v>981.88882830138778</c:v>
                </c:pt>
                <c:pt idx="25">
                  <c:v>1017.1719245939688</c:v>
                </c:pt>
                <c:pt idx="26">
                  <c:v>1052.4550208865498</c:v>
                </c:pt>
                <c:pt idx="27">
                  <c:v>1087.738117179131</c:v>
                </c:pt>
                <c:pt idx="28">
                  <c:v>1123.0212134717121</c:v>
                </c:pt>
                <c:pt idx="29">
                  <c:v>1158.3043097642933</c:v>
                </c:pt>
                <c:pt idx="30">
                  <c:v>1193.5874060568744</c:v>
                </c:pt>
                <c:pt idx="31">
                  <c:v>1228.8705023494556</c:v>
                </c:pt>
                <c:pt idx="32">
                  <c:v>1264.1535986420367</c:v>
                </c:pt>
                <c:pt idx="33">
                  <c:v>1299.4366949346179</c:v>
                </c:pt>
                <c:pt idx="34">
                  <c:v>1320.1454011929036</c:v>
                </c:pt>
                <c:pt idx="35">
                  <c:v>1355.4284974854847</c:v>
                </c:pt>
                <c:pt idx="36">
                  <c:v>1390.7115937780659</c:v>
                </c:pt>
                <c:pt idx="37">
                  <c:v>1425.994690070647</c:v>
                </c:pt>
                <c:pt idx="38">
                  <c:v>1461.2777863632282</c:v>
                </c:pt>
                <c:pt idx="39">
                  <c:v>1496.5608826558093</c:v>
                </c:pt>
              </c:numCache>
            </c:numRef>
          </c:xVal>
          <c:yVal>
            <c:numRef>
              <c:f>'Fig2'!$E$8:$E$47</c:f>
              <c:numCache>
                <c:formatCode>General</c:formatCode>
                <c:ptCount val="40"/>
                <c:pt idx="0">
                  <c:v>125.3</c:v>
                </c:pt>
                <c:pt idx="1">
                  <c:v>114.72952223478963</c:v>
                </c:pt>
                <c:pt idx="2">
                  <c:v>106.82488092927329</c:v>
                </c:pt>
                <c:pt idx="3">
                  <c:v>100.60398418740887</c:v>
                </c:pt>
                <c:pt idx="4">
                  <c:v>95.530179366687818</c:v>
                </c:pt>
                <c:pt idx="5">
                  <c:v>91.281237197378942</c:v>
                </c:pt>
                <c:pt idx="6">
                  <c:v>87.65</c:v>
                </c:pt>
                <c:pt idx="7">
                  <c:v>84.49619121154582</c:v>
                </c:pt>
                <c:pt idx="8">
                  <c:v>81.720860978867378</c:v>
                </c:pt>
                <c:pt idx="9">
                  <c:v>79.251867096943386</c:v>
                </c:pt>
                <c:pt idx="10">
                  <c:v>77.035158252474972</c:v>
                </c:pt>
                <c:pt idx="11">
                  <c:v>75.029299164497289</c:v>
                </c:pt>
                <c:pt idx="12">
                  <c:v>73.201899899272831</c:v>
                </c:pt>
                <c:pt idx="13">
                  <c:v>71.477467199087243</c:v>
                </c:pt>
                <c:pt idx="14">
                  <c:v>69.938521907589276</c:v>
                </c:pt>
                <c:pt idx="15">
                  <c:v>68.514064992505041</c:v>
                </c:pt>
                <c:pt idx="16">
                  <c:v>67.190145802741696</c:v>
                </c:pt>
                <c:pt idx="17">
                  <c:v>65.955111255268477</c:v>
                </c:pt>
                <c:pt idx="18">
                  <c:v>64.799138148522132</c:v>
                </c:pt>
                <c:pt idx="19">
                  <c:v>63.713877240986768</c:v>
                </c:pt>
                <c:pt idx="20">
                  <c:v>62.692178763769228</c:v>
                </c:pt>
                <c:pt idx="21">
                  <c:v>61.727878170236913</c:v>
                </c:pt>
                <c:pt idx="22">
                  <c:v>60.815627058642036</c:v>
                </c:pt>
                <c:pt idx="23">
                  <c:v>59.950758397480264</c:v>
                </c:pt>
                <c:pt idx="24">
                  <c:v>59.12917809945921</c:v>
                </c:pt>
                <c:pt idx="25">
                  <c:v>58.347277048851694</c:v>
                </c:pt>
                <c:pt idx="26">
                  <c:v>57.60185916120502</c:v>
                </c:pt>
                <c:pt idx="27">
                  <c:v>56.890082123658942</c:v>
                </c:pt>
                <c:pt idx="28">
                  <c:v>56.209408249037956</c:v>
                </c:pt>
                <c:pt idx="29">
                  <c:v>55.55756345947983</c:v>
                </c:pt>
                <c:pt idx="30">
                  <c:v>54.932502852278596</c:v>
                </c:pt>
                <c:pt idx="31">
                  <c:v>54.332381631449344</c:v>
                </c:pt>
                <c:pt idx="32">
                  <c:v>53.755530441289473</c:v>
                </c:pt>
                <c:pt idx="33">
                  <c:v>53.200434332968278</c:v>
                </c:pt>
                <c:pt idx="34">
                  <c:v>52.884204532265635</c:v>
                </c:pt>
                <c:pt idx="35">
                  <c:v>52.36085165376123</c:v>
                </c:pt>
                <c:pt idx="36">
                  <c:v>51.855930300008126</c:v>
                </c:pt>
                <c:pt idx="37">
                  <c:v>51.368347872450165</c:v>
                </c:pt>
                <c:pt idx="38">
                  <c:v>50.89710155136013</c:v>
                </c:pt>
                <c:pt idx="39">
                  <c:v>50.441268961088277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D3-4CE1-9C9C-7EC49181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9568"/>
        <c:axId val="132070144"/>
        <c:extLst/>
      </c:scatterChart>
      <c:valAx>
        <c:axId val="1320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0144"/>
        <c:crosses val="autoZero"/>
        <c:crossBetween val="midCat"/>
        <c:majorUnit val="1"/>
        <c:minorUnit val="100"/>
      </c:valAx>
      <c:valAx>
        <c:axId val="13207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9568"/>
        <c:crossesAt val="13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3833475995332"/>
          <c:y val="2.7053209257933706E-3"/>
          <c:w val="0.22161665240046674"/>
          <c:h val="0.19786566451920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2322922002E-2"/>
          <c:y val="3.492054402290623E-2"/>
          <c:w val="0.92947133738964449"/>
          <c:h val="0.8664336957880265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'Fig2'!$D$6</c:f>
              <c:strCache>
                <c:ptCount val="1"/>
                <c:pt idx="0">
                  <c:v>Fossil Fuel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'Fig2'!$A$8:$A$47</c:f>
              <c:numCache>
                <c:formatCode>General</c:formatCode>
                <c:ptCount val="40"/>
                <c:pt idx="0">
                  <c:v>134</c:v>
                </c:pt>
                <c:pt idx="1">
                  <c:v>169.28309629258106</c:v>
                </c:pt>
                <c:pt idx="2">
                  <c:v>204.56619258516213</c:v>
                </c:pt>
                <c:pt idx="3">
                  <c:v>239.84928887774319</c:v>
                </c:pt>
                <c:pt idx="4">
                  <c:v>275.13238517032426</c:v>
                </c:pt>
                <c:pt idx="5">
                  <c:v>310.41548146290529</c:v>
                </c:pt>
                <c:pt idx="6">
                  <c:v>345.69857775548633</c:v>
                </c:pt>
                <c:pt idx="7">
                  <c:v>380.98167404806736</c:v>
                </c:pt>
                <c:pt idx="8">
                  <c:v>416.2647703406484</c:v>
                </c:pt>
                <c:pt idx="9">
                  <c:v>451.54786663322943</c:v>
                </c:pt>
                <c:pt idx="10">
                  <c:v>486.83096292581047</c:v>
                </c:pt>
                <c:pt idx="11">
                  <c:v>522.1140592183915</c:v>
                </c:pt>
                <c:pt idx="12">
                  <c:v>557.39715551097254</c:v>
                </c:pt>
                <c:pt idx="13">
                  <c:v>593.77476908299639</c:v>
                </c:pt>
                <c:pt idx="14">
                  <c:v>629.05786537557742</c:v>
                </c:pt>
                <c:pt idx="15">
                  <c:v>664.34096166815846</c:v>
                </c:pt>
                <c:pt idx="16">
                  <c:v>699.62405796073949</c:v>
                </c:pt>
                <c:pt idx="17">
                  <c:v>734.90715425332053</c:v>
                </c:pt>
                <c:pt idx="18">
                  <c:v>770.19025054590156</c:v>
                </c:pt>
                <c:pt idx="19">
                  <c:v>805.4733468384826</c:v>
                </c:pt>
                <c:pt idx="20">
                  <c:v>840.75644313106363</c:v>
                </c:pt>
                <c:pt idx="21">
                  <c:v>876.03953942364467</c:v>
                </c:pt>
                <c:pt idx="22">
                  <c:v>911.3226357162257</c:v>
                </c:pt>
                <c:pt idx="23">
                  <c:v>946.60573200880674</c:v>
                </c:pt>
                <c:pt idx="24">
                  <c:v>981.88882830138778</c:v>
                </c:pt>
                <c:pt idx="25">
                  <c:v>1017.1719245939688</c:v>
                </c:pt>
                <c:pt idx="26">
                  <c:v>1052.4550208865498</c:v>
                </c:pt>
                <c:pt idx="27">
                  <c:v>1087.738117179131</c:v>
                </c:pt>
                <c:pt idx="28">
                  <c:v>1123.0212134717121</c:v>
                </c:pt>
                <c:pt idx="29">
                  <c:v>1158.3043097642933</c:v>
                </c:pt>
                <c:pt idx="30">
                  <c:v>1193.5874060568744</c:v>
                </c:pt>
                <c:pt idx="31">
                  <c:v>1228.8705023494556</c:v>
                </c:pt>
                <c:pt idx="32">
                  <c:v>1264.1535986420367</c:v>
                </c:pt>
                <c:pt idx="33">
                  <c:v>1299.4366949346179</c:v>
                </c:pt>
                <c:pt idx="34">
                  <c:v>1320.1454011929036</c:v>
                </c:pt>
                <c:pt idx="35">
                  <c:v>1355.4284974854847</c:v>
                </c:pt>
                <c:pt idx="36">
                  <c:v>1390.7115937780659</c:v>
                </c:pt>
                <c:pt idx="37">
                  <c:v>1425.994690070647</c:v>
                </c:pt>
                <c:pt idx="38">
                  <c:v>1461.2777863632282</c:v>
                </c:pt>
                <c:pt idx="39">
                  <c:v>1496.5608826558093</c:v>
                </c:pt>
              </c:numCache>
            </c:numRef>
          </c:xVal>
          <c:yVal>
            <c:numRef>
              <c:f>'Fig2'!$C$8:$C$47</c:f>
              <c:numCache>
                <c:formatCode>General</c:formatCode>
                <c:ptCount val="4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3-42F3-9086-05908C8BFC72}"/>
            </c:ext>
          </c:extLst>
        </c:ser>
        <c:ser>
          <c:idx val="2"/>
          <c:order val="1"/>
          <c:tx>
            <c:strRef>
              <c:f>'Fig2'!$E$6</c:f>
              <c:strCache>
                <c:ptCount val="1"/>
                <c:pt idx="0">
                  <c:v>Solar PV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'Fig2'!$A$8:$A$47</c:f>
              <c:numCache>
                <c:formatCode>General</c:formatCode>
                <c:ptCount val="40"/>
                <c:pt idx="0">
                  <c:v>134</c:v>
                </c:pt>
                <c:pt idx="1">
                  <c:v>169.28309629258106</c:v>
                </c:pt>
                <c:pt idx="2">
                  <c:v>204.56619258516213</c:v>
                </c:pt>
                <c:pt idx="3">
                  <c:v>239.84928887774319</c:v>
                </c:pt>
                <c:pt idx="4">
                  <c:v>275.13238517032426</c:v>
                </c:pt>
                <c:pt idx="5">
                  <c:v>310.41548146290529</c:v>
                </c:pt>
                <c:pt idx="6">
                  <c:v>345.69857775548633</c:v>
                </c:pt>
                <c:pt idx="7">
                  <c:v>380.98167404806736</c:v>
                </c:pt>
                <c:pt idx="8">
                  <c:v>416.2647703406484</c:v>
                </c:pt>
                <c:pt idx="9">
                  <c:v>451.54786663322943</c:v>
                </c:pt>
                <c:pt idx="10">
                  <c:v>486.83096292581047</c:v>
                </c:pt>
                <c:pt idx="11">
                  <c:v>522.1140592183915</c:v>
                </c:pt>
                <c:pt idx="12">
                  <c:v>557.39715551097254</c:v>
                </c:pt>
                <c:pt idx="13">
                  <c:v>593.77476908299639</c:v>
                </c:pt>
                <c:pt idx="14">
                  <c:v>629.05786537557742</c:v>
                </c:pt>
                <c:pt idx="15">
                  <c:v>664.34096166815846</c:v>
                </c:pt>
                <c:pt idx="16">
                  <c:v>699.62405796073949</c:v>
                </c:pt>
                <c:pt idx="17">
                  <c:v>734.90715425332053</c:v>
                </c:pt>
                <c:pt idx="18">
                  <c:v>770.19025054590156</c:v>
                </c:pt>
                <c:pt idx="19">
                  <c:v>805.4733468384826</c:v>
                </c:pt>
                <c:pt idx="20">
                  <c:v>840.75644313106363</c:v>
                </c:pt>
                <c:pt idx="21">
                  <c:v>876.03953942364467</c:v>
                </c:pt>
                <c:pt idx="22">
                  <c:v>911.3226357162257</c:v>
                </c:pt>
                <c:pt idx="23">
                  <c:v>946.60573200880674</c:v>
                </c:pt>
                <c:pt idx="24">
                  <c:v>981.88882830138778</c:v>
                </c:pt>
                <c:pt idx="25">
                  <c:v>1017.1719245939688</c:v>
                </c:pt>
                <c:pt idx="26">
                  <c:v>1052.4550208865498</c:v>
                </c:pt>
                <c:pt idx="27">
                  <c:v>1087.738117179131</c:v>
                </c:pt>
                <c:pt idx="28">
                  <c:v>1123.0212134717121</c:v>
                </c:pt>
                <c:pt idx="29">
                  <c:v>1158.3043097642933</c:v>
                </c:pt>
                <c:pt idx="30">
                  <c:v>1193.5874060568744</c:v>
                </c:pt>
                <c:pt idx="31">
                  <c:v>1228.8705023494556</c:v>
                </c:pt>
                <c:pt idx="32">
                  <c:v>1264.1535986420367</c:v>
                </c:pt>
                <c:pt idx="33">
                  <c:v>1299.4366949346179</c:v>
                </c:pt>
                <c:pt idx="34">
                  <c:v>1320.1454011929036</c:v>
                </c:pt>
                <c:pt idx="35">
                  <c:v>1355.4284974854847</c:v>
                </c:pt>
                <c:pt idx="36">
                  <c:v>1390.7115937780659</c:v>
                </c:pt>
                <c:pt idx="37">
                  <c:v>1425.994690070647</c:v>
                </c:pt>
                <c:pt idx="38">
                  <c:v>1461.2777863632282</c:v>
                </c:pt>
                <c:pt idx="39">
                  <c:v>1496.5608826558093</c:v>
                </c:pt>
              </c:numCache>
            </c:numRef>
          </c:xVal>
          <c:yVal>
            <c:numRef>
              <c:f>'Fig2'!$E$8:$E$47</c:f>
              <c:numCache>
                <c:formatCode>General</c:formatCode>
                <c:ptCount val="40"/>
                <c:pt idx="0">
                  <c:v>125.3</c:v>
                </c:pt>
                <c:pt idx="1">
                  <c:v>114.72952223478963</c:v>
                </c:pt>
                <c:pt idx="2">
                  <c:v>106.82488092927329</c:v>
                </c:pt>
                <c:pt idx="3">
                  <c:v>100.60398418740887</c:v>
                </c:pt>
                <c:pt idx="4">
                  <c:v>95.530179366687818</c:v>
                </c:pt>
                <c:pt idx="5">
                  <c:v>91.281237197378942</c:v>
                </c:pt>
                <c:pt idx="6">
                  <c:v>87.65</c:v>
                </c:pt>
                <c:pt idx="7">
                  <c:v>84.49619121154582</c:v>
                </c:pt>
                <c:pt idx="8">
                  <c:v>81.720860978867378</c:v>
                </c:pt>
                <c:pt idx="9">
                  <c:v>79.251867096943386</c:v>
                </c:pt>
                <c:pt idx="10">
                  <c:v>77.035158252474972</c:v>
                </c:pt>
                <c:pt idx="11">
                  <c:v>75.029299164497289</c:v>
                </c:pt>
                <c:pt idx="12">
                  <c:v>73.201899899272831</c:v>
                </c:pt>
                <c:pt idx="13">
                  <c:v>71.477467199087243</c:v>
                </c:pt>
                <c:pt idx="14">
                  <c:v>69.938521907589276</c:v>
                </c:pt>
                <c:pt idx="15">
                  <c:v>68.514064992505041</c:v>
                </c:pt>
                <c:pt idx="16">
                  <c:v>67.190145802741696</c:v>
                </c:pt>
                <c:pt idx="17">
                  <c:v>65.955111255268477</c:v>
                </c:pt>
                <c:pt idx="18">
                  <c:v>64.799138148522132</c:v>
                </c:pt>
                <c:pt idx="19">
                  <c:v>63.713877240986768</c:v>
                </c:pt>
                <c:pt idx="20">
                  <c:v>62.692178763769228</c:v>
                </c:pt>
                <c:pt idx="21">
                  <c:v>61.727878170236913</c:v>
                </c:pt>
                <c:pt idx="22">
                  <c:v>60.815627058642036</c:v>
                </c:pt>
                <c:pt idx="23">
                  <c:v>59.950758397480264</c:v>
                </c:pt>
                <c:pt idx="24">
                  <c:v>59.12917809945921</c:v>
                </c:pt>
                <c:pt idx="25">
                  <c:v>58.347277048851694</c:v>
                </c:pt>
                <c:pt idx="26">
                  <c:v>57.60185916120502</c:v>
                </c:pt>
                <c:pt idx="27">
                  <c:v>56.890082123658942</c:v>
                </c:pt>
                <c:pt idx="28">
                  <c:v>56.209408249037956</c:v>
                </c:pt>
                <c:pt idx="29">
                  <c:v>55.55756345947983</c:v>
                </c:pt>
                <c:pt idx="30">
                  <c:v>54.932502852278596</c:v>
                </c:pt>
                <c:pt idx="31">
                  <c:v>54.332381631449344</c:v>
                </c:pt>
                <c:pt idx="32">
                  <c:v>53.755530441289473</c:v>
                </c:pt>
                <c:pt idx="33">
                  <c:v>53.200434332968278</c:v>
                </c:pt>
                <c:pt idx="34">
                  <c:v>52.884204532265635</c:v>
                </c:pt>
                <c:pt idx="35">
                  <c:v>52.36085165376123</c:v>
                </c:pt>
                <c:pt idx="36">
                  <c:v>51.855930300008126</c:v>
                </c:pt>
                <c:pt idx="37">
                  <c:v>51.368347872450165</c:v>
                </c:pt>
                <c:pt idx="38">
                  <c:v>50.89710155136013</c:v>
                </c:pt>
                <c:pt idx="39">
                  <c:v>50.441268961088277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3-42F3-9086-05908C8B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6880"/>
        <c:axId val="135267456"/>
        <c:extLst/>
      </c:scatterChart>
      <c:valAx>
        <c:axId val="1352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7456"/>
        <c:crossesAt val="0"/>
        <c:crossBetween val="midCat"/>
        <c:majorUnit val="1"/>
        <c:minorUnit val="100"/>
      </c:valAx>
      <c:valAx>
        <c:axId val="13526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6880"/>
        <c:crossesAt val="13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47589803268828"/>
          <c:y val="2.7053209257933706E-3"/>
          <c:w val="0.17452410196731169"/>
          <c:h val="0.13725963666419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365192104549"/>
          <c:y val="3.8674535661582347E-2"/>
          <c:w val="0.81906197307642281"/>
          <c:h val="0.791810772878160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'Fig3'!$I$20</c:f>
              <c:strCache>
                <c:ptCount val="1"/>
                <c:pt idx="0">
                  <c:v>er = 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'Fig3'!$K$21:$K$30</c:f>
              <c:numCache>
                <c:formatCode>0%</c:formatCode>
                <c:ptCount val="10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  <c:pt idx="9">
                  <c:v>0.25</c:v>
                </c:pt>
              </c:numCache>
            </c:numRef>
          </c:xVal>
          <c:yVal>
            <c:numRef>
              <c:f>'Fig3'!$J$21:$J$30</c:f>
              <c:numCache>
                <c:formatCode>General</c:formatCode>
                <c:ptCount val="10"/>
                <c:pt idx="0">
                  <c:v>1.0018156446781428</c:v>
                </c:pt>
                <c:pt idx="1">
                  <c:v>1.0572059378427208</c:v>
                </c:pt>
                <c:pt idx="2">
                  <c:v>1.0987510270272631</c:v>
                </c:pt>
                <c:pt idx="3">
                  <c:v>1.1669119619378672</c:v>
                </c:pt>
                <c:pt idx="4">
                  <c:v>1.2431364268630152</c:v>
                </c:pt>
                <c:pt idx="5">
                  <c:v>1.3288583680385833</c:v>
                </c:pt>
                <c:pt idx="6">
                  <c:v>1.4258595070960982</c:v>
                </c:pt>
                <c:pt idx="7">
                  <c:v>1.5363760655623884</c:v>
                </c:pt>
                <c:pt idx="8">
                  <c:v>1.6632541149376876</c:v>
                </c:pt>
                <c:pt idx="9">
                  <c:v>1.758699042899289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1-4773-9106-95121D2C4EA2}"/>
            </c:ext>
          </c:extLst>
        </c:ser>
        <c:ser>
          <c:idx val="2"/>
          <c:order val="1"/>
          <c:tx>
            <c:strRef>
              <c:f>'Fig3'!$I$31</c:f>
              <c:strCache>
                <c:ptCount val="1"/>
                <c:pt idx="0">
                  <c:v>er = 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'Fig3'!$K$32:$K$41</c:f>
              <c:numCache>
                <c:formatCode>0%</c:formatCode>
                <c:ptCount val="10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  <c:pt idx="9">
                  <c:v>0.25</c:v>
                </c:pt>
              </c:numCache>
            </c:numRef>
          </c:xVal>
          <c:yVal>
            <c:numRef>
              <c:f>'Fig3'!$J$32:$J$41</c:f>
              <c:numCache>
                <c:formatCode>General</c:formatCode>
                <c:ptCount val="10"/>
                <c:pt idx="0">
                  <c:v>1.0033797619794715</c:v>
                </c:pt>
                <c:pt idx="1">
                  <c:v>1.1094909897037115</c:v>
                </c:pt>
                <c:pt idx="2">
                  <c:v>1.1929617875410006</c:v>
                </c:pt>
                <c:pt idx="3">
                  <c:v>1.3373236503890988</c:v>
                </c:pt>
                <c:pt idx="4">
                  <c:v>1.510049243375567</c:v>
                </c:pt>
                <c:pt idx="5">
                  <c:v>1.7191463252594807</c:v>
                </c:pt>
                <c:pt idx="6">
                  <c:v>1.9756699669521185</c:v>
                </c:pt>
                <c:pt idx="7">
                  <c:v>2.2952263341034631</c:v>
                </c:pt>
                <c:pt idx="8">
                  <c:v>2.7004206420172086</c:v>
                </c:pt>
                <c:pt idx="9">
                  <c:v>3.0341434724979344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1-4773-9106-95121D2C4EA2}"/>
            </c:ext>
          </c:extLst>
        </c:ser>
        <c:ser>
          <c:idx val="3"/>
          <c:order val="2"/>
          <c:tx>
            <c:strRef>
              <c:f>'Fig3'!$I$42</c:f>
              <c:strCache>
                <c:ptCount val="1"/>
                <c:pt idx="0">
                  <c:v>er = 8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'Fig3'!$K$43:$K$51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'Fig3'!$J$43:$J$51</c:f>
              <c:numCache>
                <c:formatCode>General</c:formatCode>
                <c:ptCount val="9"/>
                <c:pt idx="0">
                  <c:v>1.0047984428468237</c:v>
                </c:pt>
                <c:pt idx="1">
                  <c:v>1.1592672563266748</c:v>
                </c:pt>
                <c:pt idx="2">
                  <c:v>1.2859011134885447</c:v>
                </c:pt>
                <c:pt idx="3">
                  <c:v>1.5153400613471424</c:v>
                </c:pt>
                <c:pt idx="4">
                  <c:v>1.8068842717303548</c:v>
                </c:pt>
                <c:pt idx="5">
                  <c:v>2.1841703284062142</c:v>
                </c:pt>
                <c:pt idx="6">
                  <c:v>2.6829314924759964</c:v>
                </c:pt>
                <c:pt idx="7">
                  <c:v>3.3590257743704068</c:v>
                </c:pt>
                <c:pt idx="8">
                  <c:v>4.3034509742421774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1-4773-9106-95121D2C4EA2}"/>
            </c:ext>
          </c:extLst>
        </c:ser>
        <c:ser>
          <c:idx val="0"/>
          <c:order val="3"/>
          <c:tx>
            <c:strRef>
              <c:f>'Fig3'!$I$53</c:f>
              <c:strCache>
                <c:ptCount val="1"/>
                <c:pt idx="0">
                  <c:v>er = 16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'Fig3'!$K$54:$K$62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'Fig3'!$J$54:$J$62</c:f>
              <c:numCache>
                <c:formatCode>General</c:formatCode>
                <c:ptCount val="9"/>
                <c:pt idx="0">
                  <c:v>1.0061264781109127</c:v>
                </c:pt>
                <c:pt idx="1">
                  <c:v>1.2079015066311083</c:v>
                </c:pt>
                <c:pt idx="2">
                  <c:v>1.3796295122327966</c:v>
                </c:pt>
                <c:pt idx="3">
                  <c:v>1.7043194594183015</c:v>
                </c:pt>
                <c:pt idx="4">
                  <c:v>2.1403874487494252</c:v>
                </c:pt>
                <c:pt idx="5">
                  <c:v>2.7408056056930761</c:v>
                </c:pt>
                <c:pt idx="6">
                  <c:v>3.5922923628988701</c:v>
                </c:pt>
                <c:pt idx="7">
                  <c:v>4.843544686252101</c:v>
                </c:pt>
                <c:pt idx="8">
                  <c:v>6.7640174911717095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1-4773-9106-95121D2C4EA2}"/>
            </c:ext>
          </c:extLst>
        </c:ser>
        <c:ser>
          <c:idx val="4"/>
          <c:order val="4"/>
          <c:tx>
            <c:strRef>
              <c:f>'Fig3'!$I$64</c:f>
              <c:strCache>
                <c:ptCount val="1"/>
                <c:pt idx="0">
                  <c:v>er = 32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'Fig3'!$K$65:$K$73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'Fig3'!$J$65:$J$73</c:f>
              <c:numCache>
                <c:formatCode>General</c:formatCode>
                <c:ptCount val="9"/>
                <c:pt idx="0">
                  <c:v>1.0073706682680086</c:v>
                </c:pt>
                <c:pt idx="1">
                  <c:v>1.2562207779623671</c:v>
                </c:pt>
                <c:pt idx="2">
                  <c:v>1.4755273710934198</c:v>
                </c:pt>
                <c:pt idx="3">
                  <c:v>1.9071358629827402</c:v>
                </c:pt>
                <c:pt idx="4">
                  <c:v>2.5178473918863946</c:v>
                </c:pt>
                <c:pt idx="5">
                  <c:v>3.40962909117478</c:v>
                </c:pt>
                <c:pt idx="6">
                  <c:v>4.7621216757981459</c:v>
                </c:pt>
                <c:pt idx="7">
                  <c:v>6.9105363927312915</c:v>
                </c:pt>
                <c:pt idx="8">
                  <c:v>10.525825020368009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1-4773-9106-95121D2C4EA2}"/>
            </c:ext>
          </c:extLst>
        </c:ser>
        <c:ser>
          <c:idx val="5"/>
          <c:order val="5"/>
          <c:tx>
            <c:strRef>
              <c:f>'Fig3'!$I$75</c:f>
              <c:strCache>
                <c:ptCount val="1"/>
                <c:pt idx="0">
                  <c:v>er = 64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'Fig3'!$K$76:$K$84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'Fig3'!$J$76:$J$84</c:f>
              <c:numCache>
                <c:formatCode>General</c:formatCode>
                <c:ptCount val="9"/>
                <c:pt idx="0">
                  <c:v>1.0086214007608865</c:v>
                </c:pt>
                <c:pt idx="1">
                  <c:v>1.3047568387395747</c:v>
                </c:pt>
                <c:pt idx="2">
                  <c:v>1.5745875191549097</c:v>
                </c:pt>
                <c:pt idx="3">
                  <c:v>2.1264129166875319</c:v>
                </c:pt>
                <c:pt idx="4">
                  <c:v>2.9472451448179258</c:v>
                </c:pt>
                <c:pt idx="5">
                  <c:v>4.2155742474824462</c:v>
                </c:pt>
                <c:pt idx="6">
                  <c:v>6.2681657487632734</c:v>
                </c:pt>
                <c:pt idx="7">
                  <c:v>9.7855573122448121</c:v>
                </c:pt>
                <c:pt idx="8">
                  <c:v>16.264233014953636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1-4773-9106-95121D2C4EA2}"/>
            </c:ext>
          </c:extLst>
        </c:ser>
        <c:ser>
          <c:idx val="6"/>
          <c:order val="6"/>
          <c:tx>
            <c:strRef>
              <c:f>'Fig3'!$I$86</c:f>
              <c:strCache>
                <c:ptCount val="1"/>
                <c:pt idx="0">
                  <c:v>er = 128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'Fig3'!$K$87:$K$95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'Fig3'!$J$87:$J$95</c:f>
              <c:numCache>
                <c:formatCode>General</c:formatCode>
                <c:ptCount val="9"/>
                <c:pt idx="0">
                  <c:v>1.0098183573653798</c:v>
                </c:pt>
                <c:pt idx="1">
                  <c:v>1.3538699466143254</c:v>
                </c:pt>
                <c:pt idx="2">
                  <c:v>1.6775732832634251</c:v>
                </c:pt>
                <c:pt idx="3">
                  <c:v>2.3646679591650819</c:v>
                </c:pt>
                <c:pt idx="4">
                  <c:v>3.4374357135491707</c:v>
                </c:pt>
                <c:pt idx="5">
                  <c:v>5.1887147872748347</c:v>
                </c:pt>
                <c:pt idx="6">
                  <c:v>8.2083238722638363</c:v>
                </c:pt>
                <c:pt idx="7">
                  <c:v>13.782499806223905</c:v>
                </c:pt>
                <c:pt idx="8">
                  <c:v>25.006949698401876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1-4773-9106-95121D2C4EA2}"/>
            </c:ext>
          </c:extLst>
        </c:ser>
        <c:ser>
          <c:idx val="7"/>
          <c:order val="7"/>
          <c:tx>
            <c:strRef>
              <c:f>'Fig3'!$I$97</c:f>
              <c:strCache>
                <c:ptCount val="1"/>
                <c:pt idx="0">
                  <c:v>er = 256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'Fig3'!$K$98:$K$106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'Fig3'!$J$98:$J$106</c:f>
              <c:numCache>
                <c:formatCode>General</c:formatCode>
                <c:ptCount val="9"/>
                <c:pt idx="0">
                  <c:v>1.0109931655799476</c:v>
                </c:pt>
                <c:pt idx="1">
                  <c:v>1.403817669860983</c:v>
                </c:pt>
                <c:pt idx="2">
                  <c:v>1.7851109689990281</c:v>
                </c:pt>
                <c:pt idx="3">
                  <c:v>2.62442194852974</c:v>
                </c:pt>
                <c:pt idx="4">
                  <c:v>3.9983578256154768</c:v>
                </c:pt>
                <c:pt idx="5">
                  <c:v>6.365383179907294</c:v>
                </c:pt>
                <c:pt idx="6">
                  <c:v>10.708992747719181</c:v>
                </c:pt>
                <c:pt idx="7">
                  <c:v>19.337961186480999</c:v>
                </c:pt>
                <c:pt idx="8">
                  <c:v>38.317877717297144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C1-4773-9106-95121D2C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0336"/>
        <c:axId val="135270912"/>
      </c:scatterChart>
      <c:valAx>
        <c:axId val="135270336"/>
        <c:scaling>
          <c:orientation val="minMax"/>
          <c:max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Learning rate (R)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0912"/>
        <c:crosses val="autoZero"/>
        <c:crossBetween val="midCat"/>
      </c:valAx>
      <c:valAx>
        <c:axId val="135270912"/>
        <c:scaling>
          <c:orientation val="minMax"/>
          <c:max val="4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 ratio (C</a:t>
                </a:r>
                <a:r>
                  <a:rPr lang="en-US" b="1" baseline="-25000"/>
                  <a:t>r</a:t>
                </a:r>
                <a:r>
                  <a:rPr lang="en-US" b="1"/>
                  <a:t>)</a:t>
                </a:r>
              </a:p>
            </c:rich>
          </c:tx>
          <c:layout>
            <c:manualLayout>
              <c:xMode val="edge"/>
              <c:yMode val="edge"/>
              <c:x val="3.7986341925716561E-3"/>
              <c:y val="0.31723148353712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0336"/>
        <c:crosses val="autoZero"/>
        <c:crossBetween val="midCat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195" orientation="landscape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365192104549"/>
          <c:y val="3.8674535661582347E-2"/>
          <c:w val="0.81906197307642281"/>
          <c:h val="0.791810772878160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'Fig3'!$I$20</c:f>
              <c:strCache>
                <c:ptCount val="1"/>
                <c:pt idx="0">
                  <c:v>er = 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'Fig3'!$K$21:$K$30</c:f>
              <c:numCache>
                <c:formatCode>0%</c:formatCode>
                <c:ptCount val="10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  <c:pt idx="9">
                  <c:v>0.25</c:v>
                </c:pt>
              </c:numCache>
            </c:numRef>
          </c:xVal>
          <c:yVal>
            <c:numRef>
              <c:f>'Fig3'!$J$21:$J$30</c:f>
              <c:numCache>
                <c:formatCode>General</c:formatCode>
                <c:ptCount val="10"/>
                <c:pt idx="0">
                  <c:v>1.0018156446781428</c:v>
                </c:pt>
                <c:pt idx="1">
                  <c:v>1.0572059378427208</c:v>
                </c:pt>
                <c:pt idx="2">
                  <c:v>1.0987510270272631</c:v>
                </c:pt>
                <c:pt idx="3">
                  <c:v>1.1669119619378672</c:v>
                </c:pt>
                <c:pt idx="4">
                  <c:v>1.2431364268630152</c:v>
                </c:pt>
                <c:pt idx="5">
                  <c:v>1.3288583680385833</c:v>
                </c:pt>
                <c:pt idx="6">
                  <c:v>1.4258595070960982</c:v>
                </c:pt>
                <c:pt idx="7">
                  <c:v>1.5363760655623884</c:v>
                </c:pt>
                <c:pt idx="8">
                  <c:v>1.6632541149376876</c:v>
                </c:pt>
                <c:pt idx="9">
                  <c:v>1.758699042899289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2-4392-81B8-98C54AC4DA50}"/>
            </c:ext>
          </c:extLst>
        </c:ser>
        <c:ser>
          <c:idx val="2"/>
          <c:order val="1"/>
          <c:tx>
            <c:strRef>
              <c:f>'Fig3'!$I$31</c:f>
              <c:strCache>
                <c:ptCount val="1"/>
                <c:pt idx="0">
                  <c:v>er = 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'Fig3'!$K$32:$K$41</c:f>
              <c:numCache>
                <c:formatCode>0%</c:formatCode>
                <c:ptCount val="10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  <c:pt idx="9">
                  <c:v>0.25</c:v>
                </c:pt>
              </c:numCache>
            </c:numRef>
          </c:xVal>
          <c:yVal>
            <c:numRef>
              <c:f>'Fig3'!$J$32:$J$41</c:f>
              <c:numCache>
                <c:formatCode>General</c:formatCode>
                <c:ptCount val="10"/>
                <c:pt idx="0">
                  <c:v>1.0033797619794715</c:v>
                </c:pt>
                <c:pt idx="1">
                  <c:v>1.1094909897037115</c:v>
                </c:pt>
                <c:pt idx="2">
                  <c:v>1.1929617875410006</c:v>
                </c:pt>
                <c:pt idx="3">
                  <c:v>1.3373236503890988</c:v>
                </c:pt>
                <c:pt idx="4">
                  <c:v>1.510049243375567</c:v>
                </c:pt>
                <c:pt idx="5">
                  <c:v>1.7191463252594807</c:v>
                </c:pt>
                <c:pt idx="6">
                  <c:v>1.9756699669521185</c:v>
                </c:pt>
                <c:pt idx="7">
                  <c:v>2.2952263341034631</c:v>
                </c:pt>
                <c:pt idx="8">
                  <c:v>2.7004206420172086</c:v>
                </c:pt>
                <c:pt idx="9">
                  <c:v>3.0341434724979344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2-4392-81B8-98C54AC4DA50}"/>
            </c:ext>
          </c:extLst>
        </c:ser>
        <c:ser>
          <c:idx val="3"/>
          <c:order val="2"/>
          <c:tx>
            <c:strRef>
              <c:f>'Fig3'!$I$42</c:f>
              <c:strCache>
                <c:ptCount val="1"/>
                <c:pt idx="0">
                  <c:v>er = 8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'Fig3'!$K$43:$K$51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'Fig3'!$J$43:$J$51</c:f>
              <c:numCache>
                <c:formatCode>General</c:formatCode>
                <c:ptCount val="9"/>
                <c:pt idx="0">
                  <c:v>1.0047984428468237</c:v>
                </c:pt>
                <c:pt idx="1">
                  <c:v>1.1592672563266748</c:v>
                </c:pt>
                <c:pt idx="2">
                  <c:v>1.2859011134885447</c:v>
                </c:pt>
                <c:pt idx="3">
                  <c:v>1.5153400613471424</c:v>
                </c:pt>
                <c:pt idx="4">
                  <c:v>1.8068842717303548</c:v>
                </c:pt>
                <c:pt idx="5">
                  <c:v>2.1841703284062142</c:v>
                </c:pt>
                <c:pt idx="6">
                  <c:v>2.6829314924759964</c:v>
                </c:pt>
                <c:pt idx="7">
                  <c:v>3.3590257743704068</c:v>
                </c:pt>
                <c:pt idx="8">
                  <c:v>4.3034509742421774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2-4392-81B8-98C54AC4DA50}"/>
            </c:ext>
          </c:extLst>
        </c:ser>
        <c:ser>
          <c:idx val="0"/>
          <c:order val="3"/>
          <c:tx>
            <c:strRef>
              <c:f>'Fig3'!$I$53</c:f>
              <c:strCache>
                <c:ptCount val="1"/>
                <c:pt idx="0">
                  <c:v>er = 16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'Fig3'!$K$54:$K$62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'Fig3'!$J$54:$J$62</c:f>
              <c:numCache>
                <c:formatCode>General</c:formatCode>
                <c:ptCount val="9"/>
                <c:pt idx="0">
                  <c:v>1.0061264781109127</c:v>
                </c:pt>
                <c:pt idx="1">
                  <c:v>1.2079015066311083</c:v>
                </c:pt>
                <c:pt idx="2">
                  <c:v>1.3796295122327966</c:v>
                </c:pt>
                <c:pt idx="3">
                  <c:v>1.7043194594183015</c:v>
                </c:pt>
                <c:pt idx="4">
                  <c:v>2.1403874487494252</c:v>
                </c:pt>
                <c:pt idx="5">
                  <c:v>2.7408056056930761</c:v>
                </c:pt>
                <c:pt idx="6">
                  <c:v>3.5922923628988701</c:v>
                </c:pt>
                <c:pt idx="7">
                  <c:v>4.843544686252101</c:v>
                </c:pt>
                <c:pt idx="8">
                  <c:v>6.7640174911717095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2-4392-81B8-98C54AC4DA50}"/>
            </c:ext>
          </c:extLst>
        </c:ser>
        <c:ser>
          <c:idx val="4"/>
          <c:order val="4"/>
          <c:tx>
            <c:strRef>
              <c:f>'Fig3'!$I$64</c:f>
              <c:strCache>
                <c:ptCount val="1"/>
                <c:pt idx="0">
                  <c:v>er = 32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'Fig3'!$K$65:$K$73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'Fig3'!$J$65:$J$73</c:f>
              <c:numCache>
                <c:formatCode>General</c:formatCode>
                <c:ptCount val="9"/>
                <c:pt idx="0">
                  <c:v>1.0073706682680086</c:v>
                </c:pt>
                <c:pt idx="1">
                  <c:v>1.2562207779623671</c:v>
                </c:pt>
                <c:pt idx="2">
                  <c:v>1.4755273710934198</c:v>
                </c:pt>
                <c:pt idx="3">
                  <c:v>1.9071358629827402</c:v>
                </c:pt>
                <c:pt idx="4">
                  <c:v>2.5178473918863946</c:v>
                </c:pt>
                <c:pt idx="5">
                  <c:v>3.40962909117478</c:v>
                </c:pt>
                <c:pt idx="6">
                  <c:v>4.7621216757981459</c:v>
                </c:pt>
                <c:pt idx="7">
                  <c:v>6.9105363927312915</c:v>
                </c:pt>
                <c:pt idx="8">
                  <c:v>10.525825020368009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2-4392-81B8-98C54AC4DA50}"/>
            </c:ext>
          </c:extLst>
        </c:ser>
        <c:ser>
          <c:idx val="5"/>
          <c:order val="5"/>
          <c:tx>
            <c:strRef>
              <c:f>'Fig3'!$I$75</c:f>
              <c:strCache>
                <c:ptCount val="1"/>
                <c:pt idx="0">
                  <c:v>er = 64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'Fig3'!$K$76:$K$84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'Fig3'!$J$76:$J$84</c:f>
              <c:numCache>
                <c:formatCode>General</c:formatCode>
                <c:ptCount val="9"/>
                <c:pt idx="0">
                  <c:v>1.0086214007608865</c:v>
                </c:pt>
                <c:pt idx="1">
                  <c:v>1.3047568387395747</c:v>
                </c:pt>
                <c:pt idx="2">
                  <c:v>1.5745875191549097</c:v>
                </c:pt>
                <c:pt idx="3">
                  <c:v>2.1264129166875319</c:v>
                </c:pt>
                <c:pt idx="4">
                  <c:v>2.9472451448179258</c:v>
                </c:pt>
                <c:pt idx="5">
                  <c:v>4.2155742474824462</c:v>
                </c:pt>
                <c:pt idx="6">
                  <c:v>6.2681657487632734</c:v>
                </c:pt>
                <c:pt idx="7">
                  <c:v>9.7855573122448121</c:v>
                </c:pt>
                <c:pt idx="8">
                  <c:v>16.264233014953636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F2-4392-81B8-98C54AC4DA50}"/>
            </c:ext>
          </c:extLst>
        </c:ser>
        <c:ser>
          <c:idx val="6"/>
          <c:order val="6"/>
          <c:tx>
            <c:strRef>
              <c:f>'Fig3'!$I$86</c:f>
              <c:strCache>
                <c:ptCount val="1"/>
                <c:pt idx="0">
                  <c:v>er = 128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'Fig3'!$K$87:$K$95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'Fig3'!$J$87:$J$95</c:f>
              <c:numCache>
                <c:formatCode>General</c:formatCode>
                <c:ptCount val="9"/>
                <c:pt idx="0">
                  <c:v>1.0098183573653798</c:v>
                </c:pt>
                <c:pt idx="1">
                  <c:v>1.3538699466143254</c:v>
                </c:pt>
                <c:pt idx="2">
                  <c:v>1.6775732832634251</c:v>
                </c:pt>
                <c:pt idx="3">
                  <c:v>2.3646679591650819</c:v>
                </c:pt>
                <c:pt idx="4">
                  <c:v>3.4374357135491707</c:v>
                </c:pt>
                <c:pt idx="5">
                  <c:v>5.1887147872748347</c:v>
                </c:pt>
                <c:pt idx="6">
                  <c:v>8.2083238722638363</c:v>
                </c:pt>
                <c:pt idx="7">
                  <c:v>13.782499806223905</c:v>
                </c:pt>
                <c:pt idx="8">
                  <c:v>25.006949698401876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F2-4392-81B8-98C54AC4DA50}"/>
            </c:ext>
          </c:extLst>
        </c:ser>
        <c:ser>
          <c:idx val="7"/>
          <c:order val="7"/>
          <c:tx>
            <c:strRef>
              <c:f>'Fig3'!$I$97</c:f>
              <c:strCache>
                <c:ptCount val="1"/>
                <c:pt idx="0">
                  <c:v>er = 256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'Fig3'!$K$98:$K$106</c:f>
              <c:numCache>
                <c:formatCode>0%</c:formatCode>
                <c:ptCount val="9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</c:numCache>
            </c:numRef>
          </c:xVal>
          <c:yVal>
            <c:numRef>
              <c:f>'Fig3'!$J$98:$J$106</c:f>
              <c:numCache>
                <c:formatCode>General</c:formatCode>
                <c:ptCount val="9"/>
                <c:pt idx="0">
                  <c:v>1.0109931655799476</c:v>
                </c:pt>
                <c:pt idx="1">
                  <c:v>1.403817669860983</c:v>
                </c:pt>
                <c:pt idx="2">
                  <c:v>1.7851109689990281</c:v>
                </c:pt>
                <c:pt idx="3">
                  <c:v>2.62442194852974</c:v>
                </c:pt>
                <c:pt idx="4">
                  <c:v>3.9983578256154768</c:v>
                </c:pt>
                <c:pt idx="5">
                  <c:v>6.365383179907294</c:v>
                </c:pt>
                <c:pt idx="6">
                  <c:v>10.708992747719181</c:v>
                </c:pt>
                <c:pt idx="7">
                  <c:v>19.337961186480999</c:v>
                </c:pt>
                <c:pt idx="8">
                  <c:v>38.317877717297144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F2-4392-81B8-98C54AC4D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2640"/>
        <c:axId val="135273216"/>
      </c:scatterChart>
      <c:valAx>
        <c:axId val="135272640"/>
        <c:scaling>
          <c:orientation val="minMax"/>
          <c:max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Learning rate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3216"/>
        <c:crosses val="autoZero"/>
        <c:crossBetween val="midCat"/>
      </c:valAx>
      <c:valAx>
        <c:axId val="135273216"/>
        <c:scaling>
          <c:orientation val="minMax"/>
          <c:max val="3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 ratio (C</a:t>
                </a:r>
                <a:r>
                  <a:rPr lang="en-US" b="1" baseline="-25000"/>
                  <a:t>r</a:t>
                </a:r>
                <a:r>
                  <a:rPr lang="en-US" b="1"/>
                  <a:t>)</a:t>
                </a:r>
              </a:p>
            </c:rich>
          </c:tx>
          <c:layout>
            <c:manualLayout>
              <c:xMode val="edge"/>
              <c:yMode val="edge"/>
              <c:x val="3.7986341925716561E-3"/>
              <c:y val="0.31723148353712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2640"/>
        <c:crosses val="autoZero"/>
        <c:crossBetween val="midCat"/>
        <c:majorUnit val="0.5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195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9277022193E-2"/>
          <c:y val="3.4920634920634921E-2"/>
          <c:w val="0.92947133738964449"/>
          <c:h val="0.86643369578802654"/>
        </c:manualLayout>
      </c:layout>
      <c:areaChart>
        <c:grouping val="stacked"/>
        <c:varyColors val="0"/>
        <c:ser>
          <c:idx val="0"/>
          <c:order val="2"/>
          <c:tx>
            <c:strRef>
              <c:f>'Sheet1 (4)'!$U$7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'Sheet1 (4)'!$B$9:$B$19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'Sheet1 (4)'!$T$9:$T$24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D-441C-9B66-23497B3FFECC}"/>
            </c:ext>
          </c:extLst>
        </c:ser>
        <c:ser>
          <c:idx val="1"/>
          <c:order val="3"/>
          <c:tx>
            <c:strRef>
              <c:f>'Sheet1 (4)'!$S$7</c:f>
              <c:strCache>
                <c:ptCount val="1"/>
                <c:pt idx="0">
                  <c:v>gap</c:v>
                </c:pt>
              </c:strCache>
            </c:strRef>
          </c:tx>
          <c:spPr>
            <a:pattFill prst="ltDnDiag">
              <a:fgClr>
                <a:srgbClr val="00B050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cat>
            <c:numRef>
              <c:f>'Sheet1 (4)'!$B$9:$B$19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'Sheet1 (4)'!$J$9:$J$19</c:f>
              <c:numCache>
                <c:formatCode>General</c:formatCode>
                <c:ptCount val="11"/>
                <c:pt idx="0">
                  <c:v>6</c:v>
                </c:pt>
                <c:pt idx="1">
                  <c:v>4.964404506368993</c:v>
                </c:pt>
                <c:pt idx="2">
                  <c:v>4.0628662660415928</c:v>
                </c:pt>
                <c:pt idx="3">
                  <c:v>3.2780316430915777</c:v>
                </c:pt>
                <c:pt idx="4">
                  <c:v>2.5947934199881404</c:v>
                </c:pt>
                <c:pt idx="5">
                  <c:v>2</c:v>
                </c:pt>
                <c:pt idx="6">
                  <c:v>1.4822022531844965</c:v>
                </c:pt>
                <c:pt idx="7">
                  <c:v>1.0314331330207964</c:v>
                </c:pt>
                <c:pt idx="8">
                  <c:v>0.63901582154578884</c:v>
                </c:pt>
                <c:pt idx="9">
                  <c:v>0.29739670999406975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D-441C-9B66-23497B3F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2704"/>
        <c:axId val="131652352"/>
      </c:areaChart>
      <c:lineChart>
        <c:grouping val="standard"/>
        <c:varyColors val="0"/>
        <c:ser>
          <c:idx val="3"/>
          <c:order val="0"/>
          <c:tx>
            <c:strRef>
              <c:f>'Sheet1 (4)'!$E$7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'Sheet1 (4)'!$B$9:$B$19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'Sheet1 (4)'!$D$9:$D$21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D-441C-9B66-23497B3FFECC}"/>
            </c:ext>
          </c:extLst>
        </c:ser>
        <c:ser>
          <c:idx val="2"/>
          <c:order val="1"/>
          <c:tx>
            <c:strRef>
              <c:f>'Sheet1 (4)'!$F$7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'Sheet1 (4)'!$B$9:$B$19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'Sheet1 (4)'!$F$9:$F$21</c:f>
              <c:numCache>
                <c:formatCode>General</c:formatCode>
                <c:ptCount val="13"/>
                <c:pt idx="0">
                  <c:v>10</c:v>
                </c:pt>
                <c:pt idx="1">
                  <c:v>8.7055056329612412</c:v>
                </c:pt>
                <c:pt idx="2">
                  <c:v>7.5785828325519908</c:v>
                </c:pt>
                <c:pt idx="3">
                  <c:v>6.5975395538644719</c:v>
                </c:pt>
                <c:pt idx="4">
                  <c:v>5.7434917749851753</c:v>
                </c:pt>
                <c:pt idx="5">
                  <c:v>5</c:v>
                </c:pt>
                <c:pt idx="6">
                  <c:v>4.3527528164806206</c:v>
                </c:pt>
                <c:pt idx="7">
                  <c:v>3.7892914162759954</c:v>
                </c:pt>
                <c:pt idx="8">
                  <c:v>3.2987697769322359</c:v>
                </c:pt>
                <c:pt idx="9">
                  <c:v>2.8717458874925872</c:v>
                </c:pt>
                <c:pt idx="10">
                  <c:v>2.4999999999999996</c:v>
                </c:pt>
                <c:pt idx="11">
                  <c:v>2.1763764082403099</c:v>
                </c:pt>
                <c:pt idx="12">
                  <c:v>1.9999999999999996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D-441C-9B66-23497B3FFECC}"/>
            </c:ext>
          </c:extLst>
        </c:ser>
        <c:ser>
          <c:idx val="4"/>
          <c:order val="4"/>
          <c:tx>
            <c:strRef>
              <c:f>'Sheet1 (4)'!$I$7</c:f>
              <c:strCache>
                <c:ptCount val="1"/>
                <c:pt idx="0">
                  <c:v>Reduced P0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'Sheet1 (4)'!$B$9:$B$19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'Sheet1 (4)'!$H$9:$H$19</c:f>
              <c:numCache>
                <c:formatCode>General</c:formatCode>
                <c:ptCount val="11"/>
                <c:pt idx="0">
                  <c:v>8</c:v>
                </c:pt>
                <c:pt idx="1">
                  <c:v>6.964404506368993</c:v>
                </c:pt>
                <c:pt idx="2">
                  <c:v>6.0628662660415928</c:v>
                </c:pt>
                <c:pt idx="3">
                  <c:v>5.2780316430915777</c:v>
                </c:pt>
                <c:pt idx="4">
                  <c:v>4.5947934199881404</c:v>
                </c:pt>
                <c:pt idx="5">
                  <c:v>4</c:v>
                </c:pt>
                <c:pt idx="6">
                  <c:v>3.4822022531844965</c:v>
                </c:pt>
                <c:pt idx="7">
                  <c:v>3.0314331330207964</c:v>
                </c:pt>
                <c:pt idx="8">
                  <c:v>2.6390158215457888</c:v>
                </c:pt>
                <c:pt idx="9">
                  <c:v>2.2973967099940698</c:v>
                </c:pt>
                <c:pt idx="10">
                  <c:v>1.9999999999999996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D-441C-9B66-23497B3F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5568"/>
        <c:axId val="131652928"/>
      </c:lineChart>
      <c:catAx>
        <c:axId val="1319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2352"/>
        <c:crosses val="autoZero"/>
        <c:auto val="0"/>
        <c:lblAlgn val="r"/>
        <c:lblOffset val="100"/>
        <c:tickLblSkip val="1"/>
        <c:tickMarkSkip val="100"/>
        <c:noMultiLvlLbl val="0"/>
      </c:catAx>
      <c:valAx>
        <c:axId val="13165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2704"/>
        <c:crossesAt val="1"/>
        <c:crossBetween val="between"/>
      </c:valAx>
      <c:valAx>
        <c:axId val="131652928"/>
        <c:scaling>
          <c:orientation val="minMax"/>
          <c:max val="3"/>
        </c:scaling>
        <c:delete val="1"/>
        <c:axPos val="r"/>
        <c:numFmt formatCode="General" sourceLinked="1"/>
        <c:majorTickMark val="out"/>
        <c:minorTickMark val="none"/>
        <c:tickLblPos val="nextTo"/>
        <c:crossAx val="131885568"/>
        <c:crosses val="max"/>
        <c:crossBetween val="between"/>
      </c:valAx>
      <c:catAx>
        <c:axId val="1318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652928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8984937962300164"/>
          <c:y val="0.11785676790401202"/>
          <c:w val="0.31015062037699831"/>
          <c:h val="0.14938081603435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9277022193E-2"/>
          <c:y val="3.4920634920634921E-2"/>
          <c:w val="0.92947133738964449"/>
          <c:h val="0.86643369578802654"/>
        </c:manualLayout>
      </c:layout>
      <c:areaChart>
        <c:grouping val="stacked"/>
        <c:varyColors val="0"/>
        <c:ser>
          <c:idx val="0"/>
          <c:order val="2"/>
          <c:tx>
            <c:strRef>
              <c:f>'Sheet1 (4)'!$U$7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'Sheet1 (4)'!$B$9:$B$19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'Sheet1 (4)'!$T$9:$T$24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B-4711-8E1F-AA335ED9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1680"/>
        <c:axId val="71100096"/>
      </c:areaChart>
      <c:lineChart>
        <c:grouping val="standard"/>
        <c:varyColors val="0"/>
        <c:ser>
          <c:idx val="3"/>
          <c:order val="0"/>
          <c:tx>
            <c:strRef>
              <c:f>'Sheet1 (4)'!$E$7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'Sheet1 (4)'!$B$8:$B$21</c:f>
              <c:numCache>
                <c:formatCode>General</c:formatCode>
                <c:ptCount val="14"/>
                <c:pt idx="0">
                  <c:v>0.32768000000000003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3124.9999999999982</c:v>
                </c:pt>
              </c:numCache>
            </c:numRef>
          </c:cat>
          <c:val>
            <c:numRef>
              <c:f>'Sheet1 (4)'!$D$8:$D$21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B-4711-8E1F-AA335ED9B847}"/>
            </c:ext>
          </c:extLst>
        </c:ser>
        <c:ser>
          <c:idx val="2"/>
          <c:order val="1"/>
          <c:tx>
            <c:strRef>
              <c:f>'Sheet1 (4)'!$F$7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'Sheet1 (4)'!$B$8:$B$21</c:f>
              <c:numCache>
                <c:formatCode>General</c:formatCode>
                <c:ptCount val="14"/>
                <c:pt idx="0">
                  <c:v>0.32768000000000003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3124.9999999999982</c:v>
                </c:pt>
              </c:numCache>
            </c:numRef>
          </c:cat>
          <c:val>
            <c:numRef>
              <c:f>'Sheet1 (4)'!$F$8:$F$21</c:f>
              <c:numCache>
                <c:formatCode>General</c:formatCode>
                <c:ptCount val="14"/>
                <c:pt idx="0">
                  <c:v>12.5</c:v>
                </c:pt>
                <c:pt idx="1">
                  <c:v>10</c:v>
                </c:pt>
                <c:pt idx="2">
                  <c:v>8.7055056329612412</c:v>
                </c:pt>
                <c:pt idx="3">
                  <c:v>7.5785828325519908</c:v>
                </c:pt>
                <c:pt idx="4">
                  <c:v>6.5975395538644719</c:v>
                </c:pt>
                <c:pt idx="5">
                  <c:v>5.7434917749851753</c:v>
                </c:pt>
                <c:pt idx="6">
                  <c:v>5</c:v>
                </c:pt>
                <c:pt idx="7">
                  <c:v>4.3527528164806206</c:v>
                </c:pt>
                <c:pt idx="8">
                  <c:v>3.7892914162759954</c:v>
                </c:pt>
                <c:pt idx="9">
                  <c:v>3.2987697769322359</c:v>
                </c:pt>
                <c:pt idx="10">
                  <c:v>2.8717458874925872</c:v>
                </c:pt>
                <c:pt idx="11">
                  <c:v>2.4999999999999996</c:v>
                </c:pt>
                <c:pt idx="12">
                  <c:v>2.1763764082403099</c:v>
                </c:pt>
                <c:pt idx="13">
                  <c:v>1.9999999999999996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B-4711-8E1F-AA335ED9B847}"/>
            </c:ext>
          </c:extLst>
        </c:ser>
        <c:ser>
          <c:idx val="4"/>
          <c:order val="3"/>
          <c:tx>
            <c:strRef>
              <c:f>'Sheet1 (4)'!$M$7</c:f>
              <c:strCache>
                <c:ptCount val="1"/>
                <c:pt idx="0">
                  <c:v>Reduced Q0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'Sheet1 (4)'!$B$8:$B$21</c:f>
              <c:numCache>
                <c:formatCode>General</c:formatCode>
                <c:ptCount val="14"/>
                <c:pt idx="0">
                  <c:v>0.32768000000000003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3124.9999999999982</c:v>
                </c:pt>
              </c:numCache>
            </c:numRef>
          </c:cat>
          <c:val>
            <c:numRef>
              <c:f>'Sheet1 (4)'!$L$8:$L$19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6.964404506368993</c:v>
                </c:pt>
                <c:pt idx="3">
                  <c:v>6.0628662660415928</c:v>
                </c:pt>
                <c:pt idx="4">
                  <c:v>5.2780316430915777</c:v>
                </c:pt>
                <c:pt idx="5">
                  <c:v>4.5947934199881404</c:v>
                </c:pt>
                <c:pt idx="6">
                  <c:v>4</c:v>
                </c:pt>
                <c:pt idx="7">
                  <c:v>3.4822022531844965</c:v>
                </c:pt>
                <c:pt idx="8">
                  <c:v>3.0314331330207964</c:v>
                </c:pt>
                <c:pt idx="9">
                  <c:v>2.6390158215457888</c:v>
                </c:pt>
                <c:pt idx="10">
                  <c:v>2.2973967099940698</c:v>
                </c:pt>
                <c:pt idx="11">
                  <c:v>1.9999999999999996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B-4711-8E1F-AA335ED9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96448"/>
        <c:axId val="71100672"/>
      </c:lineChart>
      <c:catAx>
        <c:axId val="1319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096"/>
        <c:crosses val="autoZero"/>
        <c:auto val="0"/>
        <c:lblAlgn val="r"/>
        <c:lblOffset val="100"/>
        <c:tickLblSkip val="1"/>
        <c:tickMarkSkip val="100"/>
        <c:noMultiLvlLbl val="0"/>
      </c:catAx>
      <c:valAx>
        <c:axId val="7110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1680"/>
        <c:crossesAt val="1"/>
        <c:crossBetween val="between"/>
      </c:valAx>
      <c:valAx>
        <c:axId val="71100672"/>
        <c:scaling>
          <c:orientation val="minMax"/>
          <c:max val="3"/>
        </c:scaling>
        <c:delete val="1"/>
        <c:axPos val="r"/>
        <c:numFmt formatCode="General" sourceLinked="1"/>
        <c:majorTickMark val="out"/>
        <c:minorTickMark val="none"/>
        <c:tickLblPos val="nextTo"/>
        <c:crossAx val="133096448"/>
        <c:crosses val="max"/>
        <c:crossBetween val="between"/>
      </c:valAx>
      <c:catAx>
        <c:axId val="13309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00672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8984937962300164"/>
          <c:y val="0.11785676790401202"/>
          <c:w val="0.31015062037699831"/>
          <c:h val="0.14938081603435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9277022193E-2"/>
          <c:y val="3.4920634920634921E-2"/>
          <c:w val="0.92947133738964449"/>
          <c:h val="0.86643369578802654"/>
        </c:manualLayout>
      </c:layout>
      <c:areaChart>
        <c:grouping val="stacked"/>
        <c:varyColors val="0"/>
        <c:ser>
          <c:idx val="0"/>
          <c:order val="2"/>
          <c:tx>
            <c:strRef>
              <c:f>'Sheet1 (4)'!$U$7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'Sheet1 (4)'!$B$9:$B$19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'Sheet1 (4)'!$U$9:$U$24</c:f>
              <c:numCache>
                <c:formatCode>General</c:formatCode>
                <c:ptCount val="16"/>
                <c:pt idx="0">
                  <c:v>0.30102999566398114</c:v>
                </c:pt>
                <c:pt idx="1">
                  <c:v>0.30102999566398114</c:v>
                </c:pt>
                <c:pt idx="2">
                  <c:v>0.30102999566398114</c:v>
                </c:pt>
                <c:pt idx="3">
                  <c:v>0.30102999566398114</c:v>
                </c:pt>
                <c:pt idx="4">
                  <c:v>0.30102999566398114</c:v>
                </c:pt>
                <c:pt idx="5">
                  <c:v>0.30102999566398114</c:v>
                </c:pt>
                <c:pt idx="6">
                  <c:v>0.30102999566398114</c:v>
                </c:pt>
                <c:pt idx="7">
                  <c:v>0.30102999566398114</c:v>
                </c:pt>
                <c:pt idx="8">
                  <c:v>0.30102999566398114</c:v>
                </c:pt>
                <c:pt idx="9">
                  <c:v>0.30102999566398114</c:v>
                </c:pt>
                <c:pt idx="10">
                  <c:v>0.30102999566398114</c:v>
                </c:pt>
                <c:pt idx="11">
                  <c:v>0.30102999566398114</c:v>
                </c:pt>
                <c:pt idx="12">
                  <c:v>0.30102999566398114</c:v>
                </c:pt>
                <c:pt idx="13">
                  <c:v>0.30102999566398114</c:v>
                </c:pt>
                <c:pt idx="14">
                  <c:v>0.30102999566398114</c:v>
                </c:pt>
                <c:pt idx="15">
                  <c:v>0.30102999566398114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B-4766-A883-11B96C7E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95424"/>
        <c:axId val="71102976"/>
      </c:areaChart>
      <c:lineChart>
        <c:grouping val="standard"/>
        <c:varyColors val="0"/>
        <c:ser>
          <c:idx val="3"/>
          <c:order val="0"/>
          <c:tx>
            <c:strRef>
              <c:f>'Sheet1 (4)'!$E$7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317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cat>
            <c:numRef>
              <c:f>'Sheet1 (4)'!$B$8:$B$19</c:f>
              <c:numCache>
                <c:formatCode>General</c:formatCode>
                <c:ptCount val="12"/>
                <c:pt idx="0">
                  <c:v>0.32768000000000003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'Sheet1 (4)'!$D$8:$D$21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B-4766-A883-11B96C7EA8EE}"/>
            </c:ext>
          </c:extLst>
        </c:ser>
        <c:ser>
          <c:idx val="2"/>
          <c:order val="1"/>
          <c:tx>
            <c:strRef>
              <c:f>'Sheet1 (4)'!$F$7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'Sheet1 (4)'!$B$8:$B$19</c:f>
              <c:numCache>
                <c:formatCode>General</c:formatCode>
                <c:ptCount val="12"/>
                <c:pt idx="0">
                  <c:v>0.32768000000000003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'Sheet1 (4)'!$F$8:$F$21</c:f>
              <c:numCache>
                <c:formatCode>General</c:formatCode>
                <c:ptCount val="14"/>
                <c:pt idx="0">
                  <c:v>12.5</c:v>
                </c:pt>
                <c:pt idx="1">
                  <c:v>10</c:v>
                </c:pt>
                <c:pt idx="2">
                  <c:v>8.7055056329612412</c:v>
                </c:pt>
                <c:pt idx="3">
                  <c:v>7.5785828325519908</c:v>
                </c:pt>
                <c:pt idx="4">
                  <c:v>6.5975395538644719</c:v>
                </c:pt>
                <c:pt idx="5">
                  <c:v>5.7434917749851753</c:v>
                </c:pt>
                <c:pt idx="6">
                  <c:v>5</c:v>
                </c:pt>
                <c:pt idx="7">
                  <c:v>4.3527528164806206</c:v>
                </c:pt>
                <c:pt idx="8">
                  <c:v>3.7892914162759954</c:v>
                </c:pt>
                <c:pt idx="9">
                  <c:v>3.2987697769322359</c:v>
                </c:pt>
                <c:pt idx="10">
                  <c:v>2.8717458874925872</c:v>
                </c:pt>
                <c:pt idx="11">
                  <c:v>2.4999999999999996</c:v>
                </c:pt>
                <c:pt idx="12">
                  <c:v>2.1763764082403099</c:v>
                </c:pt>
                <c:pt idx="13">
                  <c:v>1.9999999999999996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B-4766-A883-11B96C7EA8EE}"/>
            </c:ext>
          </c:extLst>
        </c:ser>
        <c:ser>
          <c:idx val="4"/>
          <c:order val="3"/>
          <c:tx>
            <c:strRef>
              <c:f>'Sheet1 (4)'!$I$7</c:f>
              <c:strCache>
                <c:ptCount val="1"/>
                <c:pt idx="0">
                  <c:v>Reduced P0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'Sheet1 (4)'!$B$8:$B$19</c:f>
              <c:numCache>
                <c:formatCode>General</c:formatCode>
                <c:ptCount val="12"/>
                <c:pt idx="0">
                  <c:v>0.32768000000000003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'Sheet1 (4)'!$H$8:$H$19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6.964404506368993</c:v>
                </c:pt>
                <c:pt idx="3">
                  <c:v>6.0628662660415928</c:v>
                </c:pt>
                <c:pt idx="4">
                  <c:v>5.2780316430915777</c:v>
                </c:pt>
                <c:pt idx="5">
                  <c:v>4.5947934199881404</c:v>
                </c:pt>
                <c:pt idx="6">
                  <c:v>4</c:v>
                </c:pt>
                <c:pt idx="7">
                  <c:v>3.4822022531844965</c:v>
                </c:pt>
                <c:pt idx="8">
                  <c:v>3.0314331330207964</c:v>
                </c:pt>
                <c:pt idx="9">
                  <c:v>2.6390158215457888</c:v>
                </c:pt>
                <c:pt idx="10">
                  <c:v>2.2973967099940698</c:v>
                </c:pt>
                <c:pt idx="11">
                  <c:v>1.9999999999999996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B-4766-A883-11B96C7E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2352"/>
        <c:axId val="71103552"/>
      </c:lineChart>
      <c:catAx>
        <c:axId val="133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2976"/>
        <c:crosses val="autoZero"/>
        <c:auto val="0"/>
        <c:lblAlgn val="r"/>
        <c:lblOffset val="100"/>
        <c:tickLblSkip val="1"/>
        <c:tickMarkSkip val="100"/>
        <c:noMultiLvlLbl val="0"/>
      </c:catAx>
      <c:valAx>
        <c:axId val="71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5424"/>
        <c:crossesAt val="1"/>
        <c:crossBetween val="between"/>
      </c:valAx>
      <c:valAx>
        <c:axId val="71103552"/>
        <c:scaling>
          <c:orientation val="minMax"/>
          <c:max val="3"/>
        </c:scaling>
        <c:delete val="1"/>
        <c:axPos val="r"/>
        <c:numFmt formatCode="General" sourceLinked="1"/>
        <c:majorTickMark val="out"/>
        <c:minorTickMark val="none"/>
        <c:tickLblPos val="nextTo"/>
        <c:crossAx val="133412352"/>
        <c:crosses val="max"/>
        <c:crossBetween val="between"/>
      </c:valAx>
      <c:catAx>
        <c:axId val="1334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03552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8984937962300164"/>
          <c:y val="0.11785676790401202"/>
          <c:w val="0.31015062037699831"/>
          <c:h val="0.14938081603435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9277022193E-2"/>
          <c:y val="3.4920634920634921E-2"/>
          <c:w val="0.92947133738964449"/>
          <c:h val="0.86643369578802654"/>
        </c:manualLayout>
      </c:layout>
      <c:areaChart>
        <c:grouping val="stacked"/>
        <c:varyColors val="0"/>
        <c:ser>
          <c:idx val="0"/>
          <c:order val="2"/>
          <c:tx>
            <c:strRef>
              <c:f>'Sheet1 (4)'!$U$7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'Sheet1 (4)'!$B$9:$B$19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'Sheet1 (4)'!$U$9:$U$24</c:f>
              <c:numCache>
                <c:formatCode>General</c:formatCode>
                <c:ptCount val="16"/>
                <c:pt idx="0">
                  <c:v>0.30102999566398114</c:v>
                </c:pt>
                <c:pt idx="1">
                  <c:v>0.30102999566398114</c:v>
                </c:pt>
                <c:pt idx="2">
                  <c:v>0.30102999566398114</c:v>
                </c:pt>
                <c:pt idx="3">
                  <c:v>0.30102999566398114</c:v>
                </c:pt>
                <c:pt idx="4">
                  <c:v>0.30102999566398114</c:v>
                </c:pt>
                <c:pt idx="5">
                  <c:v>0.30102999566398114</c:v>
                </c:pt>
                <c:pt idx="6">
                  <c:v>0.30102999566398114</c:v>
                </c:pt>
                <c:pt idx="7">
                  <c:v>0.30102999566398114</c:v>
                </c:pt>
                <c:pt idx="8">
                  <c:v>0.30102999566398114</c:v>
                </c:pt>
                <c:pt idx="9">
                  <c:v>0.30102999566398114</c:v>
                </c:pt>
                <c:pt idx="10">
                  <c:v>0.30102999566398114</c:v>
                </c:pt>
                <c:pt idx="11">
                  <c:v>0.30102999566398114</c:v>
                </c:pt>
                <c:pt idx="12">
                  <c:v>0.30102999566398114</c:v>
                </c:pt>
                <c:pt idx="13">
                  <c:v>0.30102999566398114</c:v>
                </c:pt>
                <c:pt idx="14">
                  <c:v>0.30102999566398114</c:v>
                </c:pt>
                <c:pt idx="15">
                  <c:v>0.30102999566398114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DE2-A772-EDAF77496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1328"/>
        <c:axId val="71105856"/>
      </c:areaChart>
      <c:lineChart>
        <c:grouping val="standard"/>
        <c:varyColors val="0"/>
        <c:ser>
          <c:idx val="3"/>
          <c:order val="0"/>
          <c:tx>
            <c:strRef>
              <c:f>'Sheet1 (4)'!$E$7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317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cat>
            <c:numRef>
              <c:f>'Sheet1 (4)'!$B$8:$B$21</c:f>
              <c:numCache>
                <c:formatCode>General</c:formatCode>
                <c:ptCount val="14"/>
                <c:pt idx="0">
                  <c:v>0.32768000000000003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3124.9999999999982</c:v>
                </c:pt>
              </c:numCache>
            </c:numRef>
          </c:cat>
          <c:val>
            <c:numRef>
              <c:f>'Sheet1 (4)'!$D$8:$D$21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8-4DE2-A772-EDAF77496705}"/>
            </c:ext>
          </c:extLst>
        </c:ser>
        <c:ser>
          <c:idx val="2"/>
          <c:order val="1"/>
          <c:tx>
            <c:strRef>
              <c:f>'Sheet1 (4)'!$F$7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'Sheet1 (4)'!$B$8:$B$21</c:f>
              <c:numCache>
                <c:formatCode>General</c:formatCode>
                <c:ptCount val="14"/>
                <c:pt idx="0">
                  <c:v>0.32768000000000003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3124.9999999999982</c:v>
                </c:pt>
              </c:numCache>
            </c:numRef>
          </c:cat>
          <c:val>
            <c:numRef>
              <c:f>'Sheet1 (4)'!$F$8:$F$21</c:f>
              <c:numCache>
                <c:formatCode>General</c:formatCode>
                <c:ptCount val="14"/>
                <c:pt idx="0">
                  <c:v>12.5</c:v>
                </c:pt>
                <c:pt idx="1">
                  <c:v>10</c:v>
                </c:pt>
                <c:pt idx="2">
                  <c:v>8.7055056329612412</c:v>
                </c:pt>
                <c:pt idx="3">
                  <c:v>7.5785828325519908</c:v>
                </c:pt>
                <c:pt idx="4">
                  <c:v>6.5975395538644719</c:v>
                </c:pt>
                <c:pt idx="5">
                  <c:v>5.7434917749851753</c:v>
                </c:pt>
                <c:pt idx="6">
                  <c:v>5</c:v>
                </c:pt>
                <c:pt idx="7">
                  <c:v>4.3527528164806206</c:v>
                </c:pt>
                <c:pt idx="8">
                  <c:v>3.7892914162759954</c:v>
                </c:pt>
                <c:pt idx="9">
                  <c:v>3.2987697769322359</c:v>
                </c:pt>
                <c:pt idx="10">
                  <c:v>2.8717458874925872</c:v>
                </c:pt>
                <c:pt idx="11">
                  <c:v>2.4999999999999996</c:v>
                </c:pt>
                <c:pt idx="12">
                  <c:v>2.1763764082403099</c:v>
                </c:pt>
                <c:pt idx="13">
                  <c:v>1.9999999999999996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8-4DE2-A772-EDAF77496705}"/>
            </c:ext>
          </c:extLst>
        </c:ser>
        <c:ser>
          <c:idx val="4"/>
          <c:order val="3"/>
          <c:tx>
            <c:strRef>
              <c:f>'Sheet1 (4)'!$I$7</c:f>
              <c:strCache>
                <c:ptCount val="1"/>
                <c:pt idx="0">
                  <c:v>Reduced P0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'Sheet1 (4)'!$B$8:$B$21</c:f>
              <c:numCache>
                <c:formatCode>General</c:formatCode>
                <c:ptCount val="14"/>
                <c:pt idx="0">
                  <c:v>0.32768000000000003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3124.9999999999982</c:v>
                </c:pt>
              </c:numCache>
            </c:numRef>
          </c:cat>
          <c:val>
            <c:numRef>
              <c:f>'Sheet1 (4)'!$F$8:$F$21</c:f>
              <c:numCache>
                <c:formatCode>General</c:formatCode>
                <c:ptCount val="14"/>
                <c:pt idx="0">
                  <c:v>12.5</c:v>
                </c:pt>
                <c:pt idx="1">
                  <c:v>10</c:v>
                </c:pt>
                <c:pt idx="2">
                  <c:v>8.7055056329612412</c:v>
                </c:pt>
                <c:pt idx="3">
                  <c:v>7.5785828325519908</c:v>
                </c:pt>
                <c:pt idx="4">
                  <c:v>6.5975395538644719</c:v>
                </c:pt>
                <c:pt idx="5">
                  <c:v>5.7434917749851753</c:v>
                </c:pt>
                <c:pt idx="6">
                  <c:v>5</c:v>
                </c:pt>
                <c:pt idx="7">
                  <c:v>4.3527528164806206</c:v>
                </c:pt>
                <c:pt idx="8">
                  <c:v>3.7892914162759954</c:v>
                </c:pt>
                <c:pt idx="9">
                  <c:v>3.2987697769322359</c:v>
                </c:pt>
                <c:pt idx="10">
                  <c:v>2.8717458874925872</c:v>
                </c:pt>
                <c:pt idx="11">
                  <c:v>2.4999999999999996</c:v>
                </c:pt>
                <c:pt idx="12">
                  <c:v>2.1763764082403099</c:v>
                </c:pt>
                <c:pt idx="13">
                  <c:v>1.9999999999999996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8-4DE2-A772-EDAF77496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49568"/>
        <c:axId val="132849664"/>
      </c:lineChart>
      <c:catAx>
        <c:axId val="1334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5856"/>
        <c:crosses val="autoZero"/>
        <c:auto val="0"/>
        <c:lblAlgn val="r"/>
        <c:lblOffset val="100"/>
        <c:tickLblSkip val="1"/>
        <c:tickMarkSkip val="100"/>
        <c:noMultiLvlLbl val="0"/>
      </c:catAx>
      <c:valAx>
        <c:axId val="7110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11328"/>
        <c:crossesAt val="1"/>
        <c:crossBetween val="between"/>
      </c:valAx>
      <c:valAx>
        <c:axId val="132849664"/>
        <c:scaling>
          <c:orientation val="minMax"/>
          <c:max val="3"/>
        </c:scaling>
        <c:delete val="1"/>
        <c:axPos val="r"/>
        <c:numFmt formatCode="General" sourceLinked="1"/>
        <c:majorTickMark val="out"/>
        <c:minorTickMark val="none"/>
        <c:tickLblPos val="nextTo"/>
        <c:crossAx val="133549568"/>
        <c:crosses val="max"/>
        <c:crossBetween val="between"/>
      </c:valAx>
      <c:catAx>
        <c:axId val="1335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4966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8984937962300164"/>
          <c:y val="0.11785676790401202"/>
          <c:w val="0.31015062037699831"/>
          <c:h val="0.14938081603435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9277022193E-2"/>
          <c:y val="3.4920634920634921E-2"/>
          <c:w val="0.92947133738964449"/>
          <c:h val="0.86643369578802654"/>
        </c:manualLayout>
      </c:layout>
      <c:scatterChart>
        <c:scatterStyle val="lineMarker"/>
        <c:varyColors val="0"/>
        <c:ser>
          <c:idx val="4"/>
          <c:order val="2"/>
          <c:tx>
            <c:strRef>
              <c:f>'Sheet1 (5)'!$H$7</c:f>
              <c:strCache>
                <c:ptCount val="1"/>
                <c:pt idx="0">
                  <c:v>Reduced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'Sheet1 (5)'!$A$8:$A$32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(5)'!$K$8:$K$32</c:f>
              <c:numCache>
                <c:formatCode>General</c:formatCode>
                <c:ptCount val="25"/>
                <c:pt idx="0">
                  <c:v>7.0710678118654746</c:v>
                </c:pt>
                <c:pt idx="1">
                  <c:v>7.0710678118654746</c:v>
                </c:pt>
                <c:pt idx="2">
                  <c:v>5.7735026918962582</c:v>
                </c:pt>
                <c:pt idx="3">
                  <c:v>5</c:v>
                </c:pt>
                <c:pt idx="4">
                  <c:v>4.4721359549995796</c:v>
                </c:pt>
                <c:pt idx="5">
                  <c:v>4.0824829046386304</c:v>
                </c:pt>
                <c:pt idx="6">
                  <c:v>3.7796447300922722</c:v>
                </c:pt>
                <c:pt idx="7">
                  <c:v>3.5355339059327373</c:v>
                </c:pt>
                <c:pt idx="8">
                  <c:v>3.333333333333333</c:v>
                </c:pt>
                <c:pt idx="9">
                  <c:v>3.1622776601683795</c:v>
                </c:pt>
                <c:pt idx="10">
                  <c:v>3.0151134457776365</c:v>
                </c:pt>
                <c:pt idx="11">
                  <c:v>2.8867513459481291</c:v>
                </c:pt>
                <c:pt idx="12">
                  <c:v>2.773500981126146</c:v>
                </c:pt>
                <c:pt idx="13">
                  <c:v>2.6726124191242437</c:v>
                </c:pt>
                <c:pt idx="14">
                  <c:v>2.5819888974716108</c:v>
                </c:pt>
                <c:pt idx="15">
                  <c:v>2.5</c:v>
                </c:pt>
                <c:pt idx="16">
                  <c:v>2.4253562503633299</c:v>
                </c:pt>
                <c:pt idx="17">
                  <c:v>2.3570226039551585</c:v>
                </c:pt>
                <c:pt idx="18">
                  <c:v>2.2941573387056176</c:v>
                </c:pt>
                <c:pt idx="19">
                  <c:v>2.2360679774997898</c:v>
                </c:pt>
                <c:pt idx="20">
                  <c:v>2.1821789023599241</c:v>
                </c:pt>
                <c:pt idx="21">
                  <c:v>2.132007163556104</c:v>
                </c:pt>
                <c:pt idx="22">
                  <c:v>2.0851441405707476</c:v>
                </c:pt>
                <c:pt idx="23">
                  <c:v>2.0412414523193152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B-4F0C-A5EF-3E0F6A91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1968"/>
        <c:axId val="132852544"/>
      </c:scatterChart>
      <c:scatterChart>
        <c:scatterStyle val="smoothMarker"/>
        <c:varyColors val="0"/>
        <c:ser>
          <c:idx val="3"/>
          <c:order val="0"/>
          <c:tx>
            <c:strRef>
              <c:f>'Sheet1 (5)'!$D$7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317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'Sheet1 (5)'!$A$8:$A$32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(5)'!$C$8:$C$32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2B-4F0C-A5EF-3E0F6A91A50E}"/>
            </c:ext>
          </c:extLst>
        </c:ser>
        <c:ser>
          <c:idx val="2"/>
          <c:order val="1"/>
          <c:tx>
            <c:strRef>
              <c:f>'Sheet1 (5)'!$E$7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'Sheet1 (5)'!$A$8:$A$32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(5)'!$E$8:$E$32</c:f>
              <c:numCache>
                <c:formatCode>General</c:formatCode>
                <c:ptCount val="25"/>
                <c:pt idx="0">
                  <c:v>10</c:v>
                </c:pt>
                <c:pt idx="1">
                  <c:v>7.0710678118654746</c:v>
                </c:pt>
                <c:pt idx="2">
                  <c:v>5.7735026918962582</c:v>
                </c:pt>
                <c:pt idx="3">
                  <c:v>5</c:v>
                </c:pt>
                <c:pt idx="4">
                  <c:v>4.4721359549995796</c:v>
                </c:pt>
                <c:pt idx="5">
                  <c:v>4.0824829046386304</c:v>
                </c:pt>
                <c:pt idx="6">
                  <c:v>3.7796447300922722</c:v>
                </c:pt>
                <c:pt idx="7">
                  <c:v>3.5355339059327373</c:v>
                </c:pt>
                <c:pt idx="8">
                  <c:v>3.333333333333333</c:v>
                </c:pt>
                <c:pt idx="9">
                  <c:v>3.1622776601683795</c:v>
                </c:pt>
                <c:pt idx="10">
                  <c:v>3.0151134457776365</c:v>
                </c:pt>
                <c:pt idx="11">
                  <c:v>2.8867513459481291</c:v>
                </c:pt>
                <c:pt idx="12">
                  <c:v>2.773500981126146</c:v>
                </c:pt>
                <c:pt idx="13">
                  <c:v>2.6726124191242437</c:v>
                </c:pt>
                <c:pt idx="14">
                  <c:v>2.5819888974716108</c:v>
                </c:pt>
                <c:pt idx="15">
                  <c:v>2.5</c:v>
                </c:pt>
                <c:pt idx="16">
                  <c:v>2.4253562503633299</c:v>
                </c:pt>
                <c:pt idx="17">
                  <c:v>2.3570226039551585</c:v>
                </c:pt>
                <c:pt idx="18">
                  <c:v>2.2941573387056176</c:v>
                </c:pt>
                <c:pt idx="19">
                  <c:v>2.2360679774997898</c:v>
                </c:pt>
                <c:pt idx="20">
                  <c:v>2.1821789023599241</c:v>
                </c:pt>
                <c:pt idx="21">
                  <c:v>2.132007163556104</c:v>
                </c:pt>
                <c:pt idx="22">
                  <c:v>2.0851441405707476</c:v>
                </c:pt>
                <c:pt idx="23">
                  <c:v>2.0412414523193152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2B-4F0C-A5EF-3E0F6A91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1968"/>
        <c:axId val="132852544"/>
      </c:scatterChart>
      <c:valAx>
        <c:axId val="1328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2544"/>
        <c:crosses val="autoZero"/>
        <c:crossBetween val="midCat"/>
        <c:majorUnit val="1"/>
        <c:minorUnit val="100"/>
      </c:valAx>
      <c:valAx>
        <c:axId val="13285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196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98066217404052"/>
          <c:y val="2.0827964686232422E-3"/>
          <c:w val="0.31801933782595959"/>
          <c:h val="0.2018950131233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2322922002E-2"/>
          <c:y val="3.492054402290623E-2"/>
          <c:w val="0.92947133738964449"/>
          <c:h val="0.8664336957880265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'Sheet1 (5)'!$H$7</c:f>
              <c:strCache>
                <c:ptCount val="1"/>
                <c:pt idx="0">
                  <c:v>Reduced Cost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diamond"/>
              <c:size val="10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2C-4904-BFEC-91E674AC3D11}"/>
              </c:ext>
            </c:extLst>
          </c:dPt>
          <c:xVal>
            <c:numRef>
              <c:f>'Sheet1 (5)'!$A$8:$A$32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(5)'!$G$8:$G$23</c:f>
              <c:numCache>
                <c:formatCode>General</c:formatCode>
                <c:ptCount val="16"/>
                <c:pt idx="0">
                  <c:v>8</c:v>
                </c:pt>
                <c:pt idx="1">
                  <c:v>5.6568542494923797</c:v>
                </c:pt>
                <c:pt idx="2">
                  <c:v>4.6188021535170067</c:v>
                </c:pt>
                <c:pt idx="3">
                  <c:v>4</c:v>
                </c:pt>
                <c:pt idx="4">
                  <c:v>3.5777087639996634</c:v>
                </c:pt>
                <c:pt idx="5">
                  <c:v>3.2659863237109046</c:v>
                </c:pt>
                <c:pt idx="6">
                  <c:v>3.0237157840738176</c:v>
                </c:pt>
                <c:pt idx="7">
                  <c:v>2.8284271247461898</c:v>
                </c:pt>
                <c:pt idx="8">
                  <c:v>2.6666666666666665</c:v>
                </c:pt>
                <c:pt idx="9">
                  <c:v>2.5298221281347035</c:v>
                </c:pt>
                <c:pt idx="10">
                  <c:v>2.412090756622109</c:v>
                </c:pt>
                <c:pt idx="11">
                  <c:v>2.3094010767585034</c:v>
                </c:pt>
                <c:pt idx="12">
                  <c:v>2.2188007849009166</c:v>
                </c:pt>
                <c:pt idx="13">
                  <c:v>2.1380899352993952</c:v>
                </c:pt>
                <c:pt idx="14">
                  <c:v>2.0655911179772888</c:v>
                </c:pt>
                <c:pt idx="1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2C-4904-BFEC-91E674AC3D11}"/>
            </c:ext>
          </c:extLst>
        </c:ser>
        <c:ser>
          <c:idx val="3"/>
          <c:order val="1"/>
          <c:tx>
            <c:strRef>
              <c:f>'Sheet1 (5)'!$D$7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317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'Sheet1 (5)'!$A$8:$A$32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(5)'!$C$8:$C$32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2C-4904-BFEC-91E674AC3D11}"/>
            </c:ext>
          </c:extLst>
        </c:ser>
        <c:ser>
          <c:idx val="2"/>
          <c:order val="2"/>
          <c:tx>
            <c:strRef>
              <c:f>'Sheet1 (5)'!$E$7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'Sheet1 (5)'!$A$8:$A$32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(5)'!$E$8:$E$32</c:f>
              <c:numCache>
                <c:formatCode>General</c:formatCode>
                <c:ptCount val="25"/>
                <c:pt idx="0">
                  <c:v>10</c:v>
                </c:pt>
                <c:pt idx="1">
                  <c:v>7.0710678118654746</c:v>
                </c:pt>
                <c:pt idx="2">
                  <c:v>5.7735026918962582</c:v>
                </c:pt>
                <c:pt idx="3">
                  <c:v>5</c:v>
                </c:pt>
                <c:pt idx="4">
                  <c:v>4.4721359549995796</c:v>
                </c:pt>
                <c:pt idx="5">
                  <c:v>4.0824829046386304</c:v>
                </c:pt>
                <c:pt idx="6">
                  <c:v>3.7796447300922722</c:v>
                </c:pt>
                <c:pt idx="7">
                  <c:v>3.5355339059327373</c:v>
                </c:pt>
                <c:pt idx="8">
                  <c:v>3.333333333333333</c:v>
                </c:pt>
                <c:pt idx="9">
                  <c:v>3.1622776601683795</c:v>
                </c:pt>
                <c:pt idx="10">
                  <c:v>3.0151134457776365</c:v>
                </c:pt>
                <c:pt idx="11">
                  <c:v>2.8867513459481291</c:v>
                </c:pt>
                <c:pt idx="12">
                  <c:v>2.773500981126146</c:v>
                </c:pt>
                <c:pt idx="13">
                  <c:v>2.6726124191242437</c:v>
                </c:pt>
                <c:pt idx="14">
                  <c:v>2.5819888974716108</c:v>
                </c:pt>
                <c:pt idx="15">
                  <c:v>2.5</c:v>
                </c:pt>
                <c:pt idx="16">
                  <c:v>2.4253562503633299</c:v>
                </c:pt>
                <c:pt idx="17">
                  <c:v>2.3570226039551585</c:v>
                </c:pt>
                <c:pt idx="18">
                  <c:v>2.2941573387056176</c:v>
                </c:pt>
                <c:pt idx="19">
                  <c:v>2.2360679774997898</c:v>
                </c:pt>
                <c:pt idx="20">
                  <c:v>2.1821789023599241</c:v>
                </c:pt>
                <c:pt idx="21">
                  <c:v>2.132007163556104</c:v>
                </c:pt>
                <c:pt idx="22">
                  <c:v>2.0851441405707476</c:v>
                </c:pt>
                <c:pt idx="23">
                  <c:v>2.0412414523193152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2C-4904-BFEC-91E674AC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848"/>
        <c:axId val="132855424"/>
        <c:extLst/>
      </c:scatterChart>
      <c:valAx>
        <c:axId val="1328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5424"/>
        <c:crosses val="autoZero"/>
        <c:crossBetween val="midCat"/>
        <c:majorUnit val="1"/>
        <c:minorUnit val="100"/>
      </c:valAx>
      <c:valAx>
        <c:axId val="13285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484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84937962300164"/>
          <c:y val="2.7053209257933706E-3"/>
          <c:w val="0.31015062037699831"/>
          <c:h val="0.19786566451920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2322922002E-2"/>
          <c:y val="3.492054402290623E-2"/>
          <c:w val="0.92947133738964449"/>
          <c:h val="0.8664336957880265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'Sheet1 (5)'!$D$7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317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31750">
                <a:solidFill>
                  <a:srgbClr val="C00000"/>
                </a:solidFill>
              </a:ln>
              <a:effectLst/>
            </c:spPr>
          </c:marker>
          <c:xVal>
            <c:numRef>
              <c:f>'Sheet1 (5)'!$A$8:$A$32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(5)'!$C$8:$C$32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9-4910-AA35-00DEEFB919FB}"/>
            </c:ext>
          </c:extLst>
        </c:ser>
        <c:ser>
          <c:idx val="2"/>
          <c:order val="1"/>
          <c:tx>
            <c:strRef>
              <c:f>'Sheet1 (5)'!$E$7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'Sheet1 (5)'!$A$8:$A$32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(5)'!$E$8:$E$32</c:f>
              <c:numCache>
                <c:formatCode>General</c:formatCode>
                <c:ptCount val="25"/>
                <c:pt idx="0">
                  <c:v>10</c:v>
                </c:pt>
                <c:pt idx="1">
                  <c:v>7.0710678118654746</c:v>
                </c:pt>
                <c:pt idx="2">
                  <c:v>5.7735026918962582</c:v>
                </c:pt>
                <c:pt idx="3">
                  <c:v>5</c:v>
                </c:pt>
                <c:pt idx="4">
                  <c:v>4.4721359549995796</c:v>
                </c:pt>
                <c:pt idx="5">
                  <c:v>4.0824829046386304</c:v>
                </c:pt>
                <c:pt idx="6">
                  <c:v>3.7796447300922722</c:v>
                </c:pt>
                <c:pt idx="7">
                  <c:v>3.5355339059327373</c:v>
                </c:pt>
                <c:pt idx="8">
                  <c:v>3.333333333333333</c:v>
                </c:pt>
                <c:pt idx="9">
                  <c:v>3.1622776601683795</c:v>
                </c:pt>
                <c:pt idx="10">
                  <c:v>3.0151134457776365</c:v>
                </c:pt>
                <c:pt idx="11">
                  <c:v>2.8867513459481291</c:v>
                </c:pt>
                <c:pt idx="12">
                  <c:v>2.773500981126146</c:v>
                </c:pt>
                <c:pt idx="13">
                  <c:v>2.6726124191242437</c:v>
                </c:pt>
                <c:pt idx="14">
                  <c:v>2.5819888974716108</c:v>
                </c:pt>
                <c:pt idx="15">
                  <c:v>2.5</c:v>
                </c:pt>
                <c:pt idx="16">
                  <c:v>2.4253562503633299</c:v>
                </c:pt>
                <c:pt idx="17">
                  <c:v>2.3570226039551585</c:v>
                </c:pt>
                <c:pt idx="18">
                  <c:v>2.2941573387056176</c:v>
                </c:pt>
                <c:pt idx="19">
                  <c:v>2.2360679774997898</c:v>
                </c:pt>
                <c:pt idx="20">
                  <c:v>2.1821789023599241</c:v>
                </c:pt>
                <c:pt idx="21">
                  <c:v>2.132007163556104</c:v>
                </c:pt>
                <c:pt idx="22">
                  <c:v>2.0851441405707476</c:v>
                </c:pt>
                <c:pt idx="23">
                  <c:v>2.0412414523193152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9-4910-AA35-00DEEFB9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08704"/>
        <c:axId val="132809280"/>
        <c:extLst/>
      </c:scatterChart>
      <c:valAx>
        <c:axId val="1328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9280"/>
        <c:crosses val="autoZero"/>
        <c:crossBetween val="midCat"/>
        <c:majorUnit val="1"/>
        <c:minorUnit val="100"/>
      </c:valAx>
      <c:valAx>
        <c:axId val="13280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87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84937962300164"/>
          <c:y val="2.7053209257933706E-3"/>
          <c:w val="0.31015062037699831"/>
          <c:h val="0.19786566451920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95329277022193E-2"/>
          <c:y val="3.4920634920634921E-2"/>
          <c:w val="0.92947133738964449"/>
          <c:h val="0.86643369578802654"/>
        </c:manualLayout>
      </c:layout>
      <c:scatterChart>
        <c:scatterStyle val="lineMarker"/>
        <c:varyColors val="0"/>
        <c:ser>
          <c:idx val="4"/>
          <c:order val="2"/>
          <c:tx>
            <c:strRef>
              <c:f>'Sheet1 (6)'!$H$6</c:f>
              <c:strCache>
                <c:ptCount val="1"/>
                <c:pt idx="0">
                  <c:v>Private Type R&amp;D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(6)'!$A$8:$A$29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'Sheet1 (6)'!$G$8:$G$29</c:f>
              <c:numCache>
                <c:formatCode>General</c:formatCode>
                <c:ptCount val="22"/>
                <c:pt idx="0">
                  <c:v>5</c:v>
                </c:pt>
                <c:pt idx="1">
                  <c:v>4.4721359549995796</c:v>
                </c:pt>
                <c:pt idx="2">
                  <c:v>4.0824829046386304</c:v>
                </c:pt>
                <c:pt idx="3">
                  <c:v>3.7796447300922722</c:v>
                </c:pt>
                <c:pt idx="4">
                  <c:v>3.5355339059327373</c:v>
                </c:pt>
                <c:pt idx="5">
                  <c:v>3.333333333333333</c:v>
                </c:pt>
                <c:pt idx="6">
                  <c:v>3.1622776601683795</c:v>
                </c:pt>
                <c:pt idx="7">
                  <c:v>3.0151134457776365</c:v>
                </c:pt>
                <c:pt idx="8">
                  <c:v>2.8867513459481291</c:v>
                </c:pt>
                <c:pt idx="9">
                  <c:v>2.773500981126146</c:v>
                </c:pt>
                <c:pt idx="10">
                  <c:v>2.6726124191242437</c:v>
                </c:pt>
                <c:pt idx="11">
                  <c:v>2.5819888974716108</c:v>
                </c:pt>
                <c:pt idx="12">
                  <c:v>2.5</c:v>
                </c:pt>
                <c:pt idx="13">
                  <c:v>2.4253562503633299</c:v>
                </c:pt>
                <c:pt idx="14">
                  <c:v>2.3570226039551585</c:v>
                </c:pt>
                <c:pt idx="15">
                  <c:v>2.2941573387056176</c:v>
                </c:pt>
                <c:pt idx="16">
                  <c:v>2.2360679774997898</c:v>
                </c:pt>
                <c:pt idx="17">
                  <c:v>2.1821789023599241</c:v>
                </c:pt>
                <c:pt idx="18">
                  <c:v>2.132007163556104</c:v>
                </c:pt>
                <c:pt idx="19">
                  <c:v>2.0851441405707476</c:v>
                </c:pt>
                <c:pt idx="20">
                  <c:v>2.0412414523193152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1-4E29-A829-630B1364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2736"/>
        <c:axId val="132813312"/>
      </c:scatterChart>
      <c:scatterChart>
        <c:scatterStyle val="smoothMarker"/>
        <c:varyColors val="0"/>
        <c:ser>
          <c:idx val="3"/>
          <c:order val="0"/>
          <c:tx>
            <c:strRef>
              <c:f>'Sheet1 (6)'!$D$6</c:f>
              <c:strCache>
                <c:ptCount val="1"/>
                <c:pt idx="0">
                  <c:v>Conventional Technology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'Sheet1 (6)'!$A$8:$A$32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(6)'!$C$8:$C$32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1-4E29-A829-630B136458D0}"/>
            </c:ext>
          </c:extLst>
        </c:ser>
        <c:ser>
          <c:idx val="2"/>
          <c:order val="1"/>
          <c:tx>
            <c:strRef>
              <c:f>'Sheet1 (6)'!$E$6</c:f>
              <c:strCache>
                <c:ptCount val="1"/>
                <c:pt idx="0">
                  <c:v>New Technology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'Sheet1 (6)'!$A$8:$A$32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'Sheet1 (6)'!$E$8:$E$32</c:f>
              <c:numCache>
                <c:formatCode>General</c:formatCode>
                <c:ptCount val="25"/>
                <c:pt idx="0">
                  <c:v>10</c:v>
                </c:pt>
                <c:pt idx="1">
                  <c:v>7.0710678118654746</c:v>
                </c:pt>
                <c:pt idx="2">
                  <c:v>5.7735026918962582</c:v>
                </c:pt>
                <c:pt idx="3">
                  <c:v>5</c:v>
                </c:pt>
                <c:pt idx="4">
                  <c:v>4.4721359549995796</c:v>
                </c:pt>
                <c:pt idx="5">
                  <c:v>4.0824829046386304</c:v>
                </c:pt>
                <c:pt idx="6">
                  <c:v>3.7796447300922722</c:v>
                </c:pt>
                <c:pt idx="7">
                  <c:v>3.5355339059327373</c:v>
                </c:pt>
                <c:pt idx="8">
                  <c:v>3.333333333333333</c:v>
                </c:pt>
                <c:pt idx="9">
                  <c:v>3.1622776601683795</c:v>
                </c:pt>
                <c:pt idx="10">
                  <c:v>3.0151134457776365</c:v>
                </c:pt>
                <c:pt idx="11">
                  <c:v>2.8867513459481291</c:v>
                </c:pt>
                <c:pt idx="12">
                  <c:v>2.773500981126146</c:v>
                </c:pt>
                <c:pt idx="13">
                  <c:v>2.6726124191242437</c:v>
                </c:pt>
                <c:pt idx="14">
                  <c:v>2.5819888974716108</c:v>
                </c:pt>
                <c:pt idx="15">
                  <c:v>2.5</c:v>
                </c:pt>
                <c:pt idx="16">
                  <c:v>2.4253562503633299</c:v>
                </c:pt>
                <c:pt idx="17">
                  <c:v>2.3570226039551585</c:v>
                </c:pt>
                <c:pt idx="18">
                  <c:v>2.2941573387056176</c:v>
                </c:pt>
                <c:pt idx="19">
                  <c:v>2.2360679774997898</c:v>
                </c:pt>
                <c:pt idx="20">
                  <c:v>2.1821789023599241</c:v>
                </c:pt>
                <c:pt idx="21">
                  <c:v>2.132007163556104</c:v>
                </c:pt>
                <c:pt idx="22">
                  <c:v>2.0851441405707476</c:v>
                </c:pt>
                <c:pt idx="23">
                  <c:v>2.0412414523193152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41-4E29-A829-630B1364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2736"/>
        <c:axId val="132813312"/>
      </c:scatterChart>
      <c:valAx>
        <c:axId val="1328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3312"/>
        <c:crosses val="autoZero"/>
        <c:crossBetween val="midCat"/>
        <c:majorUnit val="1"/>
        <c:minorUnit val="100"/>
      </c:valAx>
      <c:valAx>
        <c:axId val="13281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736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98066217404052"/>
          <c:y val="2.0827964686232422E-3"/>
          <c:w val="0.31801933782595959"/>
          <c:h val="0.2018950131233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</xdr:colOff>
      <xdr:row>5</xdr:row>
      <xdr:rowOff>0</xdr:rowOff>
    </xdr:from>
    <xdr:to>
      <xdr:col>33</xdr:col>
      <xdr:colOff>28575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33</xdr:col>
      <xdr:colOff>0</xdr:colOff>
      <xdr:row>51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53</xdr:row>
      <xdr:rowOff>0</xdr:rowOff>
    </xdr:from>
    <xdr:to>
      <xdr:col>33</xdr:col>
      <xdr:colOff>0</xdr:colOff>
      <xdr:row>75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77</xdr:row>
      <xdr:rowOff>0</xdr:rowOff>
    </xdr:from>
    <xdr:to>
      <xdr:col>33</xdr:col>
      <xdr:colOff>0</xdr:colOff>
      <xdr:row>99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21</xdr:col>
      <xdr:colOff>-1</xdr:colOff>
      <xdr:row>99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0.08307</cdr:x>
      <cdr:y>0.18182</cdr:y>
    </cdr:from>
    <cdr:to>
      <cdr:x>0.9104</cdr:x>
      <cdr:y>0.76116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554850" y="761991"/>
          <a:ext cx="5526060" cy="2428032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71789 w 3319267"/>
            <a:gd name="connsiteY3" fmla="*/ 1147659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733775"/>
            <a:gd name="connsiteY0" fmla="*/ 1882090 h 1882090"/>
            <a:gd name="connsiteX1" fmla="*/ 0 w 3733775"/>
            <a:gd name="connsiteY1" fmla="*/ 0 h 1882090"/>
            <a:gd name="connsiteX2" fmla="*/ 663390 w 3733775"/>
            <a:gd name="connsiteY2" fmla="*/ 884603 h 1882090"/>
            <a:gd name="connsiteX3" fmla="*/ 1071789 w 3733775"/>
            <a:gd name="connsiteY3" fmla="*/ 1147659 h 1882090"/>
            <a:gd name="connsiteX4" fmla="*/ 1472626 w 3733775"/>
            <a:gd name="connsiteY4" fmla="*/ 1347158 h 1882090"/>
            <a:gd name="connsiteX5" fmla="*/ 2017278 w 3733775"/>
            <a:gd name="connsiteY5" fmla="*/ 1528078 h 1882090"/>
            <a:gd name="connsiteX6" fmla="*/ 2549605 w 3733775"/>
            <a:gd name="connsiteY6" fmla="*/ 1697952 h 1882090"/>
            <a:gd name="connsiteX7" fmla="*/ 3733775 w 3733775"/>
            <a:gd name="connsiteY7" fmla="*/ 1870953 h 1882090"/>
            <a:gd name="connsiteX8" fmla="*/ 15329 w 3733775"/>
            <a:gd name="connsiteY8" fmla="*/ 1882090 h 1882090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63390 w 3733775"/>
            <a:gd name="connsiteY2" fmla="*/ 884603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023308 w 6028933"/>
            <a:gd name="connsiteY6" fmla="*/ 1826775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413421 w 6028933"/>
            <a:gd name="connsiteY6" fmla="*/ 1704251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413421 w 6028933"/>
            <a:gd name="connsiteY6" fmla="*/ 1704251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413421 w 6028933"/>
            <a:gd name="connsiteY6" fmla="*/ 1704251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28813 w 6028933"/>
            <a:gd name="connsiteY2" fmla="*/ 246785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28813 w 6028933"/>
            <a:gd name="connsiteY2" fmla="*/ 246785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371853 w 6028933"/>
            <a:gd name="connsiteY2" fmla="*/ 54084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371853 w 6028933"/>
            <a:gd name="connsiteY2" fmla="*/ 54084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371853 w 6028933"/>
            <a:gd name="connsiteY2" fmla="*/ 54084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2494705 h 2523103"/>
            <a:gd name="connsiteX1" fmla="*/ 0 w 6028933"/>
            <a:gd name="connsiteY1" fmla="*/ 0 h 2523103"/>
            <a:gd name="connsiteX2" fmla="*/ 371853 w 6028933"/>
            <a:gd name="connsiteY2" fmla="*/ 1153455 h 2523103"/>
            <a:gd name="connsiteX3" fmla="*/ 817518 w 6028933"/>
            <a:gd name="connsiteY3" fmla="*/ 1637574 h 2523103"/>
            <a:gd name="connsiteX4" fmla="*/ 1854255 w 6028933"/>
            <a:gd name="connsiteY4" fmla="*/ 2045713 h 2523103"/>
            <a:gd name="connsiteX5" fmla="*/ 3413421 w 6028933"/>
            <a:gd name="connsiteY5" fmla="*/ 2316866 h 2523103"/>
            <a:gd name="connsiteX6" fmla="*/ 6028933 w 6028933"/>
            <a:gd name="connsiteY6" fmla="*/ 2523103 h 2523103"/>
            <a:gd name="connsiteX7" fmla="*/ 15329 w 6028933"/>
            <a:gd name="connsiteY7" fmla="*/ 2494705 h 2523103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378355 w 6035435"/>
            <a:gd name="connsiteY2" fmla="*/ 1128951 h 2498599"/>
            <a:gd name="connsiteX3" fmla="*/ 824020 w 6035435"/>
            <a:gd name="connsiteY3" fmla="*/ 1613070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378355 w 6035435"/>
            <a:gd name="connsiteY2" fmla="*/ 1128951 h 2498599"/>
            <a:gd name="connsiteX3" fmla="*/ 824020 w 6035435"/>
            <a:gd name="connsiteY3" fmla="*/ 1613070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6035435" h="2498599">
              <a:moveTo>
                <a:pt x="21831" y="2470201"/>
              </a:moveTo>
              <a:cubicBezTo>
                <a:pt x="19024" y="2042275"/>
                <a:pt x="2807" y="427926"/>
                <a:pt x="0" y="0"/>
              </a:cubicBezTo>
              <a:cubicBezTo>
                <a:pt x="112490" y="372550"/>
                <a:pt x="240844" y="822656"/>
                <a:pt x="378355" y="1128951"/>
              </a:cubicBezTo>
              <a:cubicBezTo>
                <a:pt x="532909" y="1335470"/>
                <a:pt x="647116" y="1436706"/>
                <a:pt x="824020" y="1613070"/>
              </a:cubicBezTo>
              <a:cubicBezTo>
                <a:pt x="1049006" y="1747773"/>
                <a:pt x="1538359" y="1919937"/>
                <a:pt x="1860757" y="2021209"/>
              </a:cubicBezTo>
              <a:cubicBezTo>
                <a:pt x="2380479" y="2154476"/>
                <a:pt x="2900201" y="2201978"/>
                <a:pt x="3419923" y="2292362"/>
              </a:cubicBezTo>
              <a:lnTo>
                <a:pt x="6035435" y="2498599"/>
              </a:lnTo>
              <a:lnTo>
                <a:pt x="21831" y="2470201"/>
              </a:lnTo>
              <a:close/>
            </a:path>
          </a:pathLst>
        </a:custGeom>
        <a:solidFill xmlns:a="http://schemas.openxmlformats.org/drawingml/2006/main">
          <a:schemeClr val="accent4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0.90883</cdr:x>
      <cdr:y>0.75283</cdr:y>
    </cdr:from>
    <cdr:to>
      <cdr:x>0.90909</cdr:x>
      <cdr:y>0.8981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114297" y="3185302"/>
          <a:ext cx="1755" cy="61467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0.88227</cdr:x>
      <cdr:y>0.90521</cdr:y>
    </cdr:from>
    <cdr:to>
      <cdr:x>0.94635</cdr:x>
      <cdr:y>0.96682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35579" y="3830052"/>
          <a:ext cx="431131" cy="2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0.06012</cdr:x>
      <cdr:y>0.9076</cdr:y>
    </cdr:from>
    <cdr:to>
      <cdr:x>0.11694</cdr:x>
      <cdr:y>0.98379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02154" y="3803759"/>
          <a:ext cx="380096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0.39046</cdr:x>
      <cdr:y>0.91204</cdr:y>
    </cdr:from>
    <cdr:to>
      <cdr:x>0.63487</cdr:x>
      <cdr:y>0.97203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626888" y="3858930"/>
          <a:ext cx="1644322" cy="253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Cumulative Capacity</a:t>
          </a:r>
        </a:p>
      </cdr:txBody>
    </cdr:sp>
  </cdr:relSizeAnchor>
  <cdr:relSizeAnchor xmlns:cdr="http://schemas.openxmlformats.org/drawingml/2006/chartDrawing">
    <cdr:from>
      <cdr:x>0.04308</cdr:x>
      <cdr:y>0</cdr:y>
    </cdr:from>
    <cdr:to>
      <cdr:x>0.08854</cdr:x>
      <cdr:y>0.09524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241752" y="47158"/>
          <a:ext cx="399151" cy="304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Cost</a:t>
          </a:r>
          <a:endParaRPr lang="en-US" sz="1400" b="1" baseline="-25000"/>
        </a:p>
      </cdr:txBody>
    </cdr:sp>
  </cdr:relSizeAnchor>
  <cdr:relSizeAnchor xmlns:cdr="http://schemas.openxmlformats.org/drawingml/2006/chartDrawing">
    <cdr:from>
      <cdr:x>0.0889</cdr:x>
      <cdr:y>0.55942</cdr:y>
    </cdr:from>
    <cdr:to>
      <cdr:x>0.22811</cdr:x>
      <cdr:y>0.68323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3816" y="2344537"/>
          <a:ext cx="929840" cy="51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</cdr:txBody>
    </cdr:sp>
  </cdr:relSizeAnchor>
  <cdr:relSizeAnchor xmlns:cdr="http://schemas.openxmlformats.org/drawingml/2006/chartDrawing">
    <cdr:from>
      <cdr:x>0.04098</cdr:x>
      <cdr:y>0.13007</cdr:y>
    </cdr:from>
    <cdr:to>
      <cdr:x>0.08075</cdr:x>
      <cdr:y>0.22264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76289" y="545110"/>
          <a:ext cx="268131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0.03323</cdr:x>
      <cdr:y>0.71667</cdr:y>
    </cdr:from>
    <cdr:to>
      <cdr:x>0.08248</cdr:x>
      <cdr:y>0.79286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22808" y="3003558"/>
          <a:ext cx="330251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c</a:t>
          </a:r>
        </a:p>
      </cdr:txBody>
    </cdr:sp>
  </cdr:relSizeAnchor>
  <cdr:relSizeAnchor xmlns:cdr="http://schemas.openxmlformats.org/drawingml/2006/chartDrawing">
    <cdr:from>
      <cdr:x>0.7392</cdr:x>
      <cdr:y>0.83191</cdr:y>
    </cdr:from>
    <cdr:to>
      <cdr:x>0.91366</cdr:x>
      <cdr:y>0.89352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73052" y="3519905"/>
          <a:ext cx="1173747" cy="2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critical capacity</a:t>
          </a:r>
        </a:p>
      </cdr:txBody>
    </cdr:sp>
  </cdr:relSizeAnchor>
  <cdr:relSizeAnchor xmlns:cdr="http://schemas.openxmlformats.org/drawingml/2006/chartDrawing">
    <cdr:from>
      <cdr:x>0.46061</cdr:x>
      <cdr:y>0.0049</cdr:y>
    </cdr:from>
    <cdr:to>
      <cdr:x>0.52929</cdr:x>
      <cdr:y>0.05957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098800" y="20722"/>
          <a:ext cx="462060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(a)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23</xdr:row>
      <xdr:rowOff>0</xdr:rowOff>
    </xdr:from>
    <xdr:to>
      <xdr:col>26</xdr:col>
      <xdr:colOff>3017</xdr:colOff>
      <xdr:row>45</xdr:row>
      <xdr:rowOff>7203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26</xdr:col>
      <xdr:colOff>0</xdr:colOff>
      <xdr:row>67</xdr:row>
      <xdr:rowOff>7203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26</xdr:col>
      <xdr:colOff>0</xdr:colOff>
      <xdr:row>22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0.08216</cdr:x>
      <cdr:y>0.52302</cdr:y>
    </cdr:from>
    <cdr:to>
      <cdr:x>0.83271</cdr:x>
      <cdr:y>0.76029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553002" y="2195763"/>
          <a:ext cx="5051708" cy="996096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759839 w 3312358"/>
            <a:gd name="connsiteY6" fmla="*/ 1390938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40981 w 3312358"/>
            <a:gd name="connsiteY2" fmla="*/ 660668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759839 w 3312358"/>
            <a:gd name="connsiteY6" fmla="*/ 1390938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40981 w 3312358"/>
            <a:gd name="connsiteY2" fmla="*/ 660668 h 1436628"/>
            <a:gd name="connsiteX3" fmla="*/ 1018076 w 3312358"/>
            <a:gd name="connsiteY3" fmla="*/ 1003782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759839 w 3312358"/>
            <a:gd name="connsiteY6" fmla="*/ 1390938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40981 w 3155774"/>
            <a:gd name="connsiteY2" fmla="*/ 660668 h 1497537"/>
            <a:gd name="connsiteX3" fmla="*/ 1018076 w 3155774"/>
            <a:gd name="connsiteY3" fmla="*/ 1003782 h 1497537"/>
            <a:gd name="connsiteX4" fmla="*/ 1597497 w 3155774"/>
            <a:gd name="connsiteY4" fmla="*/ 1233669 h 1497537"/>
            <a:gd name="connsiteX5" fmla="*/ 2038090 w 3155774"/>
            <a:gd name="connsiteY5" fmla="*/ 1306839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55774" h="1497537">
              <a:moveTo>
                <a:pt x="8420" y="1436628"/>
              </a:moveTo>
              <a:cubicBezTo>
                <a:pt x="5613" y="1008702"/>
                <a:pt x="2807" y="427926"/>
                <a:pt x="0" y="0"/>
              </a:cubicBezTo>
              <a:cubicBezTo>
                <a:pt x="123396" y="351948"/>
                <a:pt x="243664" y="469141"/>
                <a:pt x="440981" y="660668"/>
              </a:cubicBezTo>
              <a:cubicBezTo>
                <a:pt x="520997" y="735212"/>
                <a:pt x="918759" y="976214"/>
                <a:pt x="1018076" y="1003782"/>
              </a:cubicBezTo>
              <a:lnTo>
                <a:pt x="1597497" y="1233669"/>
              </a:lnTo>
              <a:lnTo>
                <a:pt x="2038090" y="1306839"/>
              </a:lnTo>
              <a:lnTo>
                <a:pt x="2759839" y="1390938"/>
              </a:lnTo>
              <a:lnTo>
                <a:pt x="3155774" y="1497537"/>
              </a:lnTo>
              <a:lnTo>
                <a:pt x="8420" y="1436628"/>
              </a:lnTo>
              <a:close/>
            </a:path>
          </a:pathLst>
        </a:custGeom>
        <a:solidFill xmlns:a="http://schemas.openxmlformats.org/drawingml/2006/main">
          <a:srgbClr val="FFC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0.90896</cdr:x>
      <cdr:y>0.76003</cdr:y>
    </cdr:from>
    <cdr:to>
      <cdr:x>0.91238</cdr:x>
      <cdr:y>0.90035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080475" y="3185274"/>
          <a:ext cx="22852" cy="5880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0.90139</cdr:x>
      <cdr:y>0.89461</cdr:y>
    </cdr:from>
    <cdr:to>
      <cdr:x>0.9582</cdr:x>
      <cdr:y>0.9708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066969" y="3755738"/>
          <a:ext cx="382370" cy="319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0.05793</cdr:x>
      <cdr:y>0.90585</cdr:y>
    </cdr:from>
    <cdr:to>
      <cdr:x>0.11475</cdr:x>
      <cdr:y>0.98204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505" y="3796417"/>
          <a:ext cx="380097" cy="31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0.39178</cdr:x>
      <cdr:y>0.89067</cdr:y>
    </cdr:from>
    <cdr:to>
      <cdr:x>0.63343</cdr:x>
      <cdr:y>0.95066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636921" y="3739228"/>
          <a:ext cx="1626511" cy="25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Cumulative Capacity</a:t>
          </a:r>
        </a:p>
      </cdr:txBody>
    </cdr:sp>
  </cdr:relSizeAnchor>
  <cdr:relSizeAnchor xmlns:cdr="http://schemas.openxmlformats.org/drawingml/2006/chartDrawing">
    <cdr:from>
      <cdr:x>0</cdr:x>
      <cdr:y>0.43806</cdr:y>
    </cdr:from>
    <cdr:to>
      <cdr:x>0.04546</cdr:x>
      <cdr:y>0.5333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47798" y="1886856"/>
          <a:ext cx="399837" cy="304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Cost</a:t>
          </a:r>
          <a:endParaRPr lang="en-US" sz="1400" b="1" baseline="-25000"/>
        </a:p>
      </cdr:txBody>
    </cdr:sp>
  </cdr:relSizeAnchor>
  <cdr:relSizeAnchor xmlns:cdr="http://schemas.openxmlformats.org/drawingml/2006/chartDrawing">
    <cdr:from>
      <cdr:x>0.04193</cdr:x>
      <cdr:y>0.13866</cdr:y>
    </cdr:from>
    <cdr:to>
      <cdr:x>0.0817</cdr:x>
      <cdr:y>0.23123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80471" y="581109"/>
          <a:ext cx="266041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0.04916</cdr:x>
      <cdr:y>0.50745</cdr:y>
    </cdr:from>
    <cdr:to>
      <cdr:x>0.07588</cdr:x>
      <cdr:y>0.60002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330880" y="2130370"/>
          <a:ext cx="179844" cy="388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P'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0.03406</cdr:x>
      <cdr:y>0.72076</cdr:y>
    </cdr:from>
    <cdr:to>
      <cdr:x>0.08331</cdr:x>
      <cdr:y>0.79695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27833" y="3020724"/>
          <a:ext cx="329457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c</a:t>
          </a:r>
        </a:p>
      </cdr:txBody>
    </cdr:sp>
  </cdr:relSizeAnchor>
  <cdr:relSizeAnchor xmlns:cdr="http://schemas.openxmlformats.org/drawingml/2006/chartDrawing">
    <cdr:from>
      <cdr:x>0.81936</cdr:x>
      <cdr:y>0.75707</cdr:y>
    </cdr:from>
    <cdr:to>
      <cdr:x>0.82234</cdr:x>
      <cdr:y>0.89798</cdr:y>
    </cdr:to>
    <cdr:cxnSp macro="">
      <cdr:nvCxnSpPr>
        <cdr:cNvPr id="24" name="Straight Connector 23"/>
        <cdr:cNvCxnSpPr/>
      </cdr:nvCxnSpPr>
      <cdr:spPr>
        <a:xfrm xmlns:a="http://schemas.openxmlformats.org/drawingml/2006/main" flipH="1" flipV="1">
          <a:off x="5483558" y="3178334"/>
          <a:ext cx="19944" cy="59156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0.09385</cdr:x>
      <cdr:y>0.53736</cdr:y>
    </cdr:from>
    <cdr:to>
      <cdr:x>0.17876</cdr:x>
      <cdr:y>0.53974</cdr:y>
    </cdr:to>
    <cdr:cxnSp macro="">
      <cdr:nvCxnSpPr>
        <cdr:cNvPr id="18" name="Straight Connector 17"/>
        <cdr:cNvCxnSpPr/>
      </cdr:nvCxnSpPr>
      <cdr:spPr>
        <a:xfrm xmlns:a="http://schemas.openxmlformats.org/drawingml/2006/main" flipH="1" flipV="1">
          <a:off x="631668" y="2255930"/>
          <a:ext cx="571490" cy="100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0.46646</cdr:x>
      <cdr:y>0.02593</cdr:y>
    </cdr:from>
    <cdr:to>
      <cdr:x>0.53511</cdr:x>
      <cdr:y>0.08103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43250" y="108858"/>
          <a:ext cx="462643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(b)</a:t>
          </a:r>
        </a:p>
      </cdr:txBody>
    </cdr:sp>
  </cdr:relSizeAnchor>
  <cdr:relSizeAnchor xmlns:cdr="http://schemas.openxmlformats.org/drawingml/2006/chartDrawing">
    <cdr:from>
      <cdr:x>0.77655</cdr:x>
      <cdr:y>0.89878</cdr:y>
    </cdr:from>
    <cdr:to>
      <cdr:x>0.8856</cdr:x>
      <cdr:y>0.97497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5197086" y="3773281"/>
          <a:ext cx="729817" cy="319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Q*- </a:t>
          </a:r>
          <a:r>
            <a:rPr lang="el-GR" sz="1200" b="1">
              <a:latin typeface="Book Antiqua" panose="02040602050305030304" pitchFamily="18" charset="0"/>
            </a:rPr>
            <a:t>Δ</a:t>
          </a:r>
          <a:r>
            <a:rPr lang="en-US" sz="1200" b="1">
              <a:latin typeface="Book Antiqua" panose="02040602050305030304" pitchFamily="18" charset="0"/>
            </a:rPr>
            <a:t>Q</a:t>
          </a:r>
          <a:endParaRPr lang="en-US" sz="1200" b="1"/>
        </a:p>
      </cdr:txBody>
    </cdr:sp>
  </cdr:relSizeAnchor>
  <cdr:relSizeAnchor xmlns:cdr="http://schemas.openxmlformats.org/drawingml/2006/chartDrawing">
    <cdr:from>
      <cdr:x>0.15949</cdr:x>
      <cdr:y>0.60438</cdr:y>
    </cdr:from>
    <cdr:to>
      <cdr:x>0.2444</cdr:x>
      <cdr:y>0.60677</cdr:y>
    </cdr:to>
    <cdr:cxnSp macro="">
      <cdr:nvCxnSpPr>
        <cdr:cNvPr id="31" name="Straight Connector 30"/>
        <cdr:cNvCxnSpPr/>
      </cdr:nvCxnSpPr>
      <cdr:spPr>
        <a:xfrm xmlns:a="http://schemas.openxmlformats.org/drawingml/2006/main" flipH="1" flipV="1">
          <a:off x="1073484" y="2537326"/>
          <a:ext cx="571490" cy="100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0.26526</cdr:x>
      <cdr:y>0.65931</cdr:y>
    </cdr:from>
    <cdr:to>
      <cdr:x>0.35016</cdr:x>
      <cdr:y>0.6617</cdr:y>
    </cdr:to>
    <cdr:cxnSp macro="">
      <cdr:nvCxnSpPr>
        <cdr:cNvPr id="32" name="Straight Connector 31"/>
        <cdr:cNvCxnSpPr/>
      </cdr:nvCxnSpPr>
      <cdr:spPr>
        <a:xfrm xmlns:a="http://schemas.openxmlformats.org/drawingml/2006/main" flipH="1" flipV="1">
          <a:off x="1785353" y="2767931"/>
          <a:ext cx="571490" cy="100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0.08545</cdr:x>
      <cdr:y>0.53974</cdr:y>
    </cdr:from>
    <cdr:to>
      <cdr:x>0.29508</cdr:x>
      <cdr:y>0.76213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574881" y="2265949"/>
          <a:ext cx="1410329" cy="933622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71789 w 3319267"/>
            <a:gd name="connsiteY3" fmla="*/ 1147659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733775"/>
            <a:gd name="connsiteY0" fmla="*/ 1882090 h 1882090"/>
            <a:gd name="connsiteX1" fmla="*/ 0 w 3733775"/>
            <a:gd name="connsiteY1" fmla="*/ 0 h 1882090"/>
            <a:gd name="connsiteX2" fmla="*/ 663390 w 3733775"/>
            <a:gd name="connsiteY2" fmla="*/ 884603 h 1882090"/>
            <a:gd name="connsiteX3" fmla="*/ 1071789 w 3733775"/>
            <a:gd name="connsiteY3" fmla="*/ 1147659 h 1882090"/>
            <a:gd name="connsiteX4" fmla="*/ 1472626 w 3733775"/>
            <a:gd name="connsiteY4" fmla="*/ 1347158 h 1882090"/>
            <a:gd name="connsiteX5" fmla="*/ 2017278 w 3733775"/>
            <a:gd name="connsiteY5" fmla="*/ 1528078 h 1882090"/>
            <a:gd name="connsiteX6" fmla="*/ 2549605 w 3733775"/>
            <a:gd name="connsiteY6" fmla="*/ 1697952 h 1882090"/>
            <a:gd name="connsiteX7" fmla="*/ 3733775 w 3733775"/>
            <a:gd name="connsiteY7" fmla="*/ 1870953 h 1882090"/>
            <a:gd name="connsiteX8" fmla="*/ 15329 w 3733775"/>
            <a:gd name="connsiteY8" fmla="*/ 1882090 h 1882090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63390 w 3733775"/>
            <a:gd name="connsiteY2" fmla="*/ 884603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412678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925615 w 3733775"/>
            <a:gd name="connsiteY4" fmla="*/ 1369454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925615 w 3733775"/>
            <a:gd name="connsiteY4" fmla="*/ 1369454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799518 w 3733775"/>
            <a:gd name="connsiteY4" fmla="*/ 1484768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799518 w 3733775"/>
            <a:gd name="connsiteY4" fmla="*/ 1484768 h 1904362"/>
            <a:gd name="connsiteX5" fmla="*/ 2346194 w 3733775"/>
            <a:gd name="connsiteY5" fmla="*/ 1706565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694437 w 3733775"/>
            <a:gd name="connsiteY4" fmla="*/ 1470354 h 1904362"/>
            <a:gd name="connsiteX5" fmla="*/ 2346194 w 3733775"/>
            <a:gd name="connsiteY5" fmla="*/ 1706565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109109 w 3733775"/>
            <a:gd name="connsiteY3" fmla="*/ 1259606 h 1904362"/>
            <a:gd name="connsiteX4" fmla="*/ 1694437 w 3733775"/>
            <a:gd name="connsiteY4" fmla="*/ 1470354 h 1904362"/>
            <a:gd name="connsiteX5" fmla="*/ 2346194 w 3733775"/>
            <a:gd name="connsiteY5" fmla="*/ 1706565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93384 w 3733775"/>
            <a:gd name="connsiteY2" fmla="*/ 883851 h 1904362"/>
            <a:gd name="connsiteX3" fmla="*/ 1109109 w 3733775"/>
            <a:gd name="connsiteY3" fmla="*/ 1259606 h 1904362"/>
            <a:gd name="connsiteX4" fmla="*/ 1694437 w 3733775"/>
            <a:gd name="connsiteY4" fmla="*/ 1470354 h 1904362"/>
            <a:gd name="connsiteX5" fmla="*/ 2346194 w 3733775"/>
            <a:gd name="connsiteY5" fmla="*/ 1706565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36344 w 3754790"/>
            <a:gd name="connsiteY0" fmla="*/ 1637048 h 1659320"/>
            <a:gd name="connsiteX1" fmla="*/ 0 w 3754790"/>
            <a:gd name="connsiteY1" fmla="*/ 0 h 1659320"/>
            <a:gd name="connsiteX2" fmla="*/ 414399 w 3754790"/>
            <a:gd name="connsiteY2" fmla="*/ 638809 h 1659320"/>
            <a:gd name="connsiteX3" fmla="*/ 1130124 w 3754790"/>
            <a:gd name="connsiteY3" fmla="*/ 1014564 h 1659320"/>
            <a:gd name="connsiteX4" fmla="*/ 1715452 w 3754790"/>
            <a:gd name="connsiteY4" fmla="*/ 1225312 h 1659320"/>
            <a:gd name="connsiteX5" fmla="*/ 2367209 w 3754790"/>
            <a:gd name="connsiteY5" fmla="*/ 1461523 h 1659320"/>
            <a:gd name="connsiteX6" fmla="*/ 3044323 w 3754790"/>
            <a:gd name="connsiteY6" fmla="*/ 1581733 h 1659320"/>
            <a:gd name="connsiteX7" fmla="*/ 3754790 w 3754790"/>
            <a:gd name="connsiteY7" fmla="*/ 1659320 h 1659320"/>
            <a:gd name="connsiteX8" fmla="*/ 36344 w 3754790"/>
            <a:gd name="connsiteY8" fmla="*/ 1637048 h 1659320"/>
            <a:gd name="connsiteX0" fmla="*/ 36344 w 3754790"/>
            <a:gd name="connsiteY0" fmla="*/ 1637048 h 1659320"/>
            <a:gd name="connsiteX1" fmla="*/ 0 w 3754790"/>
            <a:gd name="connsiteY1" fmla="*/ 0 h 1659320"/>
            <a:gd name="connsiteX2" fmla="*/ 414399 w 3754790"/>
            <a:gd name="connsiteY2" fmla="*/ 638809 h 1659320"/>
            <a:gd name="connsiteX3" fmla="*/ 1183513 w 3754790"/>
            <a:gd name="connsiteY3" fmla="*/ 1121483 h 1659320"/>
            <a:gd name="connsiteX4" fmla="*/ 1715452 w 3754790"/>
            <a:gd name="connsiteY4" fmla="*/ 1225312 h 1659320"/>
            <a:gd name="connsiteX5" fmla="*/ 2367209 w 3754790"/>
            <a:gd name="connsiteY5" fmla="*/ 1461523 h 1659320"/>
            <a:gd name="connsiteX6" fmla="*/ 3044323 w 3754790"/>
            <a:gd name="connsiteY6" fmla="*/ 1581733 h 1659320"/>
            <a:gd name="connsiteX7" fmla="*/ 3754790 w 3754790"/>
            <a:gd name="connsiteY7" fmla="*/ 1659320 h 1659320"/>
            <a:gd name="connsiteX8" fmla="*/ 36344 w 3754790"/>
            <a:gd name="connsiteY8" fmla="*/ 1637048 h 1659320"/>
            <a:gd name="connsiteX0" fmla="*/ 36344 w 3754790"/>
            <a:gd name="connsiteY0" fmla="*/ 1637048 h 1659320"/>
            <a:gd name="connsiteX1" fmla="*/ 0 w 3754790"/>
            <a:gd name="connsiteY1" fmla="*/ 0 h 1659320"/>
            <a:gd name="connsiteX2" fmla="*/ 414399 w 3754790"/>
            <a:gd name="connsiteY2" fmla="*/ 638809 h 1659320"/>
            <a:gd name="connsiteX3" fmla="*/ 1183513 w 3754790"/>
            <a:gd name="connsiteY3" fmla="*/ 1121483 h 1659320"/>
            <a:gd name="connsiteX4" fmla="*/ 1848917 w 3754790"/>
            <a:gd name="connsiteY4" fmla="*/ 1314411 h 1659320"/>
            <a:gd name="connsiteX5" fmla="*/ 2367209 w 3754790"/>
            <a:gd name="connsiteY5" fmla="*/ 1461523 h 1659320"/>
            <a:gd name="connsiteX6" fmla="*/ 3044323 w 3754790"/>
            <a:gd name="connsiteY6" fmla="*/ 1581733 h 1659320"/>
            <a:gd name="connsiteX7" fmla="*/ 3754790 w 3754790"/>
            <a:gd name="connsiteY7" fmla="*/ 1659320 h 1659320"/>
            <a:gd name="connsiteX8" fmla="*/ 36344 w 3754790"/>
            <a:gd name="connsiteY8" fmla="*/ 1637048 h 1659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754790" h="1659320">
              <a:moveTo>
                <a:pt x="36344" y="1637048"/>
              </a:moveTo>
              <a:cubicBezTo>
                <a:pt x="33537" y="1209122"/>
                <a:pt x="2807" y="427926"/>
                <a:pt x="0" y="0"/>
              </a:cubicBezTo>
              <a:cubicBezTo>
                <a:pt x="125493" y="390929"/>
                <a:pt x="159635" y="326387"/>
                <a:pt x="414399" y="638809"/>
              </a:cubicBezTo>
              <a:cubicBezTo>
                <a:pt x="757883" y="851796"/>
                <a:pt x="1058624" y="1147282"/>
                <a:pt x="1183513" y="1121483"/>
              </a:cubicBezTo>
              <a:cubicBezTo>
                <a:pt x="1401997" y="1201051"/>
                <a:pt x="1695567" y="1335661"/>
                <a:pt x="1848917" y="1314411"/>
              </a:cubicBezTo>
              <a:cubicBezTo>
                <a:pt x="2047229" y="1486792"/>
                <a:pt x="2234021" y="1397200"/>
                <a:pt x="2367209" y="1461523"/>
              </a:cubicBezTo>
              <a:lnTo>
                <a:pt x="3044323" y="1581733"/>
              </a:lnTo>
              <a:lnTo>
                <a:pt x="3754790" y="1659320"/>
              </a:lnTo>
              <a:lnTo>
                <a:pt x="36344" y="1637048"/>
              </a:lnTo>
              <a:close/>
            </a:path>
          </a:pathLst>
        </a:custGeom>
        <a:solidFill xmlns:a="http://schemas.openxmlformats.org/drawingml/2006/main">
          <a:schemeClr val="accent4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0.90883</cdr:x>
      <cdr:y>0.75283</cdr:y>
    </cdr:from>
    <cdr:to>
      <cdr:x>0.91128</cdr:x>
      <cdr:y>0.90055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079601" y="3160533"/>
          <a:ext cx="16399" cy="6201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0.8598</cdr:x>
      <cdr:y>0.83465</cdr:y>
    </cdr:from>
    <cdr:to>
      <cdr:x>0.91661</cdr:x>
      <cdr:y>0.91084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765508" y="3498038"/>
          <a:ext cx="380945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0.05902</cdr:x>
      <cdr:y>0.90585</cdr:y>
    </cdr:from>
    <cdr:to>
      <cdr:x>0.11584</cdr:x>
      <cdr:y>0.98204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826" y="3796432"/>
          <a:ext cx="380096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0.44411</cdr:x>
      <cdr:y>0.91933</cdr:y>
    </cdr:from>
    <cdr:to>
      <cdr:x>0.68107</cdr:x>
      <cdr:y>0.97932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987835" y="3859536"/>
          <a:ext cx="1594186" cy="25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Cumulative Capacity</a:t>
          </a:r>
        </a:p>
      </cdr:txBody>
    </cdr:sp>
  </cdr:relSizeAnchor>
  <cdr:relSizeAnchor xmlns:cdr="http://schemas.openxmlformats.org/drawingml/2006/chartDrawing">
    <cdr:from>
      <cdr:x>1.49488E-7</cdr:x>
      <cdr:y>0.43108</cdr:y>
    </cdr:from>
    <cdr:to>
      <cdr:x>0.04546</cdr:x>
      <cdr:y>0.52632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47866" y="1857617"/>
          <a:ext cx="399837" cy="304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Cost</a:t>
          </a:r>
          <a:endParaRPr lang="en-US" sz="1400" b="1" baseline="-25000"/>
        </a:p>
      </cdr:txBody>
    </cdr:sp>
  </cdr:relSizeAnchor>
  <cdr:relSizeAnchor xmlns:cdr="http://schemas.openxmlformats.org/drawingml/2006/chartDrawing">
    <cdr:from>
      <cdr:x>0.25854</cdr:x>
      <cdr:y>0.75304</cdr:y>
    </cdr:from>
    <cdr:to>
      <cdr:x>0.26003</cdr:x>
      <cdr:y>0.89752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1739357" y="3161429"/>
          <a:ext cx="10024" cy="6065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0.25935</cdr:x>
      <cdr:y>0.83409</cdr:y>
    </cdr:from>
    <cdr:to>
      <cdr:x>0.32138</cdr:x>
      <cdr:y>0.91028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744817" y="3501694"/>
          <a:ext cx="417317" cy="319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Q'*</a:t>
          </a:r>
        </a:p>
      </cdr:txBody>
    </cdr:sp>
  </cdr:relSizeAnchor>
  <cdr:relSizeAnchor xmlns:cdr="http://schemas.openxmlformats.org/drawingml/2006/chartDrawing">
    <cdr:from>
      <cdr:x>0.04098</cdr:x>
      <cdr:y>0.13007</cdr:y>
    </cdr:from>
    <cdr:to>
      <cdr:x>0.08075</cdr:x>
      <cdr:y>0.22264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76289" y="545110"/>
          <a:ext cx="268131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0.04222</cdr:x>
      <cdr:y>0.50811</cdr:y>
    </cdr:from>
    <cdr:to>
      <cdr:x>0.08199</cdr:x>
      <cdr:y>0.60068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82398" y="2133163"/>
          <a:ext cx="266041" cy="388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P'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0.03323</cdr:x>
      <cdr:y>0.71667</cdr:y>
    </cdr:from>
    <cdr:to>
      <cdr:x>0.08248</cdr:x>
      <cdr:y>0.79286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22808" y="3003558"/>
          <a:ext cx="330251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c</a:t>
          </a:r>
        </a:p>
      </cdr:txBody>
    </cdr:sp>
  </cdr:relSizeAnchor>
  <cdr:relSizeAnchor xmlns:cdr="http://schemas.openxmlformats.org/drawingml/2006/chartDrawing">
    <cdr:from>
      <cdr:x>0.47017</cdr:x>
      <cdr:y>0.02507</cdr:y>
    </cdr:from>
    <cdr:to>
      <cdr:x>0.53886</cdr:x>
      <cdr:y>0.08017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3166835" y="105229"/>
          <a:ext cx="462643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(c)</a:t>
          </a:r>
        </a:p>
      </cdr:txBody>
    </cdr:sp>
  </cdr:relSizeAnchor>
  <cdr:relSizeAnchor xmlns:cdr="http://schemas.openxmlformats.org/drawingml/2006/chartDrawing">
    <cdr:from>
      <cdr:x>0.09389</cdr:x>
      <cdr:y>0.32002</cdr:y>
    </cdr:from>
    <cdr:to>
      <cdr:x>0.09399</cdr:x>
      <cdr:y>0.49452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631657" y="1343528"/>
          <a:ext cx="669" cy="732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0.15956</cdr:x>
      <cdr:y>0.51124</cdr:y>
    </cdr:from>
    <cdr:to>
      <cdr:x>0.15966</cdr:x>
      <cdr:y>0.68574</cdr:y>
    </cdr:to>
    <cdr:cxnSp macro="">
      <cdr:nvCxnSpPr>
        <cdr:cNvPr id="28" name="Straight Connector 27"/>
        <cdr:cNvCxnSpPr/>
      </cdr:nvCxnSpPr>
      <cdr:spPr>
        <a:xfrm xmlns:a="http://schemas.openxmlformats.org/drawingml/2006/main">
          <a:off x="1073483" y="2146298"/>
          <a:ext cx="669" cy="732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0.1223</cdr:x>
      <cdr:y>0.44198</cdr:y>
    </cdr:from>
    <cdr:to>
      <cdr:x>0.1224</cdr:x>
      <cdr:y>0.61648</cdr:y>
    </cdr:to>
    <cdr:cxnSp macro="">
      <cdr:nvCxnSpPr>
        <cdr:cNvPr id="32" name="Straight Connector 31"/>
        <cdr:cNvCxnSpPr/>
      </cdr:nvCxnSpPr>
      <cdr:spPr>
        <a:xfrm xmlns:a="http://schemas.openxmlformats.org/drawingml/2006/main">
          <a:off x="822826" y="1855536"/>
          <a:ext cx="669" cy="732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0.08027</cdr:x>
      <cdr:y>0.18369</cdr:y>
    </cdr:from>
    <cdr:to>
      <cdr:x>0.9076</cdr:x>
      <cdr:y>0.76303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540033" y="777224"/>
          <a:ext cx="5565993" cy="2451248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71789 w 3319267"/>
            <a:gd name="connsiteY3" fmla="*/ 1147659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733775"/>
            <a:gd name="connsiteY0" fmla="*/ 1882090 h 1882090"/>
            <a:gd name="connsiteX1" fmla="*/ 0 w 3733775"/>
            <a:gd name="connsiteY1" fmla="*/ 0 h 1882090"/>
            <a:gd name="connsiteX2" fmla="*/ 663390 w 3733775"/>
            <a:gd name="connsiteY2" fmla="*/ 884603 h 1882090"/>
            <a:gd name="connsiteX3" fmla="*/ 1071789 w 3733775"/>
            <a:gd name="connsiteY3" fmla="*/ 1147659 h 1882090"/>
            <a:gd name="connsiteX4" fmla="*/ 1472626 w 3733775"/>
            <a:gd name="connsiteY4" fmla="*/ 1347158 h 1882090"/>
            <a:gd name="connsiteX5" fmla="*/ 2017278 w 3733775"/>
            <a:gd name="connsiteY5" fmla="*/ 1528078 h 1882090"/>
            <a:gd name="connsiteX6" fmla="*/ 2549605 w 3733775"/>
            <a:gd name="connsiteY6" fmla="*/ 1697952 h 1882090"/>
            <a:gd name="connsiteX7" fmla="*/ 3733775 w 3733775"/>
            <a:gd name="connsiteY7" fmla="*/ 1870953 h 1882090"/>
            <a:gd name="connsiteX8" fmla="*/ 15329 w 3733775"/>
            <a:gd name="connsiteY8" fmla="*/ 1882090 h 1882090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63390 w 3733775"/>
            <a:gd name="connsiteY2" fmla="*/ 884603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023308 w 6028933"/>
            <a:gd name="connsiteY6" fmla="*/ 1826775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413421 w 6028933"/>
            <a:gd name="connsiteY6" fmla="*/ 1704251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413421 w 6028933"/>
            <a:gd name="connsiteY6" fmla="*/ 1704251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413421 w 6028933"/>
            <a:gd name="connsiteY6" fmla="*/ 1704251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28813 w 6028933"/>
            <a:gd name="connsiteY2" fmla="*/ 246785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28813 w 6028933"/>
            <a:gd name="connsiteY2" fmla="*/ 246785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371853 w 6028933"/>
            <a:gd name="connsiteY2" fmla="*/ 54084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371853 w 6028933"/>
            <a:gd name="connsiteY2" fmla="*/ 54084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371853 w 6028933"/>
            <a:gd name="connsiteY2" fmla="*/ 54084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2494705 h 2523103"/>
            <a:gd name="connsiteX1" fmla="*/ 0 w 6028933"/>
            <a:gd name="connsiteY1" fmla="*/ 0 h 2523103"/>
            <a:gd name="connsiteX2" fmla="*/ 371853 w 6028933"/>
            <a:gd name="connsiteY2" fmla="*/ 1153455 h 2523103"/>
            <a:gd name="connsiteX3" fmla="*/ 817518 w 6028933"/>
            <a:gd name="connsiteY3" fmla="*/ 1637574 h 2523103"/>
            <a:gd name="connsiteX4" fmla="*/ 1854255 w 6028933"/>
            <a:gd name="connsiteY4" fmla="*/ 2045713 h 2523103"/>
            <a:gd name="connsiteX5" fmla="*/ 3413421 w 6028933"/>
            <a:gd name="connsiteY5" fmla="*/ 2316866 h 2523103"/>
            <a:gd name="connsiteX6" fmla="*/ 6028933 w 6028933"/>
            <a:gd name="connsiteY6" fmla="*/ 2523103 h 2523103"/>
            <a:gd name="connsiteX7" fmla="*/ 15329 w 6028933"/>
            <a:gd name="connsiteY7" fmla="*/ 2494705 h 2523103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378355 w 6035435"/>
            <a:gd name="connsiteY2" fmla="*/ 1128951 h 2498599"/>
            <a:gd name="connsiteX3" fmla="*/ 824020 w 6035435"/>
            <a:gd name="connsiteY3" fmla="*/ 1613070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378355 w 6035435"/>
            <a:gd name="connsiteY2" fmla="*/ 1128951 h 2498599"/>
            <a:gd name="connsiteX3" fmla="*/ 824020 w 6035435"/>
            <a:gd name="connsiteY3" fmla="*/ 1613070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6035435" h="2498599">
              <a:moveTo>
                <a:pt x="21831" y="2470201"/>
              </a:moveTo>
              <a:cubicBezTo>
                <a:pt x="19024" y="2042275"/>
                <a:pt x="2807" y="427926"/>
                <a:pt x="0" y="0"/>
              </a:cubicBezTo>
              <a:cubicBezTo>
                <a:pt x="112490" y="372550"/>
                <a:pt x="240844" y="822656"/>
                <a:pt x="378355" y="1128951"/>
              </a:cubicBezTo>
              <a:cubicBezTo>
                <a:pt x="532909" y="1335470"/>
                <a:pt x="647116" y="1436706"/>
                <a:pt x="824020" y="1613070"/>
              </a:cubicBezTo>
              <a:cubicBezTo>
                <a:pt x="1049006" y="1747773"/>
                <a:pt x="1538359" y="1919937"/>
                <a:pt x="1860757" y="2021209"/>
              </a:cubicBezTo>
              <a:cubicBezTo>
                <a:pt x="2380479" y="2154476"/>
                <a:pt x="2900201" y="2201978"/>
                <a:pt x="3419923" y="2292362"/>
              </a:cubicBezTo>
              <a:lnTo>
                <a:pt x="6035435" y="2498599"/>
              </a:lnTo>
              <a:lnTo>
                <a:pt x="21831" y="2470201"/>
              </a:lnTo>
              <a:close/>
            </a:path>
          </a:pathLst>
        </a:custGeom>
        <a:solidFill xmlns:a="http://schemas.openxmlformats.org/drawingml/2006/main">
          <a:schemeClr val="accent4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0.90883</cdr:x>
      <cdr:y>0.75283</cdr:y>
    </cdr:from>
    <cdr:to>
      <cdr:x>0.90909</cdr:x>
      <cdr:y>0.8981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114297" y="3185302"/>
          <a:ext cx="1755" cy="61467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0.88227</cdr:x>
      <cdr:y>0.90521</cdr:y>
    </cdr:from>
    <cdr:to>
      <cdr:x>0.94635</cdr:x>
      <cdr:y>0.96682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35579" y="3830052"/>
          <a:ext cx="431131" cy="2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0.06012</cdr:x>
      <cdr:y>0.9076</cdr:y>
    </cdr:from>
    <cdr:to>
      <cdr:x>0.11694</cdr:x>
      <cdr:y>0.98379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02154" y="3803759"/>
          <a:ext cx="380096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0.39046</cdr:x>
      <cdr:y>0.91204</cdr:y>
    </cdr:from>
    <cdr:to>
      <cdr:x>0.63487</cdr:x>
      <cdr:y>0.97203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626888" y="3858930"/>
          <a:ext cx="1644322" cy="253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Cumulative Capacity</a:t>
          </a:r>
        </a:p>
      </cdr:txBody>
    </cdr:sp>
  </cdr:relSizeAnchor>
  <cdr:relSizeAnchor xmlns:cdr="http://schemas.openxmlformats.org/drawingml/2006/chartDrawing">
    <cdr:from>
      <cdr:x>1.49488E-7</cdr:x>
      <cdr:y>0.45105</cdr:y>
    </cdr:from>
    <cdr:to>
      <cdr:x>0.04546</cdr:x>
      <cdr:y>0.54629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47523" y="1937870"/>
          <a:ext cx="399151" cy="304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Cost</a:t>
          </a:r>
          <a:endParaRPr lang="en-US" sz="1400" b="1" baseline="-25000"/>
        </a:p>
      </cdr:txBody>
    </cdr:sp>
  </cdr:relSizeAnchor>
  <cdr:relSizeAnchor xmlns:cdr="http://schemas.openxmlformats.org/drawingml/2006/chartDrawing">
    <cdr:from>
      <cdr:x>0.0889</cdr:x>
      <cdr:y>0.55942</cdr:y>
    </cdr:from>
    <cdr:to>
      <cdr:x>0.22811</cdr:x>
      <cdr:y>0.68323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3816" y="2344537"/>
          <a:ext cx="929840" cy="51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</cdr:txBody>
    </cdr:sp>
  </cdr:relSizeAnchor>
  <cdr:relSizeAnchor xmlns:cdr="http://schemas.openxmlformats.org/drawingml/2006/chartDrawing">
    <cdr:from>
      <cdr:x>0.04098</cdr:x>
      <cdr:y>0.13007</cdr:y>
    </cdr:from>
    <cdr:to>
      <cdr:x>0.08075</cdr:x>
      <cdr:y>0.22264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76289" y="545110"/>
          <a:ext cx="268131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0.03323</cdr:x>
      <cdr:y>0.71667</cdr:y>
    </cdr:from>
    <cdr:to>
      <cdr:x>0.08248</cdr:x>
      <cdr:y>0.79286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22808" y="3003558"/>
          <a:ext cx="330251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c</a:t>
          </a:r>
        </a:p>
      </cdr:txBody>
    </cdr:sp>
  </cdr:relSizeAnchor>
  <cdr:relSizeAnchor xmlns:cdr="http://schemas.openxmlformats.org/drawingml/2006/chartDrawing">
    <cdr:from>
      <cdr:x>0.7392</cdr:x>
      <cdr:y>0.83191</cdr:y>
    </cdr:from>
    <cdr:to>
      <cdr:x>0.91366</cdr:x>
      <cdr:y>0.89352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73052" y="3519905"/>
          <a:ext cx="1173747" cy="26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critical capacity</a:t>
          </a:r>
        </a:p>
      </cdr:txBody>
    </cdr:sp>
  </cdr:relSizeAnchor>
  <cdr:relSizeAnchor xmlns:cdr="http://schemas.openxmlformats.org/drawingml/2006/chartDrawing">
    <cdr:from>
      <cdr:x>0.46216</cdr:x>
      <cdr:y>0</cdr:y>
    </cdr:from>
    <cdr:to>
      <cdr:x>0.53085</cdr:x>
      <cdr:y>0.05519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081482" y="0"/>
          <a:ext cx="457931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(a)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65</xdr:row>
      <xdr:rowOff>0</xdr:rowOff>
    </xdr:from>
    <xdr:to>
      <xdr:col>25</xdr:col>
      <xdr:colOff>13607</xdr:colOff>
      <xdr:row>92</xdr:row>
      <xdr:rowOff>174171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35</xdr:col>
      <xdr:colOff>11206</xdr:colOff>
      <xdr:row>43</xdr:row>
      <xdr:rowOff>11206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0.08133</cdr:x>
      <cdr:y>0.62436</cdr:y>
    </cdr:from>
    <cdr:to>
      <cdr:x>0.19778</cdr:x>
      <cdr:y>0.66786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8714" y="3320142"/>
          <a:ext cx="857251" cy="231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P</a:t>
          </a:r>
          <a:r>
            <a:rPr lang="en-US" sz="1600" baseline="-25000"/>
            <a:t>c</a:t>
          </a:r>
          <a:r>
            <a:rPr lang="en-US" sz="1600"/>
            <a:t> = 95.1</a:t>
          </a:r>
        </a:p>
      </cdr:txBody>
    </cdr:sp>
  </cdr:relSizeAnchor>
  <cdr:relSizeAnchor xmlns:cdr="http://schemas.openxmlformats.org/drawingml/2006/chartDrawing">
    <cdr:from>
      <cdr:x>0.14603</cdr:x>
      <cdr:y>0.23541</cdr:y>
    </cdr:from>
    <cdr:to>
      <cdr:x>0.15896</cdr:x>
      <cdr:y>0.25844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074964" y="1251857"/>
          <a:ext cx="95250" cy="12246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0.43774</cdr:x>
      <cdr:y>0.46542</cdr:y>
    </cdr:from>
    <cdr:to>
      <cdr:x>0.45068</cdr:x>
      <cdr:y>0.48845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3200419" y="2474965"/>
          <a:ext cx="94600" cy="12246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0.65554</cdr:x>
      <cdr:y>0.57801</cdr:y>
    </cdr:from>
    <cdr:to>
      <cdr:x>0.66848</cdr:x>
      <cdr:y>0.60104</cdr:y>
    </cdr:to>
    <cdr:sp macro="" textlink="">
      <cdr:nvSpPr>
        <cdr:cNvPr id="6" name="Oval 5"/>
        <cdr:cNvSpPr/>
      </cdr:nvSpPr>
      <cdr:spPr>
        <a:xfrm xmlns:a="http://schemas.openxmlformats.org/drawingml/2006/main">
          <a:off x="4792824" y="3073678"/>
          <a:ext cx="94600" cy="122465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5">
            <a:shade val="50000"/>
          </a:schemeClr>
        </a:lnRef>
        <a:fillRef xmlns:a="http://schemas.openxmlformats.org/drawingml/2006/main" idx="1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0.15627</cdr:x>
      <cdr:y>0.14084</cdr:y>
    </cdr:from>
    <cdr:to>
      <cdr:x>0.28496</cdr:x>
      <cdr:y>0.23876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136848" y="748952"/>
          <a:ext cx="936240" cy="5207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/>
            <a:t>Q</a:t>
          </a:r>
          <a:r>
            <a:rPr lang="en-US" sz="1600" baseline="-25000"/>
            <a:t>0</a:t>
          </a:r>
          <a:r>
            <a:rPr lang="en-US" sz="1600"/>
            <a:t> = 30</a:t>
          </a:r>
        </a:p>
        <a:p xmlns:a="http://schemas.openxmlformats.org/drawingml/2006/main">
          <a:pPr algn="l"/>
          <a:r>
            <a:rPr lang="en-US" sz="1600"/>
            <a:t>P</a:t>
          </a:r>
          <a:r>
            <a:rPr lang="en-US" sz="1600" baseline="-25000"/>
            <a:t>0</a:t>
          </a:r>
          <a:r>
            <a:rPr lang="en-US" sz="1600"/>
            <a:t> = 196.9</a:t>
          </a:r>
        </a:p>
      </cdr:txBody>
    </cdr:sp>
  </cdr:relSizeAnchor>
  <cdr:relSizeAnchor xmlns:cdr="http://schemas.openxmlformats.org/drawingml/2006/chartDrawing">
    <cdr:from>
      <cdr:x>0.30341</cdr:x>
      <cdr:y>0.48826</cdr:y>
    </cdr:from>
    <cdr:to>
      <cdr:x>0.43868</cdr:x>
      <cdr:y>0.58617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218275" y="2596381"/>
          <a:ext cx="988988" cy="5207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/>
            <a:t>Q</a:t>
          </a:r>
          <a:r>
            <a:rPr lang="en-US" sz="1600" baseline="-25000"/>
            <a:t>0</a:t>
          </a:r>
          <a:r>
            <a:rPr lang="en-US" sz="1600"/>
            <a:t> = 134</a:t>
          </a:r>
        </a:p>
        <a:p xmlns:a="http://schemas.openxmlformats.org/drawingml/2006/main">
          <a:pPr algn="l"/>
          <a:r>
            <a:rPr lang="en-US" sz="1600"/>
            <a:t>P</a:t>
          </a:r>
          <a:r>
            <a:rPr lang="en-US" sz="1600" baseline="-25000"/>
            <a:t>0</a:t>
          </a:r>
          <a:r>
            <a:rPr lang="en-US" sz="1600"/>
            <a:t> = 125.3</a:t>
          </a:r>
        </a:p>
      </cdr:txBody>
    </cdr:sp>
  </cdr:relSizeAnchor>
  <cdr:relSizeAnchor xmlns:cdr="http://schemas.openxmlformats.org/drawingml/2006/chartDrawing">
    <cdr:from>
      <cdr:x>0.66532</cdr:x>
      <cdr:y>0.48274</cdr:y>
    </cdr:from>
    <cdr:to>
      <cdr:x>0.79481</cdr:x>
      <cdr:y>0.58066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840217" y="2567075"/>
          <a:ext cx="942018" cy="5207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/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Q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424</a:t>
          </a:r>
        </a:p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P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100.5</a:t>
          </a:r>
        </a:p>
      </cdr:txBody>
    </cdr:sp>
  </cdr:relSizeAnchor>
  <cdr:relSizeAnchor xmlns:cdr="http://schemas.openxmlformats.org/drawingml/2006/chartDrawing">
    <cdr:from>
      <cdr:x>0.24889</cdr:x>
      <cdr:y>0.35303</cdr:y>
    </cdr:from>
    <cdr:to>
      <cdr:x>0.37507</cdr:x>
      <cdr:y>0.40233</cdr:y>
    </cdr:to>
    <cdr:sp macro="" textlink="">
      <cdr:nvSpPr>
        <cdr:cNvPr id="10" name="TextBox 1"/>
        <cdr:cNvSpPr txBox="1"/>
      </cdr:nvSpPr>
      <cdr:spPr>
        <a:xfrm xmlns:a="http://schemas.openxmlformats.org/drawingml/2006/main" rot="2121255">
          <a:off x="1819671" y="1877296"/>
          <a:ext cx="922574" cy="26216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Solar PV</a:t>
          </a:r>
        </a:p>
      </cdr:txBody>
    </cdr:sp>
  </cdr:relSizeAnchor>
  <cdr:relSizeAnchor xmlns:cdr="http://schemas.openxmlformats.org/drawingml/2006/chartDrawing">
    <cdr:from>
      <cdr:x>0.38778</cdr:x>
      <cdr:y>0.35155</cdr:y>
    </cdr:from>
    <cdr:to>
      <cdr:x>0.56774</cdr:x>
      <cdr:y>0.40267</cdr:y>
    </cdr:to>
    <cdr:sp macro="" textlink="">
      <cdr:nvSpPr>
        <cdr:cNvPr id="11" name="TextBox 1"/>
        <cdr:cNvSpPr txBox="1"/>
      </cdr:nvSpPr>
      <cdr:spPr>
        <a:xfrm xmlns:a="http://schemas.openxmlformats.org/drawingml/2006/main" rot="1201592">
          <a:off x="2835141" y="1869416"/>
          <a:ext cx="1315752" cy="27182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Offshore wind</a:t>
          </a:r>
        </a:p>
      </cdr:txBody>
    </cdr:sp>
  </cdr:relSizeAnchor>
  <cdr:relSizeAnchor xmlns:cdr="http://schemas.openxmlformats.org/drawingml/2006/chartDrawing">
    <cdr:from>
      <cdr:x>0.52524</cdr:x>
      <cdr:y>0.50676</cdr:y>
    </cdr:from>
    <cdr:to>
      <cdr:x>0.65142</cdr:x>
      <cdr:y>0.55606</cdr:y>
    </cdr:to>
    <cdr:sp macro="" textlink="">
      <cdr:nvSpPr>
        <cdr:cNvPr id="12" name="TextBox 1"/>
        <cdr:cNvSpPr txBox="1"/>
      </cdr:nvSpPr>
      <cdr:spPr>
        <a:xfrm xmlns:a="http://schemas.openxmlformats.org/drawingml/2006/main" rot="1112669">
          <a:off x="3840125" y="2694773"/>
          <a:ext cx="922574" cy="26216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bg1"/>
              </a:solidFill>
            </a:rPr>
            <a:t>Biomass</a:t>
          </a:r>
        </a:p>
      </cdr:txBody>
    </cdr:sp>
  </cdr:relSizeAnchor>
  <cdr:relSizeAnchor xmlns:cdr="http://schemas.openxmlformats.org/drawingml/2006/chartDrawing">
    <cdr:from>
      <cdr:x>0.87012</cdr:x>
      <cdr:y>0.62112</cdr:y>
    </cdr:from>
    <cdr:to>
      <cdr:x>0.9963</cdr:x>
      <cdr:y>0.67042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405335" y="3302907"/>
          <a:ext cx="928914" cy="262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>
              <a:solidFill>
                <a:sysClr val="windowText" lastClr="000000"/>
              </a:solidFill>
            </a:rPr>
            <a:t>Coal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0.32979</cdr:x>
      <cdr:y>0.31156</cdr:y>
    </cdr:from>
    <cdr:to>
      <cdr:x>0.34475</cdr:x>
      <cdr:y>0.33228</cdr:y>
    </cdr:to>
    <cdr:sp macro="" textlink="">
      <cdr:nvSpPr>
        <cdr:cNvPr id="4" name="Oval 3"/>
        <cdr:cNvSpPr/>
      </cdr:nvSpPr>
      <cdr:spPr>
        <a:xfrm xmlns:a="http://schemas.openxmlformats.org/drawingml/2006/main">
          <a:off x="3638612" y="2449631"/>
          <a:ext cx="164985" cy="1629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0.44543</cdr:x>
      <cdr:y>0.38972</cdr:y>
    </cdr:from>
    <cdr:to>
      <cdr:x>0.45726</cdr:x>
      <cdr:y>0.40647</cdr:y>
    </cdr:to>
    <cdr:sp macro="" textlink="">
      <cdr:nvSpPr>
        <cdr:cNvPr id="5" name="Oval 4"/>
        <cdr:cNvSpPr/>
      </cdr:nvSpPr>
      <cdr:spPr>
        <a:xfrm xmlns:a="http://schemas.openxmlformats.org/drawingml/2006/main">
          <a:off x="4914387" y="3064181"/>
          <a:ext cx="130532" cy="13168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lumMod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0.56551</cdr:x>
      <cdr:y>0.41187</cdr:y>
    </cdr:from>
    <cdr:to>
      <cdr:x>0.57661</cdr:x>
      <cdr:y>0.43093</cdr:y>
    </cdr:to>
    <cdr:sp macro="" textlink="">
      <cdr:nvSpPr>
        <cdr:cNvPr id="6" name="Oval 5"/>
        <cdr:cNvSpPr/>
      </cdr:nvSpPr>
      <cdr:spPr>
        <a:xfrm xmlns:a="http://schemas.openxmlformats.org/drawingml/2006/main">
          <a:off x="6239246" y="3238333"/>
          <a:ext cx="122495" cy="149846"/>
        </a:xfrm>
        <a:prstGeom xmlns:a="http://schemas.openxmlformats.org/drawingml/2006/main" prst="ellipse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5">
            <a:shade val="50000"/>
          </a:schemeClr>
        </a:lnRef>
        <a:fillRef xmlns:a="http://schemas.openxmlformats.org/drawingml/2006/main" idx="1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0.33633</cdr:x>
      <cdr:y>0.24987</cdr:y>
    </cdr:from>
    <cdr:to>
      <cdr:x>0.42368</cdr:x>
      <cdr:y>0.31671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710770" y="1964608"/>
          <a:ext cx="963686" cy="525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50000"/>
          </a:schemeClr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Q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30</a:t>
          </a:r>
        </a:p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C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196.9</a:t>
          </a:r>
        </a:p>
      </cdr:txBody>
    </cdr:sp>
  </cdr:relSizeAnchor>
  <cdr:relSizeAnchor xmlns:cdr="http://schemas.openxmlformats.org/drawingml/2006/chartDrawing">
    <cdr:from>
      <cdr:x>0.35829</cdr:x>
      <cdr:y>0.39721</cdr:y>
    </cdr:from>
    <cdr:to>
      <cdr:x>0.45081</cdr:x>
      <cdr:y>0.46554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52966" y="3123037"/>
          <a:ext cx="1020847" cy="53728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50000"/>
          </a:schemeClr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Q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134</a:t>
          </a:r>
        </a:p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C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125.3</a:t>
          </a:r>
        </a:p>
      </cdr:txBody>
    </cdr:sp>
  </cdr:relSizeAnchor>
  <cdr:relSizeAnchor xmlns:cdr="http://schemas.openxmlformats.org/drawingml/2006/chartDrawing">
    <cdr:from>
      <cdr:x>0.45689</cdr:x>
      <cdr:y>0.4464</cdr:y>
    </cdr:from>
    <cdr:to>
      <cdr:x>0.54331</cdr:x>
      <cdr:y>0.514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040863" y="3509806"/>
          <a:ext cx="953485" cy="53151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50000"/>
          </a:schemeClr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Q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424</a:t>
          </a:r>
        </a:p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C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100.5</a:t>
          </a:r>
        </a:p>
      </cdr:txBody>
    </cdr:sp>
  </cdr:relSizeAnchor>
  <cdr:relSizeAnchor xmlns:cdr="http://schemas.openxmlformats.org/drawingml/2006/chartDrawing">
    <cdr:from>
      <cdr:x>0.08393</cdr:x>
      <cdr:y>0.08948</cdr:y>
    </cdr:from>
    <cdr:to>
      <cdr:x>0.20027</cdr:x>
      <cdr:y>0.12188</cdr:y>
    </cdr:to>
    <cdr:sp macro="" textlink="">
      <cdr:nvSpPr>
        <cdr:cNvPr id="10" name="TextBox 1"/>
        <cdr:cNvSpPr txBox="1"/>
      </cdr:nvSpPr>
      <cdr:spPr>
        <a:xfrm xmlns:a="http://schemas.openxmlformats.org/drawingml/2006/main" rot="1949530">
          <a:off x="925944" y="703519"/>
          <a:ext cx="1283628" cy="254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/>
            <a:t>Solar PV (23%)</a:t>
          </a:r>
        </a:p>
      </cdr:txBody>
    </cdr:sp>
  </cdr:relSizeAnchor>
  <cdr:relSizeAnchor xmlns:cdr="http://schemas.openxmlformats.org/drawingml/2006/chartDrawing">
    <cdr:from>
      <cdr:x>0.08335</cdr:x>
      <cdr:y>0.20925</cdr:y>
    </cdr:from>
    <cdr:to>
      <cdr:x>0.24578</cdr:x>
      <cdr:y>0.24187</cdr:y>
    </cdr:to>
    <cdr:sp macro="" textlink="">
      <cdr:nvSpPr>
        <cdr:cNvPr id="11" name="TextBox 1"/>
        <cdr:cNvSpPr txBox="1"/>
      </cdr:nvSpPr>
      <cdr:spPr>
        <a:xfrm xmlns:a="http://schemas.openxmlformats.org/drawingml/2006/main" rot="1054721">
          <a:off x="915544" y="1642686"/>
          <a:ext cx="1784154" cy="256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/>
            <a:t>Offshore wind (12%)</a:t>
          </a:r>
        </a:p>
      </cdr:txBody>
    </cdr:sp>
  </cdr:relSizeAnchor>
  <cdr:relSizeAnchor xmlns:cdr="http://schemas.openxmlformats.org/drawingml/2006/chartDrawing">
    <cdr:from>
      <cdr:x>0.08767</cdr:x>
      <cdr:y>0.2902</cdr:y>
    </cdr:from>
    <cdr:to>
      <cdr:x>0.20589</cdr:x>
      <cdr:y>0.3221</cdr:y>
    </cdr:to>
    <cdr:sp macro="" textlink="">
      <cdr:nvSpPr>
        <cdr:cNvPr id="12" name="TextBox 1"/>
        <cdr:cNvSpPr txBox="1"/>
      </cdr:nvSpPr>
      <cdr:spPr>
        <a:xfrm xmlns:a="http://schemas.openxmlformats.org/drawingml/2006/main" rot="962192">
          <a:off x="967244" y="2281734"/>
          <a:ext cx="1304340" cy="250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/>
            <a:t>Biomass (15%)</a:t>
          </a:r>
        </a:p>
      </cdr:txBody>
    </cdr:sp>
  </cdr:relSizeAnchor>
  <cdr:relSizeAnchor xmlns:cdr="http://schemas.openxmlformats.org/drawingml/2006/chartDrawing">
    <cdr:from>
      <cdr:x>0.53616</cdr:x>
      <cdr:y>0.4322</cdr:y>
    </cdr:from>
    <cdr:to>
      <cdr:x>0.55112</cdr:x>
      <cdr:y>0.45292</cdr:y>
    </cdr:to>
    <cdr:sp macro="" textlink="">
      <cdr:nvSpPr>
        <cdr:cNvPr id="14" name="Oval 13"/>
        <cdr:cNvSpPr/>
      </cdr:nvSpPr>
      <cdr:spPr>
        <a:xfrm xmlns:a="http://schemas.openxmlformats.org/drawingml/2006/main">
          <a:off x="5915478" y="3398158"/>
          <a:ext cx="164985" cy="1629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5">
            <a:lumMod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0.70143</cdr:x>
      <cdr:y>0.40451</cdr:y>
    </cdr:from>
    <cdr:to>
      <cdr:x>0.71638</cdr:x>
      <cdr:y>0.42523</cdr:y>
    </cdr:to>
    <cdr:sp macro="" textlink="">
      <cdr:nvSpPr>
        <cdr:cNvPr id="15" name="Oval 14"/>
        <cdr:cNvSpPr/>
      </cdr:nvSpPr>
      <cdr:spPr>
        <a:xfrm xmlns:a="http://schemas.openxmlformats.org/drawingml/2006/main">
          <a:off x="7738835" y="3180443"/>
          <a:ext cx="164985" cy="162940"/>
        </a:xfrm>
        <a:prstGeom xmlns:a="http://schemas.openxmlformats.org/drawingml/2006/main" prst="ellipse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0.09338</cdr:x>
      <cdr:y>0.39161</cdr:y>
    </cdr:from>
    <cdr:to>
      <cdr:x>0.18502</cdr:x>
      <cdr:y>0.42631</cdr:y>
    </cdr:to>
    <cdr:sp macro="" textlink="">
      <cdr:nvSpPr>
        <cdr:cNvPr id="16" name="TextBox 1"/>
        <cdr:cNvSpPr txBox="1"/>
      </cdr:nvSpPr>
      <cdr:spPr>
        <a:xfrm xmlns:a="http://schemas.openxmlformats.org/drawingml/2006/main" rot="155122">
          <a:off x="1030244" y="3079037"/>
          <a:ext cx="1011092" cy="272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/>
            <a:t>Hydro (1%)</a:t>
          </a:r>
        </a:p>
      </cdr:txBody>
    </cdr:sp>
  </cdr:relSizeAnchor>
  <cdr:relSizeAnchor xmlns:cdr="http://schemas.openxmlformats.org/drawingml/2006/chartDrawing">
    <cdr:from>
      <cdr:x>0.71006</cdr:x>
      <cdr:y>0.3422</cdr:y>
    </cdr:from>
    <cdr:to>
      <cdr:x>0.79648</cdr:x>
      <cdr:y>0.4098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7834086" y="2690586"/>
          <a:ext cx="953485" cy="531515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Q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3761</a:t>
          </a:r>
        </a:p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C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116.8</a:t>
          </a:r>
        </a:p>
      </cdr:txBody>
    </cdr:sp>
  </cdr:relSizeAnchor>
  <cdr:relSizeAnchor xmlns:cdr="http://schemas.openxmlformats.org/drawingml/2006/chartDrawing">
    <cdr:from>
      <cdr:x>0.57316</cdr:x>
      <cdr:y>0.42354</cdr:y>
    </cdr:from>
    <cdr:to>
      <cdr:x>0.66051</cdr:x>
      <cdr:y>0.49038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6323692" y="3330121"/>
          <a:ext cx="963686" cy="525500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Q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645</a:t>
          </a:r>
        </a:p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C</a:t>
          </a:r>
          <a:r>
            <a:rPr lang="en-US" sz="1600" baseline="-25000">
              <a:solidFill>
                <a:schemeClr val="bg1"/>
              </a:solidFill>
            </a:rPr>
            <a:t>0</a:t>
          </a:r>
          <a:r>
            <a:rPr lang="en-US" sz="1600">
              <a:solidFill>
                <a:schemeClr val="bg1"/>
              </a:solidFill>
            </a:rPr>
            <a:t> = 112.8</a:t>
          </a:r>
        </a:p>
      </cdr:txBody>
    </cdr:sp>
  </cdr:relSizeAnchor>
  <cdr:relSizeAnchor xmlns:cdr="http://schemas.openxmlformats.org/drawingml/2006/chartDrawing">
    <cdr:from>
      <cdr:x>0.40179</cdr:x>
      <cdr:y>0.34742</cdr:y>
    </cdr:from>
    <cdr:to>
      <cdr:x>0.56422</cdr:x>
      <cdr:y>0.38003</cdr:y>
    </cdr:to>
    <cdr:sp macro="" textlink="">
      <cdr:nvSpPr>
        <cdr:cNvPr id="19" name="TextBox 1"/>
        <cdr:cNvSpPr txBox="1"/>
      </cdr:nvSpPr>
      <cdr:spPr>
        <a:xfrm xmlns:a="http://schemas.openxmlformats.org/drawingml/2006/main" rot="1054721">
          <a:off x="4413250" y="2727323"/>
          <a:ext cx="1784154" cy="256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/>
            <a:t>Onshore wind (12%)</a:t>
          </a:r>
        </a:p>
      </cdr:txBody>
    </cdr:sp>
  </cdr:relSizeAnchor>
  <cdr:relSizeAnchor xmlns:cdr="http://schemas.openxmlformats.org/drawingml/2006/chartDrawing">
    <cdr:from>
      <cdr:x>0.08996</cdr:x>
      <cdr:y>0.57071</cdr:y>
    </cdr:from>
    <cdr:to>
      <cdr:x>0.16777</cdr:x>
      <cdr:y>0.63687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988121" y="4480234"/>
              <a:ext cx="854687" cy="51937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lIns="0" tIns="0" rIns="0" bIns="0" rtlCol="0"/>
            <a:lstStyle xmlns:a="http://schemas.openxmlformats.org/drawingml/2006/main"/>
            <a:p xmlns:a="http://schemas.openxmlformats.org/drawingml/2006/main">
              <a:pPr algn="l"/>
              <a:r>
                <a:rPr lang="en-US" sz="1600" b="1">
                  <a:effectLst/>
                  <a:latin typeface="+mn-lt"/>
                  <a:ea typeface="+mn-ea"/>
                  <a:cs typeface="+mn-cs"/>
                </a:rPr>
                <a:t>Fossil fuel</a:t>
              </a:r>
            </a:p>
            <a:p xmlns:a="http://schemas.openxmlformats.org/drawingml/2006/main">
              <a:pPr algn="l"/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6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600" b="1" i="1">
                          <a:latin typeface="Cambria Math" panose="02040503050406030204" pitchFamily="18" charset="0"/>
                        </a:rPr>
                        <m:t>𝑪</m:t>
                      </m:r>
                    </m:e>
                  </m:acc>
                </m:oMath>
              </a14:m>
              <a:r>
                <a:rPr lang="en-US" sz="1600" b="1"/>
                <a:t> = 50</a:t>
              </a:r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988121" y="4480234"/>
              <a:ext cx="854687" cy="51937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lIns="0" tIns="0" rIns="0" bIns="0" rtlCol="0"/>
            <a:lstStyle xmlns:a="http://schemas.openxmlformats.org/drawingml/2006/main"/>
            <a:p xmlns:a="http://schemas.openxmlformats.org/drawingml/2006/main">
              <a:pPr algn="l"/>
              <a:r>
                <a:rPr lang="en-US" sz="1600" b="1">
                  <a:effectLst/>
                  <a:latin typeface="+mn-lt"/>
                  <a:ea typeface="+mn-ea"/>
                  <a:cs typeface="+mn-cs"/>
                </a:rPr>
                <a:t>Fossil fuel</a:t>
              </a:r>
            </a:p>
            <a:p xmlns:a="http://schemas.openxmlformats.org/drawingml/2006/main">
              <a:pPr algn="l"/>
              <a:r>
                <a:rPr lang="en-US" sz="1600" b="1" i="0">
                  <a:latin typeface="Cambria Math" panose="02040503050406030204" pitchFamily="18" charset="0"/>
                </a:rPr>
                <a:t>𝑪 ̅</a:t>
              </a:r>
              <a:r>
                <a:rPr lang="en-US" sz="1600" b="1"/>
                <a:t> = 50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0.0888</cdr:x>
      <cdr:y>0.60047</cdr:y>
    </cdr:from>
    <cdr:to>
      <cdr:x>0.141</cdr:x>
      <cdr:y>0.63737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80651" y="4711588"/>
          <a:ext cx="576480" cy="289548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23</xdr:row>
      <xdr:rowOff>0</xdr:rowOff>
    </xdr:from>
    <xdr:to>
      <xdr:col>26</xdr:col>
      <xdr:colOff>3017</xdr:colOff>
      <xdr:row>45</xdr:row>
      <xdr:rowOff>7203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26</xdr:col>
      <xdr:colOff>0</xdr:colOff>
      <xdr:row>67</xdr:row>
      <xdr:rowOff>7203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26</xdr:col>
      <xdr:colOff>0</xdr:colOff>
      <xdr:row>22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0.0921</cdr:x>
      <cdr:y>0.35966</cdr:y>
    </cdr:from>
    <cdr:to>
      <cdr:x>0.77238</cdr:x>
      <cdr:y>0.59693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617855" y="1509944"/>
          <a:ext cx="4563745" cy="996108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759839 w 3312358"/>
            <a:gd name="connsiteY6" fmla="*/ 1390938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40981 w 3312358"/>
            <a:gd name="connsiteY2" fmla="*/ 660668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759839 w 3312358"/>
            <a:gd name="connsiteY6" fmla="*/ 1390938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40981 w 3312358"/>
            <a:gd name="connsiteY2" fmla="*/ 660668 h 1436628"/>
            <a:gd name="connsiteX3" fmla="*/ 1018076 w 3312358"/>
            <a:gd name="connsiteY3" fmla="*/ 1003782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759839 w 3312358"/>
            <a:gd name="connsiteY6" fmla="*/ 1390938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40981 w 3155774"/>
            <a:gd name="connsiteY2" fmla="*/ 660668 h 1497537"/>
            <a:gd name="connsiteX3" fmla="*/ 1018076 w 3155774"/>
            <a:gd name="connsiteY3" fmla="*/ 1003782 h 1497537"/>
            <a:gd name="connsiteX4" fmla="*/ 1597497 w 3155774"/>
            <a:gd name="connsiteY4" fmla="*/ 1233669 h 1497537"/>
            <a:gd name="connsiteX5" fmla="*/ 2038090 w 3155774"/>
            <a:gd name="connsiteY5" fmla="*/ 1306839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31790 h 1497537"/>
            <a:gd name="connsiteX3" fmla="*/ 1018076 w 3155774"/>
            <a:gd name="connsiteY3" fmla="*/ 1003782 h 1497537"/>
            <a:gd name="connsiteX4" fmla="*/ 1597497 w 3155774"/>
            <a:gd name="connsiteY4" fmla="*/ 1233669 h 1497537"/>
            <a:gd name="connsiteX5" fmla="*/ 2038090 w 3155774"/>
            <a:gd name="connsiteY5" fmla="*/ 1306839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31790 h 1497537"/>
            <a:gd name="connsiteX3" fmla="*/ 1018076 w 3155774"/>
            <a:gd name="connsiteY3" fmla="*/ 1003782 h 1497537"/>
            <a:gd name="connsiteX4" fmla="*/ 1597497 w 3155774"/>
            <a:gd name="connsiteY4" fmla="*/ 1233669 h 1497537"/>
            <a:gd name="connsiteX5" fmla="*/ 2038090 w 3155774"/>
            <a:gd name="connsiteY5" fmla="*/ 1306839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31790 h 1497537"/>
            <a:gd name="connsiteX3" fmla="*/ 1071804 w 3155774"/>
            <a:gd name="connsiteY3" fmla="*/ 889224 h 1497537"/>
            <a:gd name="connsiteX4" fmla="*/ 1597497 w 3155774"/>
            <a:gd name="connsiteY4" fmla="*/ 1233669 h 1497537"/>
            <a:gd name="connsiteX5" fmla="*/ 2038090 w 3155774"/>
            <a:gd name="connsiteY5" fmla="*/ 1306839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31790 h 1497537"/>
            <a:gd name="connsiteX3" fmla="*/ 1071804 w 3155774"/>
            <a:gd name="connsiteY3" fmla="*/ 889224 h 1497537"/>
            <a:gd name="connsiteX4" fmla="*/ 1663165 w 3155774"/>
            <a:gd name="connsiteY4" fmla="*/ 1190709 h 1497537"/>
            <a:gd name="connsiteX5" fmla="*/ 2038090 w 3155774"/>
            <a:gd name="connsiteY5" fmla="*/ 1306839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31790 h 1497537"/>
            <a:gd name="connsiteX3" fmla="*/ 1071804 w 3155774"/>
            <a:gd name="connsiteY3" fmla="*/ 889224 h 1497537"/>
            <a:gd name="connsiteX4" fmla="*/ 1663165 w 3155774"/>
            <a:gd name="connsiteY4" fmla="*/ 1190709 h 1497537"/>
            <a:gd name="connsiteX5" fmla="*/ 2044060 w 3155774"/>
            <a:gd name="connsiteY5" fmla="*/ 1263880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31790 h 1497537"/>
            <a:gd name="connsiteX3" fmla="*/ 1071804 w 3155774"/>
            <a:gd name="connsiteY3" fmla="*/ 889224 h 1497537"/>
            <a:gd name="connsiteX4" fmla="*/ 1657195 w 3155774"/>
            <a:gd name="connsiteY4" fmla="*/ 1147750 h 1497537"/>
            <a:gd name="connsiteX5" fmla="*/ 2044060 w 3155774"/>
            <a:gd name="connsiteY5" fmla="*/ 1263880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03151 h 1497537"/>
            <a:gd name="connsiteX3" fmla="*/ 1071804 w 3155774"/>
            <a:gd name="connsiteY3" fmla="*/ 889224 h 1497537"/>
            <a:gd name="connsiteX4" fmla="*/ 1657195 w 3155774"/>
            <a:gd name="connsiteY4" fmla="*/ 1147750 h 1497537"/>
            <a:gd name="connsiteX5" fmla="*/ 2044060 w 3155774"/>
            <a:gd name="connsiteY5" fmla="*/ 1263880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03151 h 1497537"/>
            <a:gd name="connsiteX3" fmla="*/ 1098150 w 3155774"/>
            <a:gd name="connsiteY3" fmla="*/ 874904 h 1497537"/>
            <a:gd name="connsiteX4" fmla="*/ 1657195 w 3155774"/>
            <a:gd name="connsiteY4" fmla="*/ 1147750 h 1497537"/>
            <a:gd name="connsiteX5" fmla="*/ 2044060 w 3155774"/>
            <a:gd name="connsiteY5" fmla="*/ 1263880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03151 h 1497537"/>
            <a:gd name="connsiteX3" fmla="*/ 1098150 w 3155774"/>
            <a:gd name="connsiteY3" fmla="*/ 874904 h 1497537"/>
            <a:gd name="connsiteX4" fmla="*/ 1683540 w 3155774"/>
            <a:gd name="connsiteY4" fmla="*/ 1133430 h 1497537"/>
            <a:gd name="connsiteX5" fmla="*/ 2044060 w 3155774"/>
            <a:gd name="connsiteY5" fmla="*/ 1263880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  <a:gd name="connsiteX0" fmla="*/ 8420 w 3155774"/>
            <a:gd name="connsiteY0" fmla="*/ 1436628 h 1497537"/>
            <a:gd name="connsiteX1" fmla="*/ 0 w 3155774"/>
            <a:gd name="connsiteY1" fmla="*/ 0 h 1497537"/>
            <a:gd name="connsiteX2" fmla="*/ 470830 w 3155774"/>
            <a:gd name="connsiteY2" fmla="*/ 503151 h 1497537"/>
            <a:gd name="connsiteX3" fmla="*/ 1098150 w 3155774"/>
            <a:gd name="connsiteY3" fmla="*/ 874904 h 1497537"/>
            <a:gd name="connsiteX4" fmla="*/ 1683540 w 3155774"/>
            <a:gd name="connsiteY4" fmla="*/ 1133430 h 1497537"/>
            <a:gd name="connsiteX5" fmla="*/ 2070406 w 3155774"/>
            <a:gd name="connsiteY5" fmla="*/ 1249561 h 1497537"/>
            <a:gd name="connsiteX6" fmla="*/ 2759839 w 3155774"/>
            <a:gd name="connsiteY6" fmla="*/ 1390938 h 1497537"/>
            <a:gd name="connsiteX7" fmla="*/ 3155774 w 3155774"/>
            <a:gd name="connsiteY7" fmla="*/ 1497537 h 1497537"/>
            <a:gd name="connsiteX8" fmla="*/ 8420 w 3155774"/>
            <a:gd name="connsiteY8" fmla="*/ 1436628 h 14975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155774" h="1497537">
              <a:moveTo>
                <a:pt x="8420" y="1436628"/>
              </a:moveTo>
              <a:cubicBezTo>
                <a:pt x="5613" y="1008702"/>
                <a:pt x="2807" y="427926"/>
                <a:pt x="0" y="0"/>
              </a:cubicBezTo>
              <a:cubicBezTo>
                <a:pt x="171154" y="251709"/>
                <a:pt x="273513" y="311624"/>
                <a:pt x="470830" y="503151"/>
              </a:cubicBezTo>
              <a:cubicBezTo>
                <a:pt x="550846" y="577695"/>
                <a:pt x="998833" y="847336"/>
                <a:pt x="1098150" y="874904"/>
              </a:cubicBezTo>
              <a:lnTo>
                <a:pt x="1683540" y="1133430"/>
              </a:lnTo>
              <a:lnTo>
                <a:pt x="2070406" y="1249561"/>
              </a:lnTo>
              <a:lnTo>
                <a:pt x="2759839" y="1390938"/>
              </a:lnTo>
              <a:lnTo>
                <a:pt x="3155774" y="1497537"/>
              </a:lnTo>
              <a:lnTo>
                <a:pt x="8420" y="1436628"/>
              </a:lnTo>
              <a:close/>
            </a:path>
          </a:pathLst>
        </a:custGeom>
        <a:solidFill xmlns:a="http://schemas.openxmlformats.org/drawingml/2006/main">
          <a:schemeClr val="accent2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0.90158</cdr:x>
      <cdr:y>0.5899</cdr:y>
    </cdr:from>
    <cdr:to>
      <cdr:x>0.90584</cdr:x>
      <cdr:y>0.90299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048375" y="2476500"/>
          <a:ext cx="28575" cy="13144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0.39178</cdr:x>
      <cdr:y>0.89067</cdr:y>
    </cdr:from>
    <cdr:to>
      <cdr:x>0.63343</cdr:x>
      <cdr:y>0.95066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636921" y="3739228"/>
          <a:ext cx="1626511" cy="25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>
            <a:effectLst/>
          </a:endParaRPr>
        </a:p>
      </cdr:txBody>
    </cdr:sp>
  </cdr:relSizeAnchor>
  <cdr:relSizeAnchor xmlns:cdr="http://schemas.openxmlformats.org/drawingml/2006/chartDrawing">
    <cdr:from>
      <cdr:x>0</cdr:x>
      <cdr:y>0.24464</cdr:y>
    </cdr:from>
    <cdr:to>
      <cdr:x>0.04546</cdr:x>
      <cdr:y>0.73786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882012" y="1909054"/>
          <a:ext cx="2070653" cy="306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effectLst/>
              <a:latin typeface="+mn-lt"/>
              <a:ea typeface="+mn-ea"/>
              <a:cs typeface="+mn-cs"/>
            </a:rPr>
            <a:t>Cost, C (USD/MWh)</a:t>
          </a:r>
          <a:endParaRPr lang="en-US" sz="1800">
            <a:effectLst/>
          </a:endParaRPr>
        </a:p>
      </cdr:txBody>
    </cdr:sp>
  </cdr:relSizeAnchor>
  <cdr:relSizeAnchor xmlns:cdr="http://schemas.openxmlformats.org/drawingml/2006/chartDrawing">
    <cdr:from>
      <cdr:x>0.78763</cdr:x>
      <cdr:y>0.59145</cdr:y>
    </cdr:from>
    <cdr:to>
      <cdr:x>0.78892</cdr:x>
      <cdr:y>0.89846</cdr:y>
    </cdr:to>
    <cdr:cxnSp macro="">
      <cdr:nvCxnSpPr>
        <cdr:cNvPr id="24" name="Straight Connector 23"/>
        <cdr:cNvCxnSpPr/>
      </cdr:nvCxnSpPr>
      <cdr:spPr>
        <a:xfrm xmlns:a="http://schemas.openxmlformats.org/drawingml/2006/main" flipH="1" flipV="1">
          <a:off x="5312608" y="2483027"/>
          <a:ext cx="8701" cy="128889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0.11941</cdr:x>
      <cdr:y>0.35358</cdr:y>
    </cdr:from>
    <cdr:to>
      <cdr:x>0.20432</cdr:x>
      <cdr:y>0.35596</cdr:y>
    </cdr:to>
    <cdr:cxnSp macro="">
      <cdr:nvCxnSpPr>
        <cdr:cNvPr id="18" name="Straight Connector 17"/>
        <cdr:cNvCxnSpPr/>
      </cdr:nvCxnSpPr>
      <cdr:spPr>
        <a:xfrm xmlns:a="http://schemas.openxmlformats.org/drawingml/2006/main" flipH="1" flipV="1">
          <a:off x="801054" y="1484421"/>
          <a:ext cx="569628" cy="99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0.33646</cdr:x>
      <cdr:y>0.02593</cdr:y>
    </cdr:from>
    <cdr:to>
      <cdr:x>0.66432</cdr:x>
      <cdr:y>0.20913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69434" y="108859"/>
          <a:ext cx="2211457" cy="76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(b)</a:t>
          </a:r>
        </a:p>
        <a:p xmlns:a="http://schemas.openxmlformats.org/drawingml/2006/main">
          <a:pPr algn="ctr"/>
          <a:r>
            <a:rPr lang="en-US" sz="1400" b="1"/>
            <a:t>Learning-by-doing</a:t>
          </a:r>
        </a:p>
        <a:p xmlns:a="http://schemas.openxmlformats.org/drawingml/2006/main">
          <a:pPr algn="ctr"/>
          <a:r>
            <a:rPr lang="en-US" sz="1400" b="1"/>
            <a:t>with curve-following R&amp;D</a:t>
          </a:r>
        </a:p>
      </cdr:txBody>
    </cdr:sp>
  </cdr:relSizeAnchor>
  <cdr:relSizeAnchor xmlns:cdr="http://schemas.openxmlformats.org/drawingml/2006/chartDrawing">
    <cdr:from>
      <cdr:x>0.18505</cdr:x>
      <cdr:y>0.4206</cdr:y>
    </cdr:from>
    <cdr:to>
      <cdr:x>0.26996</cdr:x>
      <cdr:y>0.423</cdr:y>
    </cdr:to>
    <cdr:cxnSp macro="">
      <cdr:nvCxnSpPr>
        <cdr:cNvPr id="31" name="Straight Connector 30"/>
        <cdr:cNvCxnSpPr/>
      </cdr:nvCxnSpPr>
      <cdr:spPr>
        <a:xfrm xmlns:a="http://schemas.openxmlformats.org/drawingml/2006/main" flipH="1" flipV="1">
          <a:off x="1241407" y="1765785"/>
          <a:ext cx="569629" cy="1003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0.29082</cdr:x>
      <cdr:y>0.47553</cdr:y>
    </cdr:from>
    <cdr:to>
      <cdr:x>0.37572</cdr:x>
      <cdr:y>0.47792</cdr:y>
    </cdr:to>
    <cdr:cxnSp macro="">
      <cdr:nvCxnSpPr>
        <cdr:cNvPr id="32" name="Straight Connector 31"/>
        <cdr:cNvCxnSpPr/>
      </cdr:nvCxnSpPr>
      <cdr:spPr>
        <a:xfrm xmlns:a="http://schemas.openxmlformats.org/drawingml/2006/main" flipH="1" flipV="1">
          <a:off x="1950978" y="1996392"/>
          <a:ext cx="569561" cy="1003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0.08919</cdr:x>
      <cdr:y>0.4199</cdr:y>
    </cdr:from>
    <cdr:to>
      <cdr:x>0.23699</cdr:x>
      <cdr:y>0.56622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01592" y="1762825"/>
          <a:ext cx="996951" cy="614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= 15 bn USD</a:t>
          </a:r>
        </a:p>
      </cdr:txBody>
    </cdr:sp>
  </cdr:relSizeAnchor>
  <cdr:relSizeAnchor xmlns:cdr="http://schemas.openxmlformats.org/drawingml/2006/chartDrawing">
    <cdr:from>
      <cdr:x>0.32295</cdr:x>
      <cdr:y>0.90188</cdr:y>
    </cdr:from>
    <cdr:to>
      <cdr:x>0.67046</cdr:x>
      <cdr:y>0.96176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178326" y="3786275"/>
          <a:ext cx="2343978" cy="251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Cumulative quantity, Q (TWh)</a:t>
          </a:r>
        </a:p>
      </cdr:txBody>
    </cdr:sp>
  </cdr:relSizeAnchor>
  <cdr:relSizeAnchor xmlns:cdr="http://schemas.openxmlformats.org/drawingml/2006/chartDrawing">
    <cdr:from>
      <cdr:x>0.05301</cdr:x>
      <cdr:y>0.08243</cdr:y>
    </cdr:from>
    <cdr:to>
      <cdr:x>0.09276</cdr:x>
      <cdr:y>0.14797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357556" y="346058"/>
          <a:ext cx="268116" cy="275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latin typeface="+mj-lt"/>
            </a:rPr>
            <a:t>125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0.05301</cdr:x>
      <cdr:y>0.31839</cdr:y>
    </cdr:from>
    <cdr:to>
      <cdr:x>0.09276</cdr:x>
      <cdr:y>0.37682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357556" y="1336666"/>
          <a:ext cx="268116" cy="245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latin typeface="+mj-lt"/>
            </a:rPr>
            <a:t>88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0.04307</cdr:x>
      <cdr:y>0.56116</cdr:y>
    </cdr:from>
    <cdr:to>
      <cdr:x>0.09701</cdr:x>
      <cdr:y>0.63722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290510" y="2355864"/>
          <a:ext cx="363816" cy="319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+mj-lt"/>
            </a:rPr>
            <a:t>50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0.05793</cdr:x>
      <cdr:y>0.90585</cdr:y>
    </cdr:from>
    <cdr:to>
      <cdr:x>0.1228</cdr:x>
      <cdr:y>0.98204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0741" y="3802942"/>
          <a:ext cx="437520" cy="319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+mj-lt"/>
            </a:rPr>
            <a:t>134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0.74921</cdr:x>
      <cdr:y>0.90188</cdr:y>
    </cdr:from>
    <cdr:to>
      <cdr:x>0.82903</cdr:x>
      <cdr:y>0.95949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5053495" y="3786257"/>
          <a:ext cx="538370" cy="241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+mj-lt"/>
            </a:rPr>
            <a:t>1320</a:t>
          </a:r>
          <a:endParaRPr lang="en-US" sz="1200" b="1"/>
        </a:p>
      </cdr:txBody>
    </cdr:sp>
  </cdr:relSizeAnchor>
  <cdr:relSizeAnchor xmlns:cdr="http://schemas.openxmlformats.org/drawingml/2006/chartDrawing">
    <cdr:from>
      <cdr:x>0.86693</cdr:x>
      <cdr:y>0.90318</cdr:y>
    </cdr:from>
    <cdr:to>
      <cdr:x>0.94675</cdr:x>
      <cdr:y>0.9608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847521" y="3791733"/>
          <a:ext cx="538370" cy="241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i="0">
              <a:latin typeface="+mj-lt"/>
            </a:rPr>
            <a:t>1532</a:t>
          </a:r>
          <a:endParaRPr lang="en-US" sz="1200" b="1"/>
        </a:p>
      </cdr:txBody>
    </cdr:sp>
  </cdr:relSizeAnchor>
  <cdr:relSizeAnchor xmlns:cdr="http://schemas.openxmlformats.org/drawingml/2006/chartDrawing">
    <cdr:from>
      <cdr:x>0.78826</cdr:x>
      <cdr:y>0.83457</cdr:y>
    </cdr:from>
    <cdr:to>
      <cdr:x>0.91851</cdr:x>
      <cdr:y>0.90359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5316844" y="3503678"/>
          <a:ext cx="878547" cy="289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200" b="1">
              <a:latin typeface="+mj-lt"/>
            </a:rPr>
            <a:t>Δ</a:t>
          </a:r>
          <a:r>
            <a:rPr lang="en-US" sz="1200" b="1">
              <a:latin typeface="+mj-lt"/>
            </a:rPr>
            <a:t>Q = 212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0.08185</cdr:x>
      <cdr:y>0.05476</cdr:y>
    </cdr:from>
    <cdr:to>
      <cdr:x>0.08185</cdr:x>
      <cdr:y>0.89762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47545" y="241937"/>
          <a:ext cx="0" cy="37238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0.94425</cdr:x>
      <cdr:y>0.75622</cdr:y>
    </cdr:from>
    <cdr:to>
      <cdr:x>0.94535</cdr:x>
      <cdr:y>0.9005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316540" y="3341077"/>
          <a:ext cx="7327" cy="6374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0.89799</cdr:x>
      <cdr:y>0.83353</cdr:y>
    </cdr:from>
    <cdr:to>
      <cdr:x>0.9548</cdr:x>
      <cdr:y>0.90972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007055" y="3682653"/>
          <a:ext cx="380029" cy="33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0.05019</cdr:x>
      <cdr:y>0.9127</cdr:y>
    </cdr:from>
    <cdr:to>
      <cdr:x>0.10701</cdr:x>
      <cdr:y>0.98889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6550" y="3651250"/>
          <a:ext cx="3810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0.03125</cdr:x>
      <cdr:y>0.14365</cdr:y>
    </cdr:from>
    <cdr:to>
      <cdr:x>0.07102</cdr:x>
      <cdr:y>0.21984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09544" y="574674"/>
          <a:ext cx="266682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0.02178</cdr:x>
      <cdr:y>0.65469</cdr:y>
    </cdr:from>
    <cdr:to>
      <cdr:x>0.07103</cdr:x>
      <cdr:y>0.73088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46030" y="2743819"/>
          <a:ext cx="330250" cy="31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b</a:t>
          </a:r>
        </a:p>
      </cdr:txBody>
    </cdr:sp>
  </cdr:relSizeAnchor>
  <cdr:relSizeAnchor xmlns:cdr="http://schemas.openxmlformats.org/drawingml/2006/chartDrawing">
    <cdr:from>
      <cdr:x>0.80114</cdr:x>
      <cdr:y>0.89545</cdr:y>
    </cdr:from>
    <cdr:to>
      <cdr:x>0.98201</cdr:x>
      <cdr:y>0.95544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372100" y="3752850"/>
          <a:ext cx="1212869" cy="251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Cumulative Capacity</a:t>
          </a:r>
        </a:p>
      </cdr:txBody>
    </cdr:sp>
  </cdr:relSizeAnchor>
  <cdr:relSizeAnchor xmlns:cdr="http://schemas.openxmlformats.org/drawingml/2006/chartDrawing">
    <cdr:from>
      <cdr:x>0.04332</cdr:x>
      <cdr:y>0</cdr:y>
    </cdr:from>
    <cdr:to>
      <cdr:x>0.08878</cdr:x>
      <cdr:y>0.09524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231464" y="58340"/>
          <a:ext cx="420783" cy="304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Cost</a:t>
          </a:r>
          <a:endParaRPr lang="en-US" sz="1100" b="1" baseline="-25000"/>
        </a:p>
      </cdr:txBody>
    </cdr:sp>
  </cdr:relSizeAnchor>
  <cdr:relSizeAnchor xmlns:cdr="http://schemas.openxmlformats.org/drawingml/2006/chartDrawing">
    <cdr:from>
      <cdr:x>0.10653</cdr:x>
      <cdr:y>0.40476</cdr:y>
    </cdr:from>
    <cdr:to>
      <cdr:x>0.24574</cdr:x>
      <cdr:y>0.52857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4375" y="1619250"/>
          <a:ext cx="9334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0.0934</cdr:x>
      <cdr:y>0.36277</cdr:y>
    </cdr:from>
    <cdr:to>
      <cdr:x>0.35369</cdr:x>
      <cdr:y>0.59197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626300" y="1522988"/>
          <a:ext cx="1745426" cy="962213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71789 w 3319267"/>
            <a:gd name="connsiteY3" fmla="*/ 1147659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733775"/>
            <a:gd name="connsiteY0" fmla="*/ 1882090 h 1882090"/>
            <a:gd name="connsiteX1" fmla="*/ 0 w 3733775"/>
            <a:gd name="connsiteY1" fmla="*/ 0 h 1882090"/>
            <a:gd name="connsiteX2" fmla="*/ 663390 w 3733775"/>
            <a:gd name="connsiteY2" fmla="*/ 884603 h 1882090"/>
            <a:gd name="connsiteX3" fmla="*/ 1071789 w 3733775"/>
            <a:gd name="connsiteY3" fmla="*/ 1147659 h 1882090"/>
            <a:gd name="connsiteX4" fmla="*/ 1472626 w 3733775"/>
            <a:gd name="connsiteY4" fmla="*/ 1347158 h 1882090"/>
            <a:gd name="connsiteX5" fmla="*/ 2017278 w 3733775"/>
            <a:gd name="connsiteY5" fmla="*/ 1528078 h 1882090"/>
            <a:gd name="connsiteX6" fmla="*/ 2549605 w 3733775"/>
            <a:gd name="connsiteY6" fmla="*/ 1697952 h 1882090"/>
            <a:gd name="connsiteX7" fmla="*/ 3733775 w 3733775"/>
            <a:gd name="connsiteY7" fmla="*/ 1870953 h 1882090"/>
            <a:gd name="connsiteX8" fmla="*/ 15329 w 3733775"/>
            <a:gd name="connsiteY8" fmla="*/ 1882090 h 1882090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63390 w 3733775"/>
            <a:gd name="connsiteY2" fmla="*/ 884603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672018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2023305 w 3733775"/>
            <a:gd name="connsiteY4" fmla="*/ 1412678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925615 w 3733775"/>
            <a:gd name="connsiteY4" fmla="*/ 1369454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925615 w 3733775"/>
            <a:gd name="connsiteY4" fmla="*/ 1369454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799518 w 3733775"/>
            <a:gd name="connsiteY4" fmla="*/ 1484768 h 1904362"/>
            <a:gd name="connsiteX5" fmla="*/ 2325178 w 3733775"/>
            <a:gd name="connsiteY5" fmla="*/ 1562423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799518 w 3733775"/>
            <a:gd name="connsiteY4" fmla="*/ 1484768 h 1904362"/>
            <a:gd name="connsiteX5" fmla="*/ 2346194 w 3733775"/>
            <a:gd name="connsiteY5" fmla="*/ 1706565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403333 w 3733775"/>
            <a:gd name="connsiteY3" fmla="*/ 1302847 h 1904362"/>
            <a:gd name="connsiteX4" fmla="*/ 1694437 w 3733775"/>
            <a:gd name="connsiteY4" fmla="*/ 1470354 h 1904362"/>
            <a:gd name="connsiteX5" fmla="*/ 2346194 w 3733775"/>
            <a:gd name="connsiteY5" fmla="*/ 1706565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45577 w 3733775"/>
            <a:gd name="connsiteY2" fmla="*/ 869437 h 1904362"/>
            <a:gd name="connsiteX3" fmla="*/ 1109109 w 3733775"/>
            <a:gd name="connsiteY3" fmla="*/ 1259606 h 1904362"/>
            <a:gd name="connsiteX4" fmla="*/ 1694437 w 3733775"/>
            <a:gd name="connsiteY4" fmla="*/ 1470354 h 1904362"/>
            <a:gd name="connsiteX5" fmla="*/ 2346194 w 3733775"/>
            <a:gd name="connsiteY5" fmla="*/ 1706565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93384 w 3733775"/>
            <a:gd name="connsiteY2" fmla="*/ 883851 h 1904362"/>
            <a:gd name="connsiteX3" fmla="*/ 1109109 w 3733775"/>
            <a:gd name="connsiteY3" fmla="*/ 1259606 h 1904362"/>
            <a:gd name="connsiteX4" fmla="*/ 1694437 w 3733775"/>
            <a:gd name="connsiteY4" fmla="*/ 1470354 h 1904362"/>
            <a:gd name="connsiteX5" fmla="*/ 2346194 w 3733775"/>
            <a:gd name="connsiteY5" fmla="*/ 1706565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36344 w 3754790"/>
            <a:gd name="connsiteY0" fmla="*/ 1637048 h 1659320"/>
            <a:gd name="connsiteX1" fmla="*/ 0 w 3754790"/>
            <a:gd name="connsiteY1" fmla="*/ 0 h 1659320"/>
            <a:gd name="connsiteX2" fmla="*/ 414399 w 3754790"/>
            <a:gd name="connsiteY2" fmla="*/ 638809 h 1659320"/>
            <a:gd name="connsiteX3" fmla="*/ 1130124 w 3754790"/>
            <a:gd name="connsiteY3" fmla="*/ 1014564 h 1659320"/>
            <a:gd name="connsiteX4" fmla="*/ 1715452 w 3754790"/>
            <a:gd name="connsiteY4" fmla="*/ 1225312 h 1659320"/>
            <a:gd name="connsiteX5" fmla="*/ 2367209 w 3754790"/>
            <a:gd name="connsiteY5" fmla="*/ 1461523 h 1659320"/>
            <a:gd name="connsiteX6" fmla="*/ 3044323 w 3754790"/>
            <a:gd name="connsiteY6" fmla="*/ 1581733 h 1659320"/>
            <a:gd name="connsiteX7" fmla="*/ 3754790 w 3754790"/>
            <a:gd name="connsiteY7" fmla="*/ 1659320 h 1659320"/>
            <a:gd name="connsiteX8" fmla="*/ 36344 w 3754790"/>
            <a:gd name="connsiteY8" fmla="*/ 1637048 h 1659320"/>
            <a:gd name="connsiteX0" fmla="*/ 36344 w 3754790"/>
            <a:gd name="connsiteY0" fmla="*/ 1637048 h 1659320"/>
            <a:gd name="connsiteX1" fmla="*/ 0 w 3754790"/>
            <a:gd name="connsiteY1" fmla="*/ 0 h 1659320"/>
            <a:gd name="connsiteX2" fmla="*/ 414399 w 3754790"/>
            <a:gd name="connsiteY2" fmla="*/ 638809 h 1659320"/>
            <a:gd name="connsiteX3" fmla="*/ 1183513 w 3754790"/>
            <a:gd name="connsiteY3" fmla="*/ 1121483 h 1659320"/>
            <a:gd name="connsiteX4" fmla="*/ 1715452 w 3754790"/>
            <a:gd name="connsiteY4" fmla="*/ 1225312 h 1659320"/>
            <a:gd name="connsiteX5" fmla="*/ 2367209 w 3754790"/>
            <a:gd name="connsiteY5" fmla="*/ 1461523 h 1659320"/>
            <a:gd name="connsiteX6" fmla="*/ 3044323 w 3754790"/>
            <a:gd name="connsiteY6" fmla="*/ 1581733 h 1659320"/>
            <a:gd name="connsiteX7" fmla="*/ 3754790 w 3754790"/>
            <a:gd name="connsiteY7" fmla="*/ 1659320 h 1659320"/>
            <a:gd name="connsiteX8" fmla="*/ 36344 w 3754790"/>
            <a:gd name="connsiteY8" fmla="*/ 1637048 h 1659320"/>
            <a:gd name="connsiteX0" fmla="*/ 36344 w 3754790"/>
            <a:gd name="connsiteY0" fmla="*/ 1637048 h 1659320"/>
            <a:gd name="connsiteX1" fmla="*/ 0 w 3754790"/>
            <a:gd name="connsiteY1" fmla="*/ 0 h 1659320"/>
            <a:gd name="connsiteX2" fmla="*/ 414399 w 3754790"/>
            <a:gd name="connsiteY2" fmla="*/ 638809 h 1659320"/>
            <a:gd name="connsiteX3" fmla="*/ 1183513 w 3754790"/>
            <a:gd name="connsiteY3" fmla="*/ 1121483 h 1659320"/>
            <a:gd name="connsiteX4" fmla="*/ 1848917 w 3754790"/>
            <a:gd name="connsiteY4" fmla="*/ 1314411 h 1659320"/>
            <a:gd name="connsiteX5" fmla="*/ 2367209 w 3754790"/>
            <a:gd name="connsiteY5" fmla="*/ 1461523 h 1659320"/>
            <a:gd name="connsiteX6" fmla="*/ 3044323 w 3754790"/>
            <a:gd name="connsiteY6" fmla="*/ 1581733 h 1659320"/>
            <a:gd name="connsiteX7" fmla="*/ 3754790 w 3754790"/>
            <a:gd name="connsiteY7" fmla="*/ 1659320 h 1659320"/>
            <a:gd name="connsiteX8" fmla="*/ 36344 w 3754790"/>
            <a:gd name="connsiteY8" fmla="*/ 1637048 h 1659320"/>
            <a:gd name="connsiteX0" fmla="*/ 109 w 3718555"/>
            <a:gd name="connsiteY0" fmla="*/ 1637048 h 1659320"/>
            <a:gd name="connsiteX1" fmla="*/ 47278 w 3718555"/>
            <a:gd name="connsiteY1" fmla="*/ 0 h 1659320"/>
            <a:gd name="connsiteX2" fmla="*/ 378164 w 3718555"/>
            <a:gd name="connsiteY2" fmla="*/ 638809 h 1659320"/>
            <a:gd name="connsiteX3" fmla="*/ 1147278 w 3718555"/>
            <a:gd name="connsiteY3" fmla="*/ 1121483 h 1659320"/>
            <a:gd name="connsiteX4" fmla="*/ 1812682 w 3718555"/>
            <a:gd name="connsiteY4" fmla="*/ 1314411 h 1659320"/>
            <a:gd name="connsiteX5" fmla="*/ 2330974 w 3718555"/>
            <a:gd name="connsiteY5" fmla="*/ 1461523 h 1659320"/>
            <a:gd name="connsiteX6" fmla="*/ 3008088 w 3718555"/>
            <a:gd name="connsiteY6" fmla="*/ 1581733 h 1659320"/>
            <a:gd name="connsiteX7" fmla="*/ 3718555 w 3718555"/>
            <a:gd name="connsiteY7" fmla="*/ 1659320 h 1659320"/>
            <a:gd name="connsiteX8" fmla="*/ 109 w 3718555"/>
            <a:gd name="connsiteY8" fmla="*/ 1637048 h 1659320"/>
            <a:gd name="connsiteX0" fmla="*/ 15466 w 3733912"/>
            <a:gd name="connsiteY0" fmla="*/ 1620120 h 1642392"/>
            <a:gd name="connsiteX1" fmla="*/ 0 w 3733912"/>
            <a:gd name="connsiteY1" fmla="*/ 0 h 1642392"/>
            <a:gd name="connsiteX2" fmla="*/ 393521 w 3733912"/>
            <a:gd name="connsiteY2" fmla="*/ 621881 h 1642392"/>
            <a:gd name="connsiteX3" fmla="*/ 1162635 w 3733912"/>
            <a:gd name="connsiteY3" fmla="*/ 1104555 h 1642392"/>
            <a:gd name="connsiteX4" fmla="*/ 1828039 w 3733912"/>
            <a:gd name="connsiteY4" fmla="*/ 1297483 h 1642392"/>
            <a:gd name="connsiteX5" fmla="*/ 2346331 w 3733912"/>
            <a:gd name="connsiteY5" fmla="*/ 1444595 h 1642392"/>
            <a:gd name="connsiteX6" fmla="*/ 3023445 w 3733912"/>
            <a:gd name="connsiteY6" fmla="*/ 1564805 h 1642392"/>
            <a:gd name="connsiteX7" fmla="*/ 3733912 w 3733912"/>
            <a:gd name="connsiteY7" fmla="*/ 1642392 h 1642392"/>
            <a:gd name="connsiteX8" fmla="*/ 15466 w 3733912"/>
            <a:gd name="connsiteY8" fmla="*/ 1620120 h 1642392"/>
            <a:gd name="connsiteX0" fmla="*/ 15466 w 3733912"/>
            <a:gd name="connsiteY0" fmla="*/ 1620120 h 1642392"/>
            <a:gd name="connsiteX1" fmla="*/ 0 w 3733912"/>
            <a:gd name="connsiteY1" fmla="*/ 0 h 1642392"/>
            <a:gd name="connsiteX2" fmla="*/ 555864 w 3733912"/>
            <a:gd name="connsiteY2" fmla="*/ 520310 h 1642392"/>
            <a:gd name="connsiteX3" fmla="*/ 1162635 w 3733912"/>
            <a:gd name="connsiteY3" fmla="*/ 1104555 h 1642392"/>
            <a:gd name="connsiteX4" fmla="*/ 1828039 w 3733912"/>
            <a:gd name="connsiteY4" fmla="*/ 1297483 h 1642392"/>
            <a:gd name="connsiteX5" fmla="*/ 2346331 w 3733912"/>
            <a:gd name="connsiteY5" fmla="*/ 1444595 h 1642392"/>
            <a:gd name="connsiteX6" fmla="*/ 3023445 w 3733912"/>
            <a:gd name="connsiteY6" fmla="*/ 1564805 h 1642392"/>
            <a:gd name="connsiteX7" fmla="*/ 3733912 w 3733912"/>
            <a:gd name="connsiteY7" fmla="*/ 1642392 h 1642392"/>
            <a:gd name="connsiteX8" fmla="*/ 15466 w 3733912"/>
            <a:gd name="connsiteY8" fmla="*/ 1620120 h 1642392"/>
            <a:gd name="connsiteX0" fmla="*/ 182 w 3718628"/>
            <a:gd name="connsiteY0" fmla="*/ 1687834 h 1710106"/>
            <a:gd name="connsiteX1" fmla="*/ 25302 w 3718628"/>
            <a:gd name="connsiteY1" fmla="*/ 0 h 1710106"/>
            <a:gd name="connsiteX2" fmla="*/ 540580 w 3718628"/>
            <a:gd name="connsiteY2" fmla="*/ 588024 h 1710106"/>
            <a:gd name="connsiteX3" fmla="*/ 1147351 w 3718628"/>
            <a:gd name="connsiteY3" fmla="*/ 1172269 h 1710106"/>
            <a:gd name="connsiteX4" fmla="*/ 1812755 w 3718628"/>
            <a:gd name="connsiteY4" fmla="*/ 1365197 h 1710106"/>
            <a:gd name="connsiteX5" fmla="*/ 2331047 w 3718628"/>
            <a:gd name="connsiteY5" fmla="*/ 1512309 h 1710106"/>
            <a:gd name="connsiteX6" fmla="*/ 3008161 w 3718628"/>
            <a:gd name="connsiteY6" fmla="*/ 1632519 h 1710106"/>
            <a:gd name="connsiteX7" fmla="*/ 3718628 w 3718628"/>
            <a:gd name="connsiteY7" fmla="*/ 1710106 h 1710106"/>
            <a:gd name="connsiteX8" fmla="*/ 182 w 3718628"/>
            <a:gd name="connsiteY8" fmla="*/ 1687834 h 1710106"/>
            <a:gd name="connsiteX0" fmla="*/ 182 w 3718628"/>
            <a:gd name="connsiteY0" fmla="*/ 1687834 h 1710106"/>
            <a:gd name="connsiteX1" fmla="*/ 25302 w 3718628"/>
            <a:gd name="connsiteY1" fmla="*/ 0 h 1710106"/>
            <a:gd name="connsiteX2" fmla="*/ 540580 w 3718628"/>
            <a:gd name="connsiteY2" fmla="*/ 588024 h 1710106"/>
            <a:gd name="connsiteX3" fmla="*/ 1147351 w 3718628"/>
            <a:gd name="connsiteY3" fmla="*/ 1172269 h 1710106"/>
            <a:gd name="connsiteX4" fmla="*/ 1812755 w 3718628"/>
            <a:gd name="connsiteY4" fmla="*/ 1365197 h 1710106"/>
            <a:gd name="connsiteX5" fmla="*/ 2331047 w 3718628"/>
            <a:gd name="connsiteY5" fmla="*/ 1512309 h 1710106"/>
            <a:gd name="connsiteX6" fmla="*/ 3008161 w 3718628"/>
            <a:gd name="connsiteY6" fmla="*/ 1632519 h 1710106"/>
            <a:gd name="connsiteX7" fmla="*/ 3718628 w 3718628"/>
            <a:gd name="connsiteY7" fmla="*/ 1710106 h 1710106"/>
            <a:gd name="connsiteX8" fmla="*/ 182 w 3718628"/>
            <a:gd name="connsiteY8" fmla="*/ 1687834 h 1710106"/>
            <a:gd name="connsiteX0" fmla="*/ 182 w 3718628"/>
            <a:gd name="connsiteY0" fmla="*/ 1687834 h 1710106"/>
            <a:gd name="connsiteX1" fmla="*/ 25302 w 3718628"/>
            <a:gd name="connsiteY1" fmla="*/ 0 h 1710106"/>
            <a:gd name="connsiteX2" fmla="*/ 540580 w 3718628"/>
            <a:gd name="connsiteY2" fmla="*/ 588024 h 1710106"/>
            <a:gd name="connsiteX3" fmla="*/ 1411159 w 3718628"/>
            <a:gd name="connsiteY3" fmla="*/ 1036841 h 1710106"/>
            <a:gd name="connsiteX4" fmla="*/ 1812755 w 3718628"/>
            <a:gd name="connsiteY4" fmla="*/ 1365197 h 1710106"/>
            <a:gd name="connsiteX5" fmla="*/ 2331047 w 3718628"/>
            <a:gd name="connsiteY5" fmla="*/ 1512309 h 1710106"/>
            <a:gd name="connsiteX6" fmla="*/ 3008161 w 3718628"/>
            <a:gd name="connsiteY6" fmla="*/ 1632519 h 1710106"/>
            <a:gd name="connsiteX7" fmla="*/ 3718628 w 3718628"/>
            <a:gd name="connsiteY7" fmla="*/ 1710106 h 1710106"/>
            <a:gd name="connsiteX8" fmla="*/ 182 w 3718628"/>
            <a:gd name="connsiteY8" fmla="*/ 1687834 h 1710106"/>
            <a:gd name="connsiteX0" fmla="*/ 182 w 3718628"/>
            <a:gd name="connsiteY0" fmla="*/ 1687834 h 1710106"/>
            <a:gd name="connsiteX1" fmla="*/ 25302 w 3718628"/>
            <a:gd name="connsiteY1" fmla="*/ 0 h 1710106"/>
            <a:gd name="connsiteX2" fmla="*/ 540580 w 3718628"/>
            <a:gd name="connsiteY2" fmla="*/ 588024 h 1710106"/>
            <a:gd name="connsiteX3" fmla="*/ 1411159 w 3718628"/>
            <a:gd name="connsiteY3" fmla="*/ 1036841 h 1710106"/>
            <a:gd name="connsiteX4" fmla="*/ 2035977 w 3718628"/>
            <a:gd name="connsiteY4" fmla="*/ 1229770 h 1710106"/>
            <a:gd name="connsiteX5" fmla="*/ 2331047 w 3718628"/>
            <a:gd name="connsiteY5" fmla="*/ 1512309 h 1710106"/>
            <a:gd name="connsiteX6" fmla="*/ 3008161 w 3718628"/>
            <a:gd name="connsiteY6" fmla="*/ 1632519 h 1710106"/>
            <a:gd name="connsiteX7" fmla="*/ 3718628 w 3718628"/>
            <a:gd name="connsiteY7" fmla="*/ 1710106 h 1710106"/>
            <a:gd name="connsiteX8" fmla="*/ 182 w 3718628"/>
            <a:gd name="connsiteY8" fmla="*/ 1687834 h 1710106"/>
            <a:gd name="connsiteX0" fmla="*/ 182 w 3718628"/>
            <a:gd name="connsiteY0" fmla="*/ 1687834 h 1710106"/>
            <a:gd name="connsiteX1" fmla="*/ 25302 w 3718628"/>
            <a:gd name="connsiteY1" fmla="*/ 0 h 1710106"/>
            <a:gd name="connsiteX2" fmla="*/ 540580 w 3718628"/>
            <a:gd name="connsiteY2" fmla="*/ 588024 h 1710106"/>
            <a:gd name="connsiteX3" fmla="*/ 1411159 w 3718628"/>
            <a:gd name="connsiteY3" fmla="*/ 1036841 h 1710106"/>
            <a:gd name="connsiteX4" fmla="*/ 2035977 w 3718628"/>
            <a:gd name="connsiteY4" fmla="*/ 1229770 h 1710106"/>
            <a:gd name="connsiteX5" fmla="*/ 2655735 w 3718628"/>
            <a:gd name="connsiteY5" fmla="*/ 1478452 h 1710106"/>
            <a:gd name="connsiteX6" fmla="*/ 3008161 w 3718628"/>
            <a:gd name="connsiteY6" fmla="*/ 1632519 h 1710106"/>
            <a:gd name="connsiteX7" fmla="*/ 3718628 w 3718628"/>
            <a:gd name="connsiteY7" fmla="*/ 1710106 h 1710106"/>
            <a:gd name="connsiteX8" fmla="*/ 182 w 3718628"/>
            <a:gd name="connsiteY8" fmla="*/ 1687834 h 1710106"/>
            <a:gd name="connsiteX0" fmla="*/ 182 w 3718628"/>
            <a:gd name="connsiteY0" fmla="*/ 1687834 h 1710106"/>
            <a:gd name="connsiteX1" fmla="*/ 25302 w 3718628"/>
            <a:gd name="connsiteY1" fmla="*/ 0 h 1710106"/>
            <a:gd name="connsiteX2" fmla="*/ 540580 w 3718628"/>
            <a:gd name="connsiteY2" fmla="*/ 588024 h 1710106"/>
            <a:gd name="connsiteX3" fmla="*/ 1411159 w 3718628"/>
            <a:gd name="connsiteY3" fmla="*/ 1036841 h 1710106"/>
            <a:gd name="connsiteX4" fmla="*/ 2035977 w 3718628"/>
            <a:gd name="connsiteY4" fmla="*/ 1229770 h 1710106"/>
            <a:gd name="connsiteX5" fmla="*/ 2655735 w 3718628"/>
            <a:gd name="connsiteY5" fmla="*/ 1478452 h 1710106"/>
            <a:gd name="connsiteX6" fmla="*/ 3170506 w 3718628"/>
            <a:gd name="connsiteY6" fmla="*/ 1632520 h 1710106"/>
            <a:gd name="connsiteX7" fmla="*/ 3718628 w 3718628"/>
            <a:gd name="connsiteY7" fmla="*/ 1710106 h 1710106"/>
            <a:gd name="connsiteX8" fmla="*/ 182 w 3718628"/>
            <a:gd name="connsiteY8" fmla="*/ 1687834 h 17101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718628" h="1710106">
              <a:moveTo>
                <a:pt x="182" y="1687834"/>
              </a:moveTo>
              <a:cubicBezTo>
                <a:pt x="-2625" y="1259908"/>
                <a:pt x="28109" y="427926"/>
                <a:pt x="25302" y="0"/>
              </a:cubicBezTo>
              <a:cubicBezTo>
                <a:pt x="313139" y="340143"/>
                <a:pt x="285816" y="275602"/>
                <a:pt x="540580" y="588024"/>
              </a:cubicBezTo>
              <a:cubicBezTo>
                <a:pt x="884064" y="801011"/>
                <a:pt x="1286270" y="1062640"/>
                <a:pt x="1411159" y="1036841"/>
              </a:cubicBezTo>
              <a:cubicBezTo>
                <a:pt x="1629643" y="1116409"/>
                <a:pt x="1882627" y="1251020"/>
                <a:pt x="2035977" y="1229770"/>
              </a:cubicBezTo>
              <a:cubicBezTo>
                <a:pt x="2234289" y="1402151"/>
                <a:pt x="2522547" y="1414129"/>
                <a:pt x="2655735" y="1478452"/>
              </a:cubicBezTo>
              <a:lnTo>
                <a:pt x="3170506" y="1632520"/>
              </a:lnTo>
              <a:lnTo>
                <a:pt x="3718628" y="1710106"/>
              </a:lnTo>
              <a:lnTo>
                <a:pt x="182" y="1687834"/>
              </a:lnTo>
              <a:close/>
            </a:path>
          </a:pathLst>
        </a:custGeom>
        <a:solidFill xmlns:a="http://schemas.openxmlformats.org/drawingml/2006/main">
          <a:schemeClr val="accent2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0.89915</cdr:x>
      <cdr:y>0.59216</cdr:y>
    </cdr:from>
    <cdr:to>
      <cdr:x>0.90295</cdr:x>
      <cdr:y>0.89964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062093" y="2486025"/>
          <a:ext cx="25624" cy="12908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0.3317</cdr:x>
      <cdr:y>0.92525</cdr:y>
    </cdr:from>
    <cdr:to>
      <cdr:x>0.66093</cdr:x>
      <cdr:y>0.98524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236304" y="3884387"/>
          <a:ext cx="2219739" cy="251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Cumulative quantity, Q (TWh)</a:t>
          </a:r>
        </a:p>
      </cdr:txBody>
    </cdr:sp>
  </cdr:relSizeAnchor>
  <cdr:relSizeAnchor xmlns:cdr="http://schemas.openxmlformats.org/drawingml/2006/chartDrawing">
    <cdr:from>
      <cdr:x>1.48323E-7</cdr:x>
      <cdr:y>0.23675</cdr:y>
    </cdr:from>
    <cdr:to>
      <cdr:x>0.04546</cdr:x>
      <cdr:y>0.7497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923492" y="1917406"/>
          <a:ext cx="2153478" cy="306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Cost, C (USD/MWh)</a:t>
          </a:r>
          <a:endParaRPr lang="en-US" sz="1400" b="1" baseline="-25000"/>
        </a:p>
      </cdr:txBody>
    </cdr:sp>
  </cdr:relSizeAnchor>
  <cdr:relSizeAnchor xmlns:cdr="http://schemas.openxmlformats.org/drawingml/2006/chartDrawing">
    <cdr:from>
      <cdr:x>0.36477</cdr:x>
      <cdr:y>0.59195</cdr:y>
    </cdr:from>
    <cdr:to>
      <cdr:x>0.3661</cdr:x>
      <cdr:y>0.89964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2459272" y="2485126"/>
          <a:ext cx="8967" cy="12917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0.35135</cdr:x>
      <cdr:y>0.02507</cdr:y>
    </cdr:from>
    <cdr:to>
      <cdr:x>0.65602</cdr:x>
      <cdr:y>0.18151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2368826" y="105249"/>
          <a:ext cx="2054087" cy="6567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(c)</a:t>
          </a:r>
        </a:p>
        <a:p xmlns:a="http://schemas.openxmlformats.org/drawingml/2006/main">
          <a:pPr algn="ctr"/>
          <a:r>
            <a:rPr lang="en-US" sz="1400" b="1">
              <a:effectLst/>
              <a:latin typeface="+mn-lt"/>
              <a:ea typeface="+mn-ea"/>
              <a:cs typeface="+mn-cs"/>
            </a:rPr>
            <a:t>Learning-by-doing with </a:t>
          </a:r>
          <a:r>
            <a:rPr lang="en-US" sz="1400" b="1"/>
            <a:t>curve-shifting R&amp;D</a:t>
          </a:r>
        </a:p>
      </cdr:txBody>
    </cdr:sp>
  </cdr:relSizeAnchor>
  <cdr:relSizeAnchor xmlns:cdr="http://schemas.openxmlformats.org/drawingml/2006/chartDrawing">
    <cdr:from>
      <cdr:x>0.10667</cdr:x>
      <cdr:y>0.19523</cdr:y>
    </cdr:from>
    <cdr:to>
      <cdr:x>0.10677</cdr:x>
      <cdr:y>0.36973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715314" y="819634"/>
          <a:ext cx="670" cy="73258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0.2107</cdr:x>
      <cdr:y>0.36603</cdr:y>
    </cdr:from>
    <cdr:to>
      <cdr:x>0.21165</cdr:x>
      <cdr:y>0.51276</cdr:y>
    </cdr:to>
    <cdr:cxnSp macro="">
      <cdr:nvCxnSpPr>
        <cdr:cNvPr id="28" name="Straight Connector 27"/>
        <cdr:cNvCxnSpPr/>
      </cdr:nvCxnSpPr>
      <cdr:spPr>
        <a:xfrm xmlns:a="http://schemas.openxmlformats.org/drawingml/2006/main">
          <a:off x="1412846" y="1536689"/>
          <a:ext cx="6379" cy="61596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0.15497</cdr:x>
      <cdr:y>0.30358</cdr:y>
    </cdr:from>
    <cdr:to>
      <cdr:x>0.15625</cdr:x>
      <cdr:y>0.4583</cdr:y>
    </cdr:to>
    <cdr:cxnSp macro="">
      <cdr:nvCxnSpPr>
        <cdr:cNvPr id="32" name="Straight Connector 31"/>
        <cdr:cNvCxnSpPr/>
      </cdr:nvCxnSpPr>
      <cdr:spPr>
        <a:xfrm xmlns:a="http://schemas.openxmlformats.org/drawingml/2006/main">
          <a:off x="1039170" y="1274497"/>
          <a:ext cx="8580" cy="64955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0.09337</cdr:x>
      <cdr:y>0.45968</cdr:y>
    </cdr:from>
    <cdr:to>
      <cdr:x>0.21744</cdr:x>
      <cdr:y>0.58792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629478" y="1929848"/>
          <a:ext cx="836543" cy="538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>
              <a:solidFill>
                <a:sysClr val="windowText" lastClr="000000"/>
              </a:solidFill>
            </a:rPr>
            <a:t>Learning Investment</a:t>
          </a:r>
        </a:p>
        <a:p xmlns:a="http://schemas.openxmlformats.org/drawingml/2006/main">
          <a:r>
            <a:rPr lang="en-US" sz="1050" b="1">
              <a:solidFill>
                <a:sysClr val="windowText" lastClr="000000"/>
              </a:solidFill>
            </a:rPr>
            <a:t>= 6 bn USD</a:t>
          </a:r>
        </a:p>
      </cdr:txBody>
    </cdr:sp>
  </cdr:relSizeAnchor>
  <cdr:relSizeAnchor xmlns:cdr="http://schemas.openxmlformats.org/drawingml/2006/chartDrawing">
    <cdr:from>
      <cdr:x>0.03317</cdr:x>
      <cdr:y>0.08697</cdr:y>
    </cdr:from>
    <cdr:to>
      <cdr:x>0.09705</cdr:x>
      <cdr:y>0.14402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223630" y="365119"/>
          <a:ext cx="430696" cy="23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+mj-lt"/>
            </a:rPr>
            <a:t>125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0.05161</cdr:x>
      <cdr:y>0.31612</cdr:y>
    </cdr:from>
    <cdr:to>
      <cdr:x>0.09138</cdr:x>
      <cdr:y>0.3709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347957" y="1327136"/>
          <a:ext cx="268131" cy="229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latin typeface="+mj-lt"/>
            </a:rPr>
            <a:t>88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0.04309</cdr:x>
      <cdr:y>0.55889</cdr:y>
    </cdr:from>
    <cdr:to>
      <cdr:x>0.09582</cdr:x>
      <cdr:y>0.61357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290515" y="2346334"/>
          <a:ext cx="355528" cy="229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+mj-lt"/>
            </a:rPr>
            <a:t>50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0.05902</cdr:x>
      <cdr:y>0.90585</cdr:y>
    </cdr:from>
    <cdr:to>
      <cdr:x>0.12285</cdr:x>
      <cdr:y>0.96475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7915" y="3802943"/>
          <a:ext cx="430346" cy="24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+mj-lt"/>
            </a:rPr>
            <a:t>134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0.36166</cdr:x>
      <cdr:y>0.84045</cdr:y>
    </cdr:from>
    <cdr:to>
      <cdr:x>0.42875</cdr:x>
      <cdr:y>0.90169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2438304" y="3528391"/>
          <a:ext cx="452326" cy="257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+mj-lt"/>
            </a:rPr>
            <a:t>594</a:t>
          </a:r>
          <a:endParaRPr lang="en-US" sz="1200" b="1"/>
        </a:p>
      </cdr:txBody>
    </cdr:sp>
  </cdr:relSizeAnchor>
  <cdr:relSizeAnchor xmlns:cdr="http://schemas.openxmlformats.org/drawingml/2006/chartDrawing">
    <cdr:from>
      <cdr:x>0.85872</cdr:x>
      <cdr:y>0.9089</cdr:y>
    </cdr:from>
    <cdr:to>
      <cdr:x>0.94226</cdr:x>
      <cdr:y>0.96672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789543" y="3815747"/>
          <a:ext cx="563217" cy="242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i="0">
              <a:latin typeface="+mj-lt"/>
            </a:rPr>
            <a:t>1532</a:t>
          </a:r>
          <a:endParaRPr lang="en-US" sz="12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0.09388</cdr:x>
      <cdr:y>0.12727</cdr:y>
    </cdr:from>
    <cdr:to>
      <cdr:x>0.8892</cdr:x>
      <cdr:y>0.59298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629498" y="533399"/>
          <a:ext cx="5333152" cy="1951763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71789 w 3319267"/>
            <a:gd name="connsiteY3" fmla="*/ 1147659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733775"/>
            <a:gd name="connsiteY0" fmla="*/ 1882090 h 1882090"/>
            <a:gd name="connsiteX1" fmla="*/ 0 w 3733775"/>
            <a:gd name="connsiteY1" fmla="*/ 0 h 1882090"/>
            <a:gd name="connsiteX2" fmla="*/ 663390 w 3733775"/>
            <a:gd name="connsiteY2" fmla="*/ 884603 h 1882090"/>
            <a:gd name="connsiteX3" fmla="*/ 1071789 w 3733775"/>
            <a:gd name="connsiteY3" fmla="*/ 1147659 h 1882090"/>
            <a:gd name="connsiteX4" fmla="*/ 1472626 w 3733775"/>
            <a:gd name="connsiteY4" fmla="*/ 1347158 h 1882090"/>
            <a:gd name="connsiteX5" fmla="*/ 2017278 w 3733775"/>
            <a:gd name="connsiteY5" fmla="*/ 1528078 h 1882090"/>
            <a:gd name="connsiteX6" fmla="*/ 2549605 w 3733775"/>
            <a:gd name="connsiteY6" fmla="*/ 1697952 h 1882090"/>
            <a:gd name="connsiteX7" fmla="*/ 3733775 w 3733775"/>
            <a:gd name="connsiteY7" fmla="*/ 1870953 h 1882090"/>
            <a:gd name="connsiteX8" fmla="*/ 15329 w 3733775"/>
            <a:gd name="connsiteY8" fmla="*/ 1882090 h 1882090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63390 w 3733775"/>
            <a:gd name="connsiteY2" fmla="*/ 884603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023308 w 6028933"/>
            <a:gd name="connsiteY6" fmla="*/ 1826775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413421 w 6028933"/>
            <a:gd name="connsiteY6" fmla="*/ 1704251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413421 w 6028933"/>
            <a:gd name="connsiteY6" fmla="*/ 1704251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2260051 w 6028933"/>
            <a:gd name="connsiteY5" fmla="*/ 1735317 h 1910488"/>
            <a:gd name="connsiteX6" fmla="*/ 3413421 w 6028933"/>
            <a:gd name="connsiteY6" fmla="*/ 1704251 h 1910488"/>
            <a:gd name="connsiteX7" fmla="*/ 6028933 w 6028933"/>
            <a:gd name="connsiteY7" fmla="*/ 1910488 h 1910488"/>
            <a:gd name="connsiteX8" fmla="*/ 15329 w 6028933"/>
            <a:gd name="connsiteY8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2023305 w 6028933"/>
            <a:gd name="connsiteY4" fmla="*/ 167201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1012575 w 6028933"/>
            <a:gd name="connsiteY3" fmla="*/ 1410907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54821 w 6028933"/>
            <a:gd name="connsiteY2" fmla="*/ 76138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28813 w 6028933"/>
            <a:gd name="connsiteY2" fmla="*/ 246785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228813 w 6028933"/>
            <a:gd name="connsiteY2" fmla="*/ 246785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371853 w 6028933"/>
            <a:gd name="connsiteY2" fmla="*/ 54084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371853 w 6028933"/>
            <a:gd name="connsiteY2" fmla="*/ 54084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1882090 h 1910488"/>
            <a:gd name="connsiteX1" fmla="*/ 0 w 6028933"/>
            <a:gd name="connsiteY1" fmla="*/ 0 h 1910488"/>
            <a:gd name="connsiteX2" fmla="*/ 371853 w 6028933"/>
            <a:gd name="connsiteY2" fmla="*/ 540840 h 1910488"/>
            <a:gd name="connsiteX3" fmla="*/ 817518 w 6028933"/>
            <a:gd name="connsiteY3" fmla="*/ 1024959 h 1910488"/>
            <a:gd name="connsiteX4" fmla="*/ 1854255 w 6028933"/>
            <a:gd name="connsiteY4" fmla="*/ 1433098 h 1910488"/>
            <a:gd name="connsiteX5" fmla="*/ 3413421 w 6028933"/>
            <a:gd name="connsiteY5" fmla="*/ 1704251 h 1910488"/>
            <a:gd name="connsiteX6" fmla="*/ 6028933 w 6028933"/>
            <a:gd name="connsiteY6" fmla="*/ 1910488 h 1910488"/>
            <a:gd name="connsiteX7" fmla="*/ 15329 w 6028933"/>
            <a:gd name="connsiteY7" fmla="*/ 1882090 h 1910488"/>
            <a:gd name="connsiteX0" fmla="*/ 15329 w 6028933"/>
            <a:gd name="connsiteY0" fmla="*/ 2494705 h 2523103"/>
            <a:gd name="connsiteX1" fmla="*/ 0 w 6028933"/>
            <a:gd name="connsiteY1" fmla="*/ 0 h 2523103"/>
            <a:gd name="connsiteX2" fmla="*/ 371853 w 6028933"/>
            <a:gd name="connsiteY2" fmla="*/ 1153455 h 2523103"/>
            <a:gd name="connsiteX3" fmla="*/ 817518 w 6028933"/>
            <a:gd name="connsiteY3" fmla="*/ 1637574 h 2523103"/>
            <a:gd name="connsiteX4" fmla="*/ 1854255 w 6028933"/>
            <a:gd name="connsiteY4" fmla="*/ 2045713 h 2523103"/>
            <a:gd name="connsiteX5" fmla="*/ 3413421 w 6028933"/>
            <a:gd name="connsiteY5" fmla="*/ 2316866 h 2523103"/>
            <a:gd name="connsiteX6" fmla="*/ 6028933 w 6028933"/>
            <a:gd name="connsiteY6" fmla="*/ 2523103 h 2523103"/>
            <a:gd name="connsiteX7" fmla="*/ 15329 w 6028933"/>
            <a:gd name="connsiteY7" fmla="*/ 2494705 h 2523103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378355 w 6035435"/>
            <a:gd name="connsiteY2" fmla="*/ 1128951 h 2498599"/>
            <a:gd name="connsiteX3" fmla="*/ 824020 w 6035435"/>
            <a:gd name="connsiteY3" fmla="*/ 1613070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378355 w 6035435"/>
            <a:gd name="connsiteY2" fmla="*/ 1128951 h 2498599"/>
            <a:gd name="connsiteX3" fmla="*/ 824020 w 6035435"/>
            <a:gd name="connsiteY3" fmla="*/ 1613070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616688 w 6035435"/>
            <a:gd name="connsiteY2" fmla="*/ 994820 h 2498599"/>
            <a:gd name="connsiteX3" fmla="*/ 824020 w 6035435"/>
            <a:gd name="connsiteY3" fmla="*/ 1613070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616688 w 6035435"/>
            <a:gd name="connsiteY2" fmla="*/ 994820 h 2498599"/>
            <a:gd name="connsiteX3" fmla="*/ 824020 w 6035435"/>
            <a:gd name="connsiteY3" fmla="*/ 1613070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616688 w 6035435"/>
            <a:gd name="connsiteY2" fmla="*/ 994820 h 2498599"/>
            <a:gd name="connsiteX3" fmla="*/ 1207426 w 6035435"/>
            <a:gd name="connsiteY3" fmla="*/ 1466746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616688 w 6035435"/>
            <a:gd name="connsiteY2" fmla="*/ 994820 h 2498599"/>
            <a:gd name="connsiteX3" fmla="*/ 1207426 w 6035435"/>
            <a:gd name="connsiteY3" fmla="*/ 1466746 h 2498599"/>
            <a:gd name="connsiteX4" fmla="*/ 1860757 w 6035435"/>
            <a:gd name="connsiteY4" fmla="*/ 2021209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616688 w 6035435"/>
            <a:gd name="connsiteY2" fmla="*/ 994820 h 2498599"/>
            <a:gd name="connsiteX3" fmla="*/ 1207426 w 6035435"/>
            <a:gd name="connsiteY3" fmla="*/ 1466746 h 2498599"/>
            <a:gd name="connsiteX4" fmla="*/ 2285612 w 6035435"/>
            <a:gd name="connsiteY4" fmla="*/ 1899272 h 2498599"/>
            <a:gd name="connsiteX5" fmla="*/ 3419923 w 6035435"/>
            <a:gd name="connsiteY5" fmla="*/ 2292362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6035435"/>
            <a:gd name="connsiteY0" fmla="*/ 2470201 h 2498599"/>
            <a:gd name="connsiteX1" fmla="*/ 0 w 6035435"/>
            <a:gd name="connsiteY1" fmla="*/ 0 h 2498599"/>
            <a:gd name="connsiteX2" fmla="*/ 616688 w 6035435"/>
            <a:gd name="connsiteY2" fmla="*/ 994820 h 2498599"/>
            <a:gd name="connsiteX3" fmla="*/ 1207426 w 6035435"/>
            <a:gd name="connsiteY3" fmla="*/ 1466746 h 2498599"/>
            <a:gd name="connsiteX4" fmla="*/ 2285612 w 6035435"/>
            <a:gd name="connsiteY4" fmla="*/ 1899272 h 2498599"/>
            <a:gd name="connsiteX5" fmla="*/ 3606445 w 6035435"/>
            <a:gd name="connsiteY5" fmla="*/ 2182618 h 2498599"/>
            <a:gd name="connsiteX6" fmla="*/ 6035435 w 6035435"/>
            <a:gd name="connsiteY6" fmla="*/ 2498599 h 2498599"/>
            <a:gd name="connsiteX7" fmla="*/ 21831 w 6035435"/>
            <a:gd name="connsiteY7" fmla="*/ 2470201 h 2498599"/>
            <a:gd name="connsiteX0" fmla="*/ 21831 w 5776377"/>
            <a:gd name="connsiteY0" fmla="*/ 2470201 h 2486405"/>
            <a:gd name="connsiteX1" fmla="*/ 0 w 5776377"/>
            <a:gd name="connsiteY1" fmla="*/ 0 h 2486405"/>
            <a:gd name="connsiteX2" fmla="*/ 616688 w 5776377"/>
            <a:gd name="connsiteY2" fmla="*/ 994820 h 2486405"/>
            <a:gd name="connsiteX3" fmla="*/ 1207426 w 5776377"/>
            <a:gd name="connsiteY3" fmla="*/ 1466746 h 2486405"/>
            <a:gd name="connsiteX4" fmla="*/ 2285612 w 5776377"/>
            <a:gd name="connsiteY4" fmla="*/ 1899272 h 2486405"/>
            <a:gd name="connsiteX5" fmla="*/ 3606445 w 5776377"/>
            <a:gd name="connsiteY5" fmla="*/ 2182618 h 2486405"/>
            <a:gd name="connsiteX6" fmla="*/ 5776377 w 5776377"/>
            <a:gd name="connsiteY6" fmla="*/ 2486405 h 2486405"/>
            <a:gd name="connsiteX7" fmla="*/ 21831 w 5776377"/>
            <a:gd name="connsiteY7" fmla="*/ 2470201 h 2486405"/>
            <a:gd name="connsiteX0" fmla="*/ 361 w 5754907"/>
            <a:gd name="connsiteY0" fmla="*/ 2482395 h 2498599"/>
            <a:gd name="connsiteX1" fmla="*/ 9365 w 5754907"/>
            <a:gd name="connsiteY1" fmla="*/ 0 h 2498599"/>
            <a:gd name="connsiteX2" fmla="*/ 595218 w 5754907"/>
            <a:gd name="connsiteY2" fmla="*/ 1007014 h 2498599"/>
            <a:gd name="connsiteX3" fmla="*/ 1185956 w 5754907"/>
            <a:gd name="connsiteY3" fmla="*/ 1478940 h 2498599"/>
            <a:gd name="connsiteX4" fmla="*/ 2264142 w 5754907"/>
            <a:gd name="connsiteY4" fmla="*/ 1911466 h 2498599"/>
            <a:gd name="connsiteX5" fmla="*/ 3584975 w 5754907"/>
            <a:gd name="connsiteY5" fmla="*/ 2194812 h 2498599"/>
            <a:gd name="connsiteX6" fmla="*/ 5754907 w 5754907"/>
            <a:gd name="connsiteY6" fmla="*/ 2498599 h 2498599"/>
            <a:gd name="connsiteX7" fmla="*/ 361 w 5754907"/>
            <a:gd name="connsiteY7" fmla="*/ 2482395 h 24985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5754907" h="2498599">
              <a:moveTo>
                <a:pt x="361" y="2482395"/>
              </a:moveTo>
              <a:cubicBezTo>
                <a:pt x="-2446" y="2054469"/>
                <a:pt x="12172" y="427926"/>
                <a:pt x="9365" y="0"/>
              </a:cubicBezTo>
              <a:cubicBezTo>
                <a:pt x="121855" y="372550"/>
                <a:pt x="333359" y="786074"/>
                <a:pt x="595218" y="1007014"/>
              </a:cubicBezTo>
              <a:cubicBezTo>
                <a:pt x="749772" y="1213533"/>
                <a:pt x="1009052" y="1339157"/>
                <a:pt x="1185956" y="1478940"/>
              </a:cubicBezTo>
              <a:cubicBezTo>
                <a:pt x="1410942" y="1613643"/>
                <a:pt x="1941744" y="1810194"/>
                <a:pt x="2264142" y="1911466"/>
              </a:cubicBezTo>
              <a:cubicBezTo>
                <a:pt x="2783864" y="2044733"/>
                <a:pt x="3065253" y="2104428"/>
                <a:pt x="3584975" y="2194812"/>
              </a:cubicBezTo>
              <a:lnTo>
                <a:pt x="5754907" y="2498599"/>
              </a:lnTo>
              <a:lnTo>
                <a:pt x="361" y="2482395"/>
              </a:lnTo>
              <a:close/>
            </a:path>
          </a:pathLst>
        </a:custGeom>
        <a:solidFill xmlns:a="http://schemas.openxmlformats.org/drawingml/2006/main">
          <a:schemeClr val="accent2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0.90057</cdr:x>
      <cdr:y>0.59091</cdr:y>
    </cdr:from>
    <cdr:to>
      <cdr:x>0.90295</cdr:x>
      <cdr:y>0.90119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071669" y="2476500"/>
          <a:ext cx="16048" cy="13003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0.33047</cdr:x>
      <cdr:y>0.90809</cdr:y>
    </cdr:from>
    <cdr:to>
      <cdr:x>0.67199</cdr:x>
      <cdr:y>0.96808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228022" y="3805804"/>
          <a:ext cx="2302566" cy="251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Cumulative quantity,</a:t>
          </a:r>
          <a:r>
            <a:rPr lang="en-US" sz="1400" b="1" baseline="0"/>
            <a:t> Q</a:t>
          </a:r>
          <a:r>
            <a:rPr lang="en-US" sz="1400" b="1"/>
            <a:t> (TWh)</a:t>
          </a:r>
        </a:p>
      </cdr:txBody>
    </cdr:sp>
  </cdr:relSizeAnchor>
  <cdr:relSizeAnchor xmlns:cdr="http://schemas.openxmlformats.org/drawingml/2006/chartDrawing">
    <cdr:from>
      <cdr:x>0.00606</cdr:x>
      <cdr:y>0.27668</cdr:y>
    </cdr:from>
    <cdr:to>
      <cdr:x>0.05152</cdr:x>
      <cdr:y>0.72925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-754255" y="1954676"/>
          <a:ext cx="1896719" cy="306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Cost, C (USD/MWh)</a:t>
          </a:r>
          <a:endParaRPr lang="en-US" sz="1400" b="1" baseline="-25000"/>
        </a:p>
      </cdr:txBody>
    </cdr:sp>
  </cdr:relSizeAnchor>
  <cdr:relSizeAnchor xmlns:cdr="http://schemas.openxmlformats.org/drawingml/2006/chartDrawing">
    <cdr:from>
      <cdr:x>0.09677</cdr:x>
      <cdr:y>0.34984</cdr:y>
    </cdr:from>
    <cdr:to>
      <cdr:x>0.24079</cdr:x>
      <cdr:y>0.52372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2428" y="1466179"/>
          <a:ext cx="970963" cy="728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= 26 bn USD</a:t>
          </a:r>
        </a:p>
      </cdr:txBody>
    </cdr:sp>
  </cdr:relSizeAnchor>
  <cdr:relSizeAnchor xmlns:cdr="http://schemas.openxmlformats.org/drawingml/2006/chartDrawing">
    <cdr:from>
      <cdr:x>0.34889</cdr:x>
      <cdr:y>0</cdr:y>
    </cdr:from>
    <cdr:to>
      <cdr:x>0.64865</cdr:x>
      <cdr:y>0.12451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352261" y="0"/>
          <a:ext cx="2020955" cy="5218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(a)</a:t>
          </a:r>
        </a:p>
        <a:p xmlns:a="http://schemas.openxmlformats.org/drawingml/2006/main">
          <a:pPr algn="ctr"/>
          <a:r>
            <a:rPr lang="en-US" sz="1400" b="1"/>
            <a:t>Learning</a:t>
          </a:r>
          <a:r>
            <a:rPr lang="en-US" sz="1400" b="1" baseline="0"/>
            <a:t>-by-doing</a:t>
          </a:r>
          <a:endParaRPr lang="en-US" sz="1400" b="1"/>
        </a:p>
      </cdr:txBody>
    </cdr:sp>
  </cdr:relSizeAnchor>
  <cdr:relSizeAnchor xmlns:cdr="http://schemas.openxmlformats.org/drawingml/2006/chartDrawing">
    <cdr:from>
      <cdr:x>0.04668</cdr:x>
      <cdr:y>0.08689</cdr:y>
    </cdr:from>
    <cdr:to>
      <cdr:x>0.08927</cdr:x>
      <cdr:y>0.14625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14739" y="364156"/>
          <a:ext cx="287124" cy="248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latin typeface="+mj-lt"/>
            </a:rPr>
            <a:t>125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0.04601</cdr:x>
      <cdr:y>0.55076</cdr:y>
    </cdr:from>
    <cdr:to>
      <cdr:x>0.10442</cdr:x>
      <cdr:y>0.60474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10201" y="2308235"/>
          <a:ext cx="393820" cy="22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+mj-lt"/>
            </a:rPr>
            <a:t>50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0.06012</cdr:x>
      <cdr:y>0.89772</cdr:y>
    </cdr:from>
    <cdr:to>
      <cdr:x>0.12285</cdr:x>
      <cdr:y>0.95652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05332" y="3762338"/>
          <a:ext cx="422929" cy="246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+mj-lt"/>
            </a:rPr>
            <a:t>134</a:t>
          </a:r>
          <a:endParaRPr lang="en-US" sz="1200" b="1" baseline="-25000"/>
        </a:p>
      </cdr:txBody>
    </cdr:sp>
  </cdr:relSizeAnchor>
  <cdr:relSizeAnchor xmlns:cdr="http://schemas.openxmlformats.org/drawingml/2006/chartDrawing">
    <cdr:from>
      <cdr:x>0.86384</cdr:x>
      <cdr:y>0.90521</cdr:y>
    </cdr:from>
    <cdr:to>
      <cdr:x>0.93735</cdr:x>
      <cdr:y>0.96682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824062" y="3793734"/>
          <a:ext cx="495567" cy="258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i="0">
              <a:latin typeface="+mj-lt"/>
            </a:rPr>
            <a:t>1532</a:t>
          </a:r>
          <a:endParaRPr lang="en-US" sz="1200" b="1"/>
        </a:p>
      </cdr:txBody>
    </cdr:sp>
  </cdr:relSizeAnchor>
  <cdr:relSizeAnchor xmlns:cdr="http://schemas.openxmlformats.org/drawingml/2006/chartDrawing">
    <cdr:from>
      <cdr:x>0.73606</cdr:x>
      <cdr:y>0.84179</cdr:y>
    </cdr:from>
    <cdr:to>
      <cdr:x>0.91646</cdr:x>
      <cdr:y>0.9034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62554" y="3527947"/>
          <a:ext cx="1216265" cy="258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critical quantity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1</xdr:rowOff>
    </xdr:from>
    <xdr:to>
      <xdr:col>26</xdr:col>
      <xdr:colOff>593271</xdr:colOff>
      <xdr:row>27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114299</xdr:rowOff>
    </xdr:from>
    <xdr:to>
      <xdr:col>27</xdr:col>
      <xdr:colOff>476250</xdr:colOff>
      <xdr:row>55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0.87978</cdr:x>
      <cdr:y>0.64315</cdr:y>
    </cdr:from>
    <cdr:to>
      <cdr:x>0.96378</cdr:x>
      <cdr:y>0.69466</cdr:y>
    </cdr:to>
    <cdr:sp macro="" textlink="">
      <cdr:nvSpPr>
        <cdr:cNvPr id="2" name="TextBox 1"/>
        <cdr:cNvSpPr txBox="1"/>
      </cdr:nvSpPr>
      <cdr:spPr>
        <a:xfrm xmlns:a="http://schemas.openxmlformats.org/drawingml/2006/main" rot="20733611">
          <a:off x="5872219" y="3118943"/>
          <a:ext cx="560667" cy="2497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2</a:t>
          </a:r>
        </a:p>
      </cdr:txBody>
    </cdr:sp>
  </cdr:relSizeAnchor>
  <cdr:relSizeAnchor xmlns:cdr="http://schemas.openxmlformats.org/drawingml/2006/chartDrawing">
    <cdr:from>
      <cdr:x>0.32506</cdr:x>
      <cdr:y>0.03859</cdr:y>
    </cdr:from>
    <cdr:to>
      <cdr:x>0.52214</cdr:x>
      <cdr:y>0.08782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166655" y="187094"/>
          <a:ext cx="1313628" cy="23869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50000"/>
          </a:schemeClr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Offshore wind</a:t>
          </a:r>
        </a:p>
      </cdr:txBody>
    </cdr:sp>
  </cdr:relSizeAnchor>
  <cdr:relSizeAnchor xmlns:cdr="http://schemas.openxmlformats.org/drawingml/2006/chartDrawing">
    <cdr:from>
      <cdr:x>0.77079</cdr:x>
      <cdr:y>0.43544</cdr:y>
    </cdr:from>
    <cdr:to>
      <cdr:x>0.89285</cdr:x>
      <cdr:y>0.48468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177010" y="2131240"/>
          <a:ext cx="819814" cy="2410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50000"/>
          </a:schemeClr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Solar PV</a:t>
          </a:r>
        </a:p>
      </cdr:txBody>
    </cdr:sp>
  </cdr:relSizeAnchor>
  <cdr:relSizeAnchor xmlns:cdr="http://schemas.openxmlformats.org/drawingml/2006/chartDrawing">
    <cdr:from>
      <cdr:x>0.4993</cdr:x>
      <cdr:y>0.56563</cdr:y>
    </cdr:from>
    <cdr:to>
      <cdr:x>0.61904</cdr:x>
      <cdr:y>0.61936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328090" y="2742498"/>
          <a:ext cx="798122" cy="26051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50000"/>
          </a:schemeClr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Biomass</a:t>
          </a:r>
        </a:p>
      </cdr:txBody>
    </cdr:sp>
  </cdr:relSizeAnchor>
  <cdr:relSizeAnchor xmlns:cdr="http://schemas.openxmlformats.org/drawingml/2006/chartDrawing">
    <cdr:from>
      <cdr:x>0.88956</cdr:x>
      <cdr:y>0.42851</cdr:y>
    </cdr:from>
    <cdr:to>
      <cdr:x>0.89849</cdr:x>
      <cdr:y>0.44178</cdr:y>
    </cdr:to>
    <cdr:sp macro="" textlink="">
      <cdr:nvSpPr>
        <cdr:cNvPr id="10" name="Oval 9"/>
        <cdr:cNvSpPr/>
      </cdr:nvSpPr>
      <cdr:spPr>
        <a:xfrm xmlns:a="http://schemas.openxmlformats.org/drawingml/2006/main">
          <a:off x="5929313" y="2077641"/>
          <a:ext cx="59532" cy="6436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lumMod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0.88433</cdr:x>
      <cdr:y>0.3343</cdr:y>
    </cdr:from>
    <cdr:to>
      <cdr:x>0.97598</cdr:x>
      <cdr:y>0.39015</cdr:y>
    </cdr:to>
    <cdr:sp macro="" textlink="">
      <cdr:nvSpPr>
        <cdr:cNvPr id="12" name="TextBox 1"/>
        <cdr:cNvSpPr txBox="1"/>
      </cdr:nvSpPr>
      <cdr:spPr>
        <a:xfrm xmlns:a="http://schemas.openxmlformats.org/drawingml/2006/main" rot="18926073">
          <a:off x="5902539" y="1621185"/>
          <a:ext cx="611772" cy="2708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4</a:t>
          </a:r>
        </a:p>
      </cdr:txBody>
    </cdr:sp>
  </cdr:relSizeAnchor>
  <cdr:relSizeAnchor xmlns:cdr="http://schemas.openxmlformats.org/drawingml/2006/chartDrawing">
    <cdr:from>
      <cdr:x>0.83238</cdr:x>
      <cdr:y>0.04664</cdr:y>
    </cdr:from>
    <cdr:to>
      <cdr:x>0.87735</cdr:x>
      <cdr:y>0.18344</cdr:y>
    </cdr:to>
    <cdr:sp macro="" textlink="">
      <cdr:nvSpPr>
        <cdr:cNvPr id="13" name="TextBox 1"/>
        <cdr:cNvSpPr txBox="1"/>
      </cdr:nvSpPr>
      <cdr:spPr>
        <a:xfrm xmlns:a="http://schemas.openxmlformats.org/drawingml/2006/main" rot="17849372">
          <a:off x="5348613" y="408130"/>
          <a:ext cx="662997" cy="298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8</a:t>
          </a:r>
        </a:p>
      </cdr:txBody>
    </cdr:sp>
  </cdr:relSizeAnchor>
  <cdr:relSizeAnchor xmlns:cdr="http://schemas.openxmlformats.org/drawingml/2006/chartDrawing">
    <cdr:from>
      <cdr:x>0.71213</cdr:x>
      <cdr:y>0.03729</cdr:y>
    </cdr:from>
    <cdr:to>
      <cdr:x>0.75446</cdr:x>
      <cdr:y>0.17508</cdr:y>
    </cdr:to>
    <cdr:sp macro="" textlink="">
      <cdr:nvSpPr>
        <cdr:cNvPr id="14" name="TextBox 1"/>
        <cdr:cNvSpPr txBox="1"/>
      </cdr:nvSpPr>
      <cdr:spPr>
        <a:xfrm xmlns:a="http://schemas.openxmlformats.org/drawingml/2006/main" rot="17703860">
          <a:off x="4538421" y="373992"/>
          <a:ext cx="667794" cy="281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16</a:t>
          </a:r>
        </a:p>
      </cdr:txBody>
    </cdr:sp>
  </cdr:relSizeAnchor>
  <cdr:relSizeAnchor xmlns:cdr="http://schemas.openxmlformats.org/drawingml/2006/chartDrawing">
    <cdr:from>
      <cdr:x>0.6248</cdr:x>
      <cdr:y>0.03219</cdr:y>
    </cdr:from>
    <cdr:to>
      <cdr:x>0.66929</cdr:x>
      <cdr:y>0.17042</cdr:y>
    </cdr:to>
    <cdr:sp macro="" textlink="">
      <cdr:nvSpPr>
        <cdr:cNvPr id="15" name="TextBox 1"/>
        <cdr:cNvSpPr txBox="1"/>
      </cdr:nvSpPr>
      <cdr:spPr>
        <a:xfrm xmlns:a="http://schemas.openxmlformats.org/drawingml/2006/main" rot="17577036">
          <a:off x="3964270" y="343162"/>
          <a:ext cx="669952" cy="2956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32</a:t>
          </a:r>
        </a:p>
      </cdr:txBody>
    </cdr:sp>
  </cdr:relSizeAnchor>
  <cdr:relSizeAnchor xmlns:cdr="http://schemas.openxmlformats.org/drawingml/2006/chartDrawing">
    <cdr:from>
      <cdr:x>0.16255</cdr:x>
      <cdr:y>0.47303</cdr:y>
    </cdr:from>
    <cdr:to>
      <cdr:x>0.17148</cdr:x>
      <cdr:y>0.48621</cdr:y>
    </cdr:to>
    <cdr:sp macro="" textlink="">
      <cdr:nvSpPr>
        <cdr:cNvPr id="16" name="Oval 15"/>
        <cdr:cNvSpPr/>
      </cdr:nvSpPr>
      <cdr:spPr>
        <a:xfrm xmlns:a="http://schemas.openxmlformats.org/drawingml/2006/main">
          <a:off x="1083470" y="2293529"/>
          <a:ext cx="59532" cy="63908"/>
        </a:xfrm>
        <a:prstGeom xmlns:a="http://schemas.openxmlformats.org/drawingml/2006/main" prst="ellipse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0.53151</cdr:x>
      <cdr:y>0.47516</cdr:y>
    </cdr:from>
    <cdr:to>
      <cdr:x>0.54133</cdr:x>
      <cdr:y>0.48867</cdr:y>
    </cdr:to>
    <cdr:sp macro="" textlink="">
      <cdr:nvSpPr>
        <cdr:cNvPr id="17" name="Oval 16"/>
        <cdr:cNvSpPr/>
      </cdr:nvSpPr>
      <cdr:spPr>
        <a:xfrm xmlns:a="http://schemas.openxmlformats.org/drawingml/2006/main">
          <a:off x="3531603" y="2302846"/>
          <a:ext cx="65249" cy="65476"/>
        </a:xfrm>
        <a:prstGeom xmlns:a="http://schemas.openxmlformats.org/drawingml/2006/main" prst="ellipse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0.5207</cdr:x>
      <cdr:y>0.03042</cdr:y>
    </cdr:from>
    <cdr:to>
      <cdr:x>0.52925</cdr:x>
      <cdr:y>0.04543</cdr:y>
    </cdr:to>
    <cdr:sp macro="" textlink="">
      <cdr:nvSpPr>
        <cdr:cNvPr id="18" name="Oval 17"/>
        <cdr:cNvSpPr/>
      </cdr:nvSpPr>
      <cdr:spPr>
        <a:xfrm xmlns:a="http://schemas.openxmlformats.org/drawingml/2006/main">
          <a:off x="3470673" y="147487"/>
          <a:ext cx="57006" cy="7278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0.4939</cdr:x>
      <cdr:y>0.55865</cdr:y>
    </cdr:from>
    <cdr:to>
      <cdr:x>0.50373</cdr:x>
      <cdr:y>0.57462</cdr:y>
    </cdr:to>
    <cdr:sp macro="" textlink="">
      <cdr:nvSpPr>
        <cdr:cNvPr id="19" name="Oval 18"/>
        <cdr:cNvSpPr/>
      </cdr:nvSpPr>
      <cdr:spPr>
        <a:xfrm xmlns:a="http://schemas.openxmlformats.org/drawingml/2006/main">
          <a:off x="3292078" y="2708671"/>
          <a:ext cx="65483" cy="7739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5">
            <a:lumMod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0.33912</cdr:x>
      <cdr:y>0.43295</cdr:y>
    </cdr:from>
    <cdr:to>
      <cdr:x>0.5362</cdr:x>
      <cdr:y>0.48218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2253278" y="2098277"/>
          <a:ext cx="1309488" cy="2385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Onshore wind</a:t>
          </a:r>
        </a:p>
      </cdr:txBody>
    </cdr:sp>
  </cdr:relSizeAnchor>
  <cdr:relSizeAnchor xmlns:cdr="http://schemas.openxmlformats.org/drawingml/2006/chartDrawing">
    <cdr:from>
      <cdr:x>0.16761</cdr:x>
      <cdr:y>0.42739</cdr:y>
    </cdr:from>
    <cdr:to>
      <cdr:x>0.27147</cdr:x>
      <cdr:y>0.4754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125764" y="2091872"/>
          <a:ext cx="697593" cy="234950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bg1"/>
              </a:solidFill>
            </a:rPr>
            <a:t>Hydro</a:t>
          </a:r>
        </a:p>
      </cdr:txBody>
    </cdr:sp>
  </cdr:relSizeAnchor>
  <cdr:relSizeAnchor xmlns:cdr="http://schemas.openxmlformats.org/drawingml/2006/chartDrawing">
    <cdr:from>
      <cdr:x>0.56045</cdr:x>
      <cdr:y>0.03818</cdr:y>
    </cdr:from>
    <cdr:to>
      <cdr:x>0.60494</cdr:x>
      <cdr:y>0.18081</cdr:y>
    </cdr:to>
    <cdr:sp macro="" textlink="">
      <cdr:nvSpPr>
        <cdr:cNvPr id="22" name="TextBox 1"/>
        <cdr:cNvSpPr txBox="1"/>
      </cdr:nvSpPr>
      <cdr:spPr>
        <a:xfrm xmlns:a="http://schemas.openxmlformats.org/drawingml/2006/main" rot="17478370">
          <a:off x="3555470" y="376843"/>
          <a:ext cx="684724" cy="297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64</a:t>
          </a:r>
        </a:p>
      </cdr:txBody>
    </cdr:sp>
  </cdr:relSizeAnchor>
  <cdr:relSizeAnchor xmlns:cdr="http://schemas.openxmlformats.org/drawingml/2006/chartDrawing">
    <cdr:from>
      <cdr:x>0.51137</cdr:x>
      <cdr:y>0.04141</cdr:y>
    </cdr:from>
    <cdr:to>
      <cdr:x>0.55586</cdr:x>
      <cdr:y>0.19706</cdr:y>
    </cdr:to>
    <cdr:sp macro="" textlink="">
      <cdr:nvSpPr>
        <cdr:cNvPr id="23" name="TextBox 1"/>
        <cdr:cNvSpPr txBox="1"/>
      </cdr:nvSpPr>
      <cdr:spPr>
        <a:xfrm xmlns:a="http://schemas.openxmlformats.org/drawingml/2006/main" rot="17430254">
          <a:off x="3184262" y="429747"/>
          <a:ext cx="754842" cy="296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128</a:t>
          </a:r>
        </a:p>
      </cdr:txBody>
    </cdr:sp>
  </cdr:relSizeAnchor>
  <cdr:relSizeAnchor xmlns:cdr="http://schemas.openxmlformats.org/drawingml/2006/chartDrawing">
    <cdr:from>
      <cdr:x>0.42338</cdr:x>
      <cdr:y>0.11772</cdr:y>
    </cdr:from>
    <cdr:to>
      <cdr:x>0.46787</cdr:x>
      <cdr:y>0.27337</cdr:y>
    </cdr:to>
    <cdr:sp macro="" textlink="">
      <cdr:nvSpPr>
        <cdr:cNvPr id="24" name="TextBox 1"/>
        <cdr:cNvSpPr txBox="1"/>
      </cdr:nvSpPr>
      <cdr:spPr>
        <a:xfrm xmlns:a="http://schemas.openxmlformats.org/drawingml/2006/main" rot="17430254">
          <a:off x="2607296" y="789953"/>
          <a:ext cx="747213" cy="297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256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0.87266</cdr:x>
      <cdr:y>0.48585</cdr:y>
    </cdr:from>
    <cdr:to>
      <cdr:x>0.95666</cdr:x>
      <cdr:y>0.53736</cdr:y>
    </cdr:to>
    <cdr:sp macro="" textlink="">
      <cdr:nvSpPr>
        <cdr:cNvPr id="2" name="TextBox 1"/>
        <cdr:cNvSpPr txBox="1"/>
      </cdr:nvSpPr>
      <cdr:spPr>
        <a:xfrm xmlns:a="http://schemas.openxmlformats.org/drawingml/2006/main" rot="20733611">
          <a:off x="5837462" y="1647458"/>
          <a:ext cx="561899" cy="174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2</a:t>
          </a:r>
        </a:p>
      </cdr:txBody>
    </cdr:sp>
  </cdr:relSizeAnchor>
  <cdr:relSizeAnchor xmlns:cdr="http://schemas.openxmlformats.org/drawingml/2006/chartDrawing">
    <cdr:from>
      <cdr:x>0.60463</cdr:x>
      <cdr:y>0.01239</cdr:y>
    </cdr:from>
    <cdr:to>
      <cdr:x>0.64912</cdr:x>
      <cdr:y>0.22508</cdr:y>
    </cdr:to>
    <cdr:sp macro="" textlink="">
      <cdr:nvSpPr>
        <cdr:cNvPr id="15" name="TextBox 1"/>
        <cdr:cNvSpPr txBox="1"/>
      </cdr:nvSpPr>
      <cdr:spPr>
        <a:xfrm xmlns:a="http://schemas.openxmlformats.org/drawingml/2006/main" rot="18183798">
          <a:off x="3832699" y="253814"/>
          <a:ext cx="721215" cy="297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32</a:t>
          </a:r>
        </a:p>
      </cdr:txBody>
    </cdr:sp>
  </cdr:relSizeAnchor>
  <cdr:relSizeAnchor xmlns:cdr="http://schemas.openxmlformats.org/drawingml/2006/chartDrawing">
    <cdr:from>
      <cdr:x>0.36783</cdr:x>
      <cdr:y>0.03956</cdr:y>
    </cdr:from>
    <cdr:to>
      <cdr:x>0.41232</cdr:x>
      <cdr:y>0.25083</cdr:y>
    </cdr:to>
    <cdr:sp macro="" textlink="">
      <cdr:nvSpPr>
        <cdr:cNvPr id="24" name="TextBox 1"/>
        <cdr:cNvSpPr txBox="1"/>
      </cdr:nvSpPr>
      <cdr:spPr>
        <a:xfrm xmlns:a="http://schemas.openxmlformats.org/drawingml/2006/main" rot="17430254">
          <a:off x="2251095" y="343538"/>
          <a:ext cx="716413" cy="297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e</a:t>
          </a:r>
          <a:r>
            <a:rPr lang="en-US" sz="1400" b="1" baseline="-25000">
              <a:solidFill>
                <a:schemeClr val="tx1">
                  <a:lumMod val="50000"/>
                  <a:lumOff val="50000"/>
                </a:schemeClr>
              </a:solidFill>
            </a:rPr>
            <a:t>r</a:t>
          </a:r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 = 256</a:t>
          </a:r>
        </a:p>
      </cdr:txBody>
    </cdr:sp>
  </cdr:relSizeAnchor>
  <cdr:relSizeAnchor xmlns:cdr="http://schemas.openxmlformats.org/drawingml/2006/chartDrawing">
    <cdr:from>
      <cdr:x>0.35409</cdr:x>
      <cdr:y>0.26309</cdr:y>
    </cdr:from>
    <cdr:to>
      <cdr:x>0.7618</cdr:x>
      <cdr:y>0.69101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2368604" y="892119"/>
          <a:ext cx="2727271" cy="1451032"/>
        </a:xfrm>
        <a:prstGeom xmlns:a="http://schemas.openxmlformats.org/drawingml/2006/main" prst="straightConnector1">
          <a:avLst/>
        </a:prstGeom>
        <a:ln xmlns:a="http://schemas.openxmlformats.org/drawingml/2006/main" w="444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0.14382</cdr:x>
      <cdr:y>0.07812</cdr:y>
    </cdr:from>
    <cdr:to>
      <cdr:x>0.35313</cdr:x>
      <cdr:y>0.26758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962026" y="380999"/>
          <a:ext cx="140017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9144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FF0000"/>
              </a:solidFill>
            </a:rPr>
            <a:t>Increasing benefit of public-type R&amp;D over private-type</a:t>
          </a:r>
          <a:r>
            <a:rPr lang="en-US" sz="1400" b="1" baseline="0">
              <a:solidFill>
                <a:srgbClr val="FF0000"/>
              </a:solidFill>
            </a:rPr>
            <a:t> R&amp;D</a:t>
          </a:r>
          <a:endParaRPr lang="en-US" sz="1400" b="1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0.07528</cdr:x>
      <cdr:y>0.05476</cdr:y>
    </cdr:from>
    <cdr:to>
      <cdr:x>0.07528</cdr:x>
      <cdr:y>0.89762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4798" y="229499"/>
          <a:ext cx="0" cy="35324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0.77273</cdr:x>
      <cdr:y>0.75909</cdr:y>
    </cdr:from>
    <cdr:to>
      <cdr:x>0.77273</cdr:x>
      <cdr:y>0.90227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181600" y="3181350"/>
          <a:ext cx="18" cy="6000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0.74574</cdr:x>
      <cdr:y>0.896</cdr:y>
    </cdr:from>
    <cdr:to>
      <cdr:x>0.80255</cdr:x>
      <cdr:y>0.97219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00634" y="3755117"/>
          <a:ext cx="380945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0.05019</cdr:x>
      <cdr:y>0.9127</cdr:y>
    </cdr:from>
    <cdr:to>
      <cdr:x>0.10701</cdr:x>
      <cdr:y>0.98889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6550" y="3651250"/>
          <a:ext cx="3810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0.03125</cdr:x>
      <cdr:y>0.14365</cdr:y>
    </cdr:from>
    <cdr:to>
      <cdr:x>0.07102</cdr:x>
      <cdr:y>0.21984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09544" y="574674"/>
          <a:ext cx="266682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0.0232</cdr:x>
      <cdr:y>0.72514</cdr:y>
    </cdr:from>
    <cdr:to>
      <cdr:x>0.07245</cdr:x>
      <cdr:y>0.80133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55573" y="3039081"/>
          <a:ext cx="330251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b</a:t>
          </a:r>
        </a:p>
      </cdr:txBody>
    </cdr:sp>
  </cdr:relSizeAnchor>
  <cdr:relSizeAnchor xmlns:cdr="http://schemas.openxmlformats.org/drawingml/2006/chartDrawing">
    <cdr:from>
      <cdr:x>0.80114</cdr:x>
      <cdr:y>0.89545</cdr:y>
    </cdr:from>
    <cdr:to>
      <cdr:x>0.98201</cdr:x>
      <cdr:y>0.95544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372100" y="3752850"/>
          <a:ext cx="1212869" cy="251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Cumulative Capacity</a:t>
          </a:r>
        </a:p>
      </cdr:txBody>
    </cdr:sp>
  </cdr:relSizeAnchor>
  <cdr:relSizeAnchor xmlns:cdr="http://schemas.openxmlformats.org/drawingml/2006/chartDrawing">
    <cdr:from>
      <cdr:x>0.03456</cdr:x>
      <cdr:y>0</cdr:y>
    </cdr:from>
    <cdr:to>
      <cdr:x>0.08002</cdr:x>
      <cdr:y>0.09524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193675" y="38100"/>
          <a:ext cx="3810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Cost</a:t>
          </a:r>
          <a:endParaRPr lang="en-US" sz="1100" b="1" baseline="-25000"/>
        </a:p>
      </cdr:txBody>
    </cdr:sp>
  </cdr:relSizeAnchor>
  <cdr:relSizeAnchor xmlns:cdr="http://schemas.openxmlformats.org/drawingml/2006/chartDrawing">
    <cdr:from>
      <cdr:x>0.08522</cdr:x>
      <cdr:y>0.45021</cdr:y>
    </cdr:from>
    <cdr:to>
      <cdr:x>0.22443</cdr:x>
      <cdr:y>0.57402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473" y="1886849"/>
          <a:ext cx="933486" cy="51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</cdr:txBody>
    </cdr:sp>
  </cdr:relSizeAnchor>
  <cdr:relSizeAnchor xmlns:cdr="http://schemas.openxmlformats.org/drawingml/2006/chartDrawing">
    <cdr:from>
      <cdr:x>0.03456</cdr:x>
      <cdr:y>0.28485</cdr:y>
    </cdr:from>
    <cdr:to>
      <cdr:x>0.07433</cdr:x>
      <cdr:y>0.36104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31749" y="1193795"/>
          <a:ext cx="266681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P'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0.66193</cdr:x>
      <cdr:y>0.75682</cdr:y>
    </cdr:from>
    <cdr:to>
      <cdr:x>0.66382</cdr:x>
      <cdr:y>0.90584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4438650" y="3171825"/>
          <a:ext cx="12661" cy="6245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0.6411</cdr:x>
      <cdr:y>0.89848</cdr:y>
    </cdr:from>
    <cdr:to>
      <cdr:x>0.70313</cdr:x>
      <cdr:y>0.97467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298950" y="3765550"/>
          <a:ext cx="415925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Q'*</a:t>
          </a:r>
        </a:p>
      </cdr:txBody>
    </cdr:sp>
  </cdr:relSizeAnchor>
  <cdr:relSizeAnchor xmlns:cdr="http://schemas.openxmlformats.org/drawingml/2006/chartDrawing">
    <cdr:from>
      <cdr:x>0.17614</cdr:x>
      <cdr:y>0.35227</cdr:y>
    </cdr:from>
    <cdr:to>
      <cdr:x>0.19034</cdr:x>
      <cdr:y>0.40455</cdr:y>
    </cdr:to>
    <cdr:cxnSp macro="">
      <cdr:nvCxnSpPr>
        <cdr:cNvPr id="17" name="Straight Connector 16"/>
        <cdr:cNvCxnSpPr/>
      </cdr:nvCxnSpPr>
      <cdr:spPr>
        <a:xfrm xmlns:a="http://schemas.openxmlformats.org/drawingml/2006/main" flipH="1">
          <a:off x="1181103" y="1476356"/>
          <a:ext cx="95220" cy="2191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0.32859</cdr:x>
      <cdr:y>0.52349</cdr:y>
    </cdr:from>
    <cdr:to>
      <cdr:x>0.3428</cdr:x>
      <cdr:y>0.57576</cdr:y>
    </cdr:to>
    <cdr:cxnSp macro="">
      <cdr:nvCxnSpPr>
        <cdr:cNvPr id="18" name="Straight Connector 17"/>
        <cdr:cNvCxnSpPr/>
      </cdr:nvCxnSpPr>
      <cdr:spPr>
        <a:xfrm xmlns:a="http://schemas.openxmlformats.org/drawingml/2006/main" flipH="1">
          <a:off x="2203424" y="2193939"/>
          <a:ext cx="95286" cy="2190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0.0756</cdr:x>
      <cdr:y>0.28458</cdr:y>
    </cdr:from>
    <cdr:to>
      <cdr:x>0.13636</cdr:x>
      <cdr:y>0.77273</cdr:y>
    </cdr:to>
    <cdr:sp macro="" textlink="">
      <cdr:nvSpPr>
        <cdr:cNvPr id="30" name="Diagonal Stripe 29"/>
        <cdr:cNvSpPr/>
      </cdr:nvSpPr>
      <cdr:spPr>
        <a:xfrm xmlns:a="http://schemas.openxmlformats.org/drawingml/2006/main">
          <a:off x="509701" y="1192694"/>
          <a:ext cx="409669" cy="2045806"/>
        </a:xfrm>
        <a:custGeom xmlns:a="http://schemas.openxmlformats.org/drawingml/2006/main">
          <a:avLst/>
          <a:gdLst>
            <a:gd name="connsiteX0" fmla="*/ 0 w 371475"/>
            <a:gd name="connsiteY0" fmla="*/ 652131 h 1390650"/>
            <a:gd name="connsiteX1" fmla="*/ 174199 w 371475"/>
            <a:gd name="connsiteY1" fmla="*/ 0 h 1390650"/>
            <a:gd name="connsiteX2" fmla="*/ 371475 w 371475"/>
            <a:gd name="connsiteY2" fmla="*/ 0 h 1390650"/>
            <a:gd name="connsiteX3" fmla="*/ 0 w 371475"/>
            <a:gd name="connsiteY3" fmla="*/ 1390650 h 1390650"/>
            <a:gd name="connsiteX4" fmla="*/ 0 w 371475"/>
            <a:gd name="connsiteY4" fmla="*/ 652131 h 1390650"/>
            <a:gd name="connsiteX0" fmla="*/ 82976 w 454451"/>
            <a:gd name="connsiteY0" fmla="*/ 871206 h 1609725"/>
            <a:gd name="connsiteX1" fmla="*/ 0 w 454451"/>
            <a:gd name="connsiteY1" fmla="*/ 0 h 1609725"/>
            <a:gd name="connsiteX2" fmla="*/ 454451 w 454451"/>
            <a:gd name="connsiteY2" fmla="*/ 219075 h 1609725"/>
            <a:gd name="connsiteX3" fmla="*/ 82976 w 454451"/>
            <a:gd name="connsiteY3" fmla="*/ 1609725 h 1609725"/>
            <a:gd name="connsiteX4" fmla="*/ 82976 w 454451"/>
            <a:gd name="connsiteY4" fmla="*/ 871206 h 1609725"/>
            <a:gd name="connsiteX0" fmla="*/ 82976 w 540176"/>
            <a:gd name="connsiteY0" fmla="*/ 871206 h 1609725"/>
            <a:gd name="connsiteX1" fmla="*/ 0 w 540176"/>
            <a:gd name="connsiteY1" fmla="*/ 0 h 1609725"/>
            <a:gd name="connsiteX2" fmla="*/ 540176 w 540176"/>
            <a:gd name="connsiteY2" fmla="*/ 257175 h 1609725"/>
            <a:gd name="connsiteX3" fmla="*/ 82976 w 540176"/>
            <a:gd name="connsiteY3" fmla="*/ 1609725 h 1609725"/>
            <a:gd name="connsiteX4" fmla="*/ 82976 w 540176"/>
            <a:gd name="connsiteY4" fmla="*/ 871206 h 1609725"/>
            <a:gd name="connsiteX0" fmla="*/ 82976 w 540176"/>
            <a:gd name="connsiteY0" fmla="*/ 871206 h 1790700"/>
            <a:gd name="connsiteX1" fmla="*/ 0 w 540176"/>
            <a:gd name="connsiteY1" fmla="*/ 0 h 1790700"/>
            <a:gd name="connsiteX2" fmla="*/ 540176 w 540176"/>
            <a:gd name="connsiteY2" fmla="*/ 257175 h 1790700"/>
            <a:gd name="connsiteX3" fmla="*/ 511601 w 540176"/>
            <a:gd name="connsiteY3" fmla="*/ 1790700 h 1790700"/>
            <a:gd name="connsiteX4" fmla="*/ 82976 w 540176"/>
            <a:gd name="connsiteY4" fmla="*/ 871206 h 1790700"/>
            <a:gd name="connsiteX0" fmla="*/ 0 w 542925"/>
            <a:gd name="connsiteY0" fmla="*/ 1804656 h 1804656"/>
            <a:gd name="connsiteX1" fmla="*/ 2749 w 542925"/>
            <a:gd name="connsiteY1" fmla="*/ 0 h 1804656"/>
            <a:gd name="connsiteX2" fmla="*/ 542925 w 542925"/>
            <a:gd name="connsiteY2" fmla="*/ 257175 h 1804656"/>
            <a:gd name="connsiteX3" fmla="*/ 514350 w 542925"/>
            <a:gd name="connsiteY3" fmla="*/ 1790700 h 1804656"/>
            <a:gd name="connsiteX4" fmla="*/ 0 w 542925"/>
            <a:gd name="connsiteY4" fmla="*/ 1804656 h 1804656"/>
            <a:gd name="connsiteX0" fmla="*/ 6844 w 549769"/>
            <a:gd name="connsiteY0" fmla="*/ 1804656 h 1804656"/>
            <a:gd name="connsiteX1" fmla="*/ 68 w 549769"/>
            <a:gd name="connsiteY1" fmla="*/ 0 h 1804656"/>
            <a:gd name="connsiteX2" fmla="*/ 549769 w 549769"/>
            <a:gd name="connsiteY2" fmla="*/ 257175 h 1804656"/>
            <a:gd name="connsiteX3" fmla="*/ 521194 w 549769"/>
            <a:gd name="connsiteY3" fmla="*/ 1790700 h 1804656"/>
            <a:gd name="connsiteX4" fmla="*/ 6844 w 549769"/>
            <a:gd name="connsiteY4" fmla="*/ 1804656 h 1804656"/>
            <a:gd name="connsiteX0" fmla="*/ 6844 w 549769"/>
            <a:gd name="connsiteY0" fmla="*/ 1804656 h 1804656"/>
            <a:gd name="connsiteX1" fmla="*/ 68 w 549769"/>
            <a:gd name="connsiteY1" fmla="*/ 0 h 1804656"/>
            <a:gd name="connsiteX2" fmla="*/ 549769 w 549769"/>
            <a:gd name="connsiteY2" fmla="*/ 257175 h 1804656"/>
            <a:gd name="connsiteX3" fmla="*/ 540244 w 549769"/>
            <a:gd name="connsiteY3" fmla="*/ 1790700 h 1804656"/>
            <a:gd name="connsiteX4" fmla="*/ 6844 w 549769"/>
            <a:gd name="connsiteY4" fmla="*/ 1804656 h 1804656"/>
            <a:gd name="connsiteX0" fmla="*/ 6844 w 549769"/>
            <a:gd name="connsiteY0" fmla="*/ 1804656 h 1804656"/>
            <a:gd name="connsiteX1" fmla="*/ 68 w 549769"/>
            <a:gd name="connsiteY1" fmla="*/ 0 h 1804656"/>
            <a:gd name="connsiteX2" fmla="*/ 549769 w 549769"/>
            <a:gd name="connsiteY2" fmla="*/ 130849 h 1804656"/>
            <a:gd name="connsiteX3" fmla="*/ 540244 w 549769"/>
            <a:gd name="connsiteY3" fmla="*/ 1790700 h 1804656"/>
            <a:gd name="connsiteX4" fmla="*/ 6844 w 549769"/>
            <a:gd name="connsiteY4" fmla="*/ 1804656 h 1804656"/>
            <a:gd name="connsiteX0" fmla="*/ 0 w 542925"/>
            <a:gd name="connsiteY0" fmla="*/ 2228750 h 2228750"/>
            <a:gd name="connsiteX1" fmla="*/ 15178 w 542925"/>
            <a:gd name="connsiteY1" fmla="*/ 0 h 2228750"/>
            <a:gd name="connsiteX2" fmla="*/ 542925 w 542925"/>
            <a:gd name="connsiteY2" fmla="*/ 554943 h 2228750"/>
            <a:gd name="connsiteX3" fmla="*/ 533400 w 542925"/>
            <a:gd name="connsiteY3" fmla="*/ 2214794 h 2228750"/>
            <a:gd name="connsiteX4" fmla="*/ 0 w 542925"/>
            <a:gd name="connsiteY4" fmla="*/ 2228750 h 2228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42925" h="2228750">
              <a:moveTo>
                <a:pt x="0" y="2228750"/>
              </a:moveTo>
              <a:cubicBezTo>
                <a:pt x="916" y="1627198"/>
                <a:pt x="14262" y="601552"/>
                <a:pt x="15178" y="0"/>
              </a:cubicBezTo>
              <a:lnTo>
                <a:pt x="542925" y="554943"/>
              </a:lnTo>
              <a:lnTo>
                <a:pt x="533400" y="2214794"/>
              </a:lnTo>
              <a:lnTo>
                <a:pt x="0" y="2228750"/>
              </a:lnTo>
              <a:close/>
            </a:path>
          </a:pathLst>
        </a:custGeom>
        <a:pattFill xmlns:a="http://schemas.openxmlformats.org/drawingml/2006/main" prst="ltUpDiag">
          <a:fgClr>
            <a:schemeClr val="accent1"/>
          </a:fgClr>
          <a:bgClr>
            <a:schemeClr val="bg1"/>
          </a:bgClr>
        </a:patt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0.13882</cdr:x>
      <cdr:y>0.41897</cdr:y>
    </cdr:from>
    <cdr:to>
      <cdr:x>0.69042</cdr:x>
      <cdr:y>0.7747</cdr:y>
    </cdr:to>
    <cdr:sp macro="" textlink="">
      <cdr:nvSpPr>
        <cdr:cNvPr id="29" name="Right Triangle 28"/>
        <cdr:cNvSpPr/>
      </cdr:nvSpPr>
      <cdr:spPr>
        <a:xfrm xmlns:a="http://schemas.openxmlformats.org/drawingml/2006/main">
          <a:off x="935935" y="1755912"/>
          <a:ext cx="3718892" cy="1490871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312358" h="1436628">
              <a:moveTo>
                <a:pt x="8420" y="1436628"/>
              </a:moveTo>
              <a:cubicBezTo>
                <a:pt x="5613" y="1008702"/>
                <a:pt x="2807" y="427926"/>
                <a:pt x="0" y="0"/>
              </a:cubicBezTo>
              <a:cubicBezTo>
                <a:pt x="266618" y="151199"/>
                <a:pt x="389863" y="289149"/>
                <a:pt x="656481" y="439141"/>
              </a:cubicBezTo>
              <a:cubicBezTo>
                <a:pt x="736497" y="513685"/>
                <a:pt x="972556" y="616236"/>
                <a:pt x="1044153" y="657649"/>
              </a:cubicBezTo>
              <a:lnTo>
                <a:pt x="1431174" y="846014"/>
              </a:lnTo>
              <a:lnTo>
                <a:pt x="2010369" y="1071478"/>
              </a:lnTo>
              <a:lnTo>
                <a:pt x="2542696" y="1252490"/>
              </a:lnTo>
              <a:lnTo>
                <a:pt x="3312358" y="1436628"/>
              </a:lnTo>
              <a:lnTo>
                <a:pt x="8420" y="1436628"/>
              </a:lnTo>
              <a:close/>
            </a:path>
          </a:pathLst>
        </a:custGeom>
        <a:pattFill xmlns:a="http://schemas.openxmlformats.org/drawingml/2006/main" prst="ltDnDiag">
          <a:fgClr>
            <a:srgbClr val="00B050"/>
          </a:fgClr>
          <a:bgClr>
            <a:schemeClr val="bg1"/>
          </a:bgClr>
        </a:patt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0.83292</cdr:x>
      <cdr:y>0.77668</cdr:y>
    </cdr:from>
    <cdr:to>
      <cdr:x>0.83416</cdr:x>
      <cdr:y>0.90622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615609" y="3255065"/>
          <a:ext cx="8301" cy="5429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0.81331</cdr:x>
      <cdr:y>0.88809</cdr:y>
    </cdr:from>
    <cdr:to>
      <cdr:x>0.87012</cdr:x>
      <cdr:y>0.96428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483355" y="3722005"/>
          <a:ext cx="383016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0.11502</cdr:x>
      <cdr:y>0.90815</cdr:y>
    </cdr:from>
    <cdr:to>
      <cdr:x>0.17184</cdr:x>
      <cdr:y>0.98434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3812" y="3806057"/>
          <a:ext cx="382265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0.02841</cdr:x>
      <cdr:y>0.20729</cdr:y>
    </cdr:from>
    <cdr:to>
      <cdr:x>0.06818</cdr:x>
      <cdr:y>0.28348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90500" y="868737"/>
          <a:ext cx="266682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0.01989</cdr:x>
      <cdr:y>0.71595</cdr:y>
    </cdr:from>
    <cdr:to>
      <cdr:x>0.06914</cdr:x>
      <cdr:y>0.79214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34099" y="3000567"/>
          <a:ext cx="332046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b</a:t>
          </a:r>
        </a:p>
      </cdr:txBody>
    </cdr:sp>
  </cdr:relSizeAnchor>
  <cdr:relSizeAnchor xmlns:cdr="http://schemas.openxmlformats.org/drawingml/2006/chartDrawing">
    <cdr:from>
      <cdr:x>0.87838</cdr:x>
      <cdr:y>0.89545</cdr:y>
    </cdr:from>
    <cdr:to>
      <cdr:x>0.98201</cdr:x>
      <cdr:y>0.95544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922064" y="3752831"/>
          <a:ext cx="698689" cy="251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Cumulative</a:t>
          </a:r>
        </a:p>
        <a:p xmlns:a="http://schemas.openxmlformats.org/drawingml/2006/main">
          <a:r>
            <a:rPr lang="en-US" sz="1100" b="1"/>
            <a:t>Capacity</a:t>
          </a:r>
        </a:p>
      </cdr:txBody>
    </cdr:sp>
  </cdr:relSizeAnchor>
  <cdr:relSizeAnchor xmlns:cdr="http://schemas.openxmlformats.org/drawingml/2006/chartDrawing">
    <cdr:from>
      <cdr:x>0.12831</cdr:x>
      <cdr:y>0.02273</cdr:y>
    </cdr:from>
    <cdr:to>
      <cdr:x>0.17377</cdr:x>
      <cdr:y>0.11797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813239" y="142408"/>
          <a:ext cx="399151" cy="304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Cost</a:t>
          </a:r>
          <a:endParaRPr lang="en-US" sz="1100" b="1" baseline="-25000"/>
        </a:p>
      </cdr:txBody>
    </cdr:sp>
  </cdr:relSizeAnchor>
  <cdr:relSizeAnchor xmlns:cdr="http://schemas.openxmlformats.org/drawingml/2006/chartDrawing">
    <cdr:from>
      <cdr:x>0.16081</cdr:x>
      <cdr:y>0.57591</cdr:y>
    </cdr:from>
    <cdr:to>
      <cdr:x>0.30002</cdr:x>
      <cdr:y>0.69972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4211" y="2413642"/>
          <a:ext cx="938560" cy="51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</cdr:txBody>
    </cdr:sp>
  </cdr:relSizeAnchor>
  <cdr:relSizeAnchor xmlns:cdr="http://schemas.openxmlformats.org/drawingml/2006/chartDrawing">
    <cdr:from>
      <cdr:x>0.71744</cdr:x>
      <cdr:y>0.77668</cdr:y>
    </cdr:from>
    <cdr:to>
      <cdr:x>0.7191</cdr:x>
      <cdr:y>0.90386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4837043" y="3255065"/>
          <a:ext cx="11177" cy="53302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0.69884</cdr:x>
      <cdr:y>0.8965</cdr:y>
    </cdr:from>
    <cdr:to>
      <cdr:x>0.76087</cdr:x>
      <cdr:y>0.97269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711607" y="3757247"/>
          <a:ext cx="418209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Q'*</a:t>
          </a:r>
        </a:p>
      </cdr:txBody>
    </cdr:sp>
  </cdr:relSizeAnchor>
  <cdr:relSizeAnchor xmlns:cdr="http://schemas.openxmlformats.org/drawingml/2006/chartDrawing">
    <cdr:from>
      <cdr:x>0.18785</cdr:x>
      <cdr:y>0.38834</cdr:y>
    </cdr:from>
    <cdr:to>
      <cdr:x>0.20205</cdr:x>
      <cdr:y>0.44062</cdr:y>
    </cdr:to>
    <cdr:cxnSp macro="">
      <cdr:nvCxnSpPr>
        <cdr:cNvPr id="17" name="Straight Connector 16"/>
        <cdr:cNvCxnSpPr/>
      </cdr:nvCxnSpPr>
      <cdr:spPr>
        <a:xfrm xmlns:a="http://schemas.openxmlformats.org/drawingml/2006/main" flipH="1">
          <a:off x="1266465" y="1627514"/>
          <a:ext cx="95737" cy="2191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0.35094</cdr:x>
      <cdr:y>0.54889</cdr:y>
    </cdr:from>
    <cdr:to>
      <cdr:x>0.36515</cdr:x>
      <cdr:y>0.60116</cdr:y>
    </cdr:to>
    <cdr:cxnSp macro="">
      <cdr:nvCxnSpPr>
        <cdr:cNvPr id="18" name="Straight Connector 17"/>
        <cdr:cNvCxnSpPr/>
      </cdr:nvCxnSpPr>
      <cdr:spPr>
        <a:xfrm xmlns:a="http://schemas.openxmlformats.org/drawingml/2006/main" flipH="1">
          <a:off x="2366069" y="2300386"/>
          <a:ext cx="95805" cy="2190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0.05161</cdr:x>
      <cdr:y>0.90303</cdr:y>
    </cdr:from>
    <cdr:to>
      <cdr:x>0.10843</cdr:x>
      <cdr:y>0.97922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346075" y="3784600"/>
          <a:ext cx="381012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Q'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0.07844</cdr:x>
      <cdr:y>0.39842</cdr:y>
    </cdr:from>
    <cdr:to>
      <cdr:x>0.12485</cdr:x>
      <cdr:y>0.39918</cdr:y>
    </cdr:to>
    <cdr:cxnSp macro="">
      <cdr:nvCxnSpPr>
        <cdr:cNvPr id="22" name="Straight Connector 21"/>
        <cdr:cNvCxnSpPr/>
      </cdr:nvCxnSpPr>
      <cdr:spPr>
        <a:xfrm xmlns:a="http://schemas.openxmlformats.org/drawingml/2006/main" flipH="1">
          <a:off x="528853" y="1669785"/>
          <a:ext cx="312898" cy="318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0.08411</cdr:x>
      <cdr:y>0.61018</cdr:y>
    </cdr:from>
    <cdr:to>
      <cdr:x>0.12957</cdr:x>
      <cdr:y>0.61018</cdr:y>
    </cdr:to>
    <cdr:cxnSp macro="">
      <cdr:nvCxnSpPr>
        <cdr:cNvPr id="24" name="Straight Connector 23"/>
        <cdr:cNvCxnSpPr/>
      </cdr:nvCxnSpPr>
      <cdr:spPr>
        <a:xfrm xmlns:a="http://schemas.openxmlformats.org/drawingml/2006/main" flipH="1">
          <a:off x="567096" y="2557264"/>
          <a:ext cx="30649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0.07985</cdr:x>
      <cdr:y>0.10079</cdr:y>
    </cdr:from>
    <cdr:to>
      <cdr:x>0.13636</cdr:x>
      <cdr:y>0.28063</cdr:y>
    </cdr:to>
    <cdr:sp macro="" textlink="">
      <cdr:nvSpPr>
        <cdr:cNvPr id="28" name="Rectangle 27"/>
        <cdr:cNvSpPr/>
      </cdr:nvSpPr>
      <cdr:spPr>
        <a:xfrm xmlns:a="http://schemas.openxmlformats.org/drawingml/2006/main">
          <a:off x="538369" y="422414"/>
          <a:ext cx="381001" cy="7537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0.07528</cdr:x>
      <cdr:y>0.05476</cdr:y>
    </cdr:from>
    <cdr:to>
      <cdr:x>0.07528</cdr:x>
      <cdr:y>0.89762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04798" y="229499"/>
          <a:ext cx="0" cy="35324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0.07651</cdr:x>
      <cdr:y>0.28014</cdr:y>
    </cdr:from>
    <cdr:to>
      <cdr:x>0.13759</cdr:x>
      <cdr:y>0.28459</cdr:y>
    </cdr:to>
    <cdr:cxnSp macro="">
      <cdr:nvCxnSpPr>
        <cdr:cNvPr id="20" name="Straight Connector 19"/>
        <cdr:cNvCxnSpPr/>
      </cdr:nvCxnSpPr>
      <cdr:spPr>
        <a:xfrm xmlns:a="http://schemas.openxmlformats.org/drawingml/2006/main">
          <a:off x="515825" y="1174076"/>
          <a:ext cx="411827" cy="1862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0.50236</cdr:x>
      <cdr:y>0.65217</cdr:y>
    </cdr:from>
    <cdr:to>
      <cdr:x>0.50737</cdr:x>
      <cdr:y>0.6809</cdr:y>
    </cdr:to>
    <cdr:cxnSp macro="">
      <cdr:nvCxnSpPr>
        <cdr:cNvPr id="33" name="Straight Connector 32"/>
        <cdr:cNvCxnSpPr/>
      </cdr:nvCxnSpPr>
      <cdr:spPr>
        <a:xfrm xmlns:a="http://schemas.openxmlformats.org/drawingml/2006/main" flipH="1">
          <a:off x="3386921" y="2733261"/>
          <a:ext cx="33797" cy="12037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0.13783</cdr:x>
      <cdr:y>0.06174</cdr:y>
    </cdr:from>
    <cdr:to>
      <cdr:x>0.13783</cdr:x>
      <cdr:y>0.9046</cdr:y>
    </cdr:to>
    <cdr:cxnSp macro="">
      <cdr:nvCxnSpPr>
        <cdr:cNvPr id="19" name="Straight Connector 18"/>
        <cdr:cNvCxnSpPr/>
      </cdr:nvCxnSpPr>
      <cdr:spPr>
        <a:xfrm xmlns:a="http://schemas.openxmlformats.org/drawingml/2006/main">
          <a:off x="929256" y="258763"/>
          <a:ext cx="0" cy="35324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0.13274</cdr:x>
      <cdr:y>0.40682</cdr:y>
    </cdr:from>
    <cdr:to>
      <cdr:x>0.68433</cdr:x>
      <cdr:y>0.77273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883556" y="1704983"/>
          <a:ext cx="3671546" cy="1533528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312358" h="1436628">
              <a:moveTo>
                <a:pt x="8420" y="1436628"/>
              </a:moveTo>
              <a:cubicBezTo>
                <a:pt x="5613" y="1008702"/>
                <a:pt x="2807" y="427926"/>
                <a:pt x="0" y="0"/>
              </a:cubicBezTo>
              <a:cubicBezTo>
                <a:pt x="266618" y="151199"/>
                <a:pt x="389863" y="289149"/>
                <a:pt x="656481" y="439141"/>
              </a:cubicBezTo>
              <a:cubicBezTo>
                <a:pt x="736497" y="513685"/>
                <a:pt x="972556" y="616236"/>
                <a:pt x="1044153" y="657649"/>
              </a:cubicBezTo>
              <a:lnTo>
                <a:pt x="1431174" y="846014"/>
              </a:lnTo>
              <a:lnTo>
                <a:pt x="2010369" y="1071478"/>
              </a:lnTo>
              <a:lnTo>
                <a:pt x="2542696" y="1252490"/>
              </a:lnTo>
              <a:lnTo>
                <a:pt x="3312358" y="1436628"/>
              </a:lnTo>
              <a:lnTo>
                <a:pt x="8420" y="1436628"/>
              </a:lnTo>
              <a:close/>
            </a:path>
          </a:pathLst>
        </a:custGeom>
        <a:solidFill xmlns:a="http://schemas.openxmlformats.org/drawingml/2006/main">
          <a:schemeClr val="accent4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0.8301</cdr:x>
      <cdr:y>0.77751</cdr:y>
    </cdr:from>
    <cdr:to>
      <cdr:x>0.8316</cdr:x>
      <cdr:y>0.90466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584658" y="3258553"/>
          <a:ext cx="10045" cy="5328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0.80461</cdr:x>
      <cdr:y>0.89959</cdr:y>
    </cdr:from>
    <cdr:to>
      <cdr:x>0.86142</cdr:x>
      <cdr:y>0.97578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413124" y="3770176"/>
          <a:ext cx="382198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0.10831</cdr:x>
      <cdr:y>0.90935</cdr:y>
    </cdr:from>
    <cdr:to>
      <cdr:x>0.16513</cdr:x>
      <cdr:y>0.98554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28694" y="3811070"/>
          <a:ext cx="382265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0.87928</cdr:x>
      <cdr:y>0.89545</cdr:y>
    </cdr:from>
    <cdr:to>
      <cdr:x>0.98201</cdr:x>
      <cdr:y>0.95544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915526" y="3752831"/>
          <a:ext cx="691101" cy="251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Cumulative</a:t>
          </a:r>
        </a:p>
        <a:p xmlns:a="http://schemas.openxmlformats.org/drawingml/2006/main">
          <a:r>
            <a:rPr lang="en-US" sz="1100" b="1"/>
            <a:t>Capacity</a:t>
          </a:r>
        </a:p>
      </cdr:txBody>
    </cdr:sp>
  </cdr:relSizeAnchor>
  <cdr:relSizeAnchor xmlns:cdr="http://schemas.openxmlformats.org/drawingml/2006/chartDrawing">
    <cdr:from>
      <cdr:x>0.12263</cdr:x>
      <cdr:y>0.02273</cdr:y>
    </cdr:from>
    <cdr:to>
      <cdr:x>0.16809</cdr:x>
      <cdr:y>0.11797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775139" y="142408"/>
          <a:ext cx="399151" cy="304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Cost</a:t>
          </a:r>
          <a:endParaRPr lang="en-US" sz="1100" b="1" baseline="-25000"/>
        </a:p>
      </cdr:txBody>
    </cdr:sp>
  </cdr:relSizeAnchor>
  <cdr:relSizeAnchor xmlns:cdr="http://schemas.openxmlformats.org/drawingml/2006/chartDrawing">
    <cdr:from>
      <cdr:x>0.13983</cdr:x>
      <cdr:y>0.52988</cdr:y>
    </cdr:from>
    <cdr:to>
      <cdr:x>0.27904</cdr:x>
      <cdr:y>0.65369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0717" y="2220744"/>
          <a:ext cx="936557" cy="51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</cdr:txBody>
    </cdr:sp>
  </cdr:relSizeAnchor>
  <cdr:relSizeAnchor xmlns:cdr="http://schemas.openxmlformats.org/drawingml/2006/chartDrawing">
    <cdr:from>
      <cdr:x>0.71833</cdr:x>
      <cdr:y>0.7799</cdr:y>
    </cdr:from>
    <cdr:to>
      <cdr:x>0.72045</cdr:x>
      <cdr:y>0.90464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4832684" y="3268579"/>
          <a:ext cx="14270" cy="5227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0.69624</cdr:x>
      <cdr:y>0.89728</cdr:y>
    </cdr:from>
    <cdr:to>
      <cdr:x>0.75827</cdr:x>
      <cdr:y>0.97347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684076" y="3760516"/>
          <a:ext cx="417316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Q'*</a:t>
          </a:r>
        </a:p>
      </cdr:txBody>
    </cdr:sp>
  </cdr:relSizeAnchor>
  <cdr:relSizeAnchor xmlns:cdr="http://schemas.openxmlformats.org/drawingml/2006/chartDrawing">
    <cdr:from>
      <cdr:x>0.18529</cdr:x>
      <cdr:y>0.38875</cdr:y>
    </cdr:from>
    <cdr:to>
      <cdr:x>0.19949</cdr:x>
      <cdr:y>0.44103</cdr:y>
    </cdr:to>
    <cdr:cxnSp macro="">
      <cdr:nvCxnSpPr>
        <cdr:cNvPr id="17" name="Straight Connector 16"/>
        <cdr:cNvCxnSpPr/>
      </cdr:nvCxnSpPr>
      <cdr:spPr>
        <a:xfrm xmlns:a="http://schemas.openxmlformats.org/drawingml/2006/main" flipH="1">
          <a:off x="1246556" y="1629257"/>
          <a:ext cx="95533" cy="2191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0.33683</cdr:x>
      <cdr:y>0.53688</cdr:y>
    </cdr:from>
    <cdr:to>
      <cdr:x>0.35104</cdr:x>
      <cdr:y>0.58915</cdr:y>
    </cdr:to>
    <cdr:cxnSp macro="">
      <cdr:nvCxnSpPr>
        <cdr:cNvPr id="18" name="Straight Connector 17"/>
        <cdr:cNvCxnSpPr/>
      </cdr:nvCxnSpPr>
      <cdr:spPr>
        <a:xfrm xmlns:a="http://schemas.openxmlformats.org/drawingml/2006/main" flipH="1">
          <a:off x="2266105" y="2250072"/>
          <a:ext cx="95600" cy="2190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0.1321</cdr:x>
      <cdr:y>0.05779</cdr:y>
    </cdr:from>
    <cdr:to>
      <cdr:x>0.1321</cdr:x>
      <cdr:y>0.90065</cdr:y>
    </cdr:to>
    <cdr:cxnSp macro="">
      <cdr:nvCxnSpPr>
        <cdr:cNvPr id="19" name="Straight Connector 18"/>
        <cdr:cNvCxnSpPr/>
      </cdr:nvCxnSpPr>
      <cdr:spPr>
        <a:xfrm xmlns:a="http://schemas.openxmlformats.org/drawingml/2006/main">
          <a:off x="889744" y="242198"/>
          <a:ext cx="0" cy="35324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0.03032</cdr:x>
      <cdr:y>0.061</cdr:y>
    </cdr:from>
    <cdr:to>
      <cdr:x>0.12817</cdr:x>
      <cdr:y>0.811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03983" y="255671"/>
          <a:ext cx="658280" cy="3143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0.09012</cdr:x>
      <cdr:y>0.23481</cdr:y>
    </cdr:from>
    <cdr:to>
      <cdr:x>0.12989</cdr:x>
      <cdr:y>0.32738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06285" y="984072"/>
          <a:ext cx="267559" cy="387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0.09026</cdr:x>
      <cdr:y>0.36667</cdr:y>
    </cdr:from>
    <cdr:to>
      <cdr:x>0.13003</cdr:x>
      <cdr:y>0.45924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607272" y="1536710"/>
          <a:ext cx="267559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P'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0.47032</cdr:x>
      <cdr:y>0.63995</cdr:y>
    </cdr:from>
    <cdr:to>
      <cdr:x>0.47988</cdr:x>
      <cdr:y>0.67132</cdr:y>
    </cdr:to>
    <cdr:cxnSp macro="">
      <cdr:nvCxnSpPr>
        <cdr:cNvPr id="26" name="Straight Connector 25"/>
        <cdr:cNvCxnSpPr/>
      </cdr:nvCxnSpPr>
      <cdr:spPr>
        <a:xfrm xmlns:a="http://schemas.openxmlformats.org/drawingml/2006/main" flipH="1">
          <a:off x="3164136" y="2682039"/>
          <a:ext cx="64337" cy="1314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0.07787</cdr:x>
      <cdr:y>0.74524</cdr:y>
    </cdr:from>
    <cdr:to>
      <cdr:x>0.12712</cdr:x>
      <cdr:y>0.82143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23900" y="3123287"/>
          <a:ext cx="331337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0.22678</cdr:x>
      <cdr:y>0.41304</cdr:y>
    </cdr:from>
    <cdr:to>
      <cdr:x>0.79765</cdr:x>
      <cdr:y>0.77586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1528988" y="1731065"/>
          <a:ext cx="3848830" cy="1520572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312358" h="1436628">
              <a:moveTo>
                <a:pt x="8420" y="1436628"/>
              </a:moveTo>
              <a:cubicBezTo>
                <a:pt x="5613" y="1008702"/>
                <a:pt x="2807" y="427926"/>
                <a:pt x="0" y="0"/>
              </a:cubicBezTo>
              <a:cubicBezTo>
                <a:pt x="266618" y="151199"/>
                <a:pt x="389863" y="289149"/>
                <a:pt x="656481" y="439141"/>
              </a:cubicBezTo>
              <a:cubicBezTo>
                <a:pt x="736497" y="513685"/>
                <a:pt x="972556" y="616236"/>
                <a:pt x="1044153" y="657649"/>
              </a:cubicBezTo>
              <a:lnTo>
                <a:pt x="1431174" y="846014"/>
              </a:lnTo>
              <a:lnTo>
                <a:pt x="2010369" y="1071478"/>
              </a:lnTo>
              <a:lnTo>
                <a:pt x="2542696" y="1252490"/>
              </a:lnTo>
              <a:lnTo>
                <a:pt x="3312358" y="1436628"/>
              </a:lnTo>
              <a:lnTo>
                <a:pt x="8420" y="1436628"/>
              </a:lnTo>
              <a:close/>
            </a:path>
          </a:pathLst>
        </a:custGeom>
        <a:solidFill xmlns:a="http://schemas.openxmlformats.org/drawingml/2006/main">
          <a:srgbClr val="FFC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0.8301</cdr:x>
      <cdr:y>0.77751</cdr:y>
    </cdr:from>
    <cdr:to>
      <cdr:x>0.8316</cdr:x>
      <cdr:y>0.90466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584658" y="3258553"/>
          <a:ext cx="10045" cy="5328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0.80461</cdr:x>
      <cdr:y>0.89959</cdr:y>
    </cdr:from>
    <cdr:to>
      <cdr:x>0.86142</cdr:x>
      <cdr:y>0.97578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413124" y="3770176"/>
          <a:ext cx="382198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0.10831</cdr:x>
      <cdr:y>0.90935</cdr:y>
    </cdr:from>
    <cdr:to>
      <cdr:x>0.16513</cdr:x>
      <cdr:y>0.98554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28694" y="3811070"/>
          <a:ext cx="382265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0.87928</cdr:x>
      <cdr:y>0.89545</cdr:y>
    </cdr:from>
    <cdr:to>
      <cdr:x>0.98201</cdr:x>
      <cdr:y>0.95544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915526" y="3752831"/>
          <a:ext cx="691101" cy="251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Cumulative</a:t>
          </a:r>
        </a:p>
        <a:p xmlns:a="http://schemas.openxmlformats.org/drawingml/2006/main">
          <a:r>
            <a:rPr lang="en-US" sz="1100" b="1"/>
            <a:t>Capacity</a:t>
          </a:r>
        </a:p>
      </cdr:txBody>
    </cdr:sp>
  </cdr:relSizeAnchor>
  <cdr:relSizeAnchor xmlns:cdr="http://schemas.openxmlformats.org/drawingml/2006/chartDrawing">
    <cdr:from>
      <cdr:x>0.12263</cdr:x>
      <cdr:y>0.02273</cdr:y>
    </cdr:from>
    <cdr:to>
      <cdr:x>0.16809</cdr:x>
      <cdr:y>0.11797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775139" y="142408"/>
          <a:ext cx="399151" cy="304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Cost</a:t>
          </a:r>
          <a:endParaRPr lang="en-US" sz="1100" b="1" baseline="-25000"/>
        </a:p>
      </cdr:txBody>
    </cdr:sp>
  </cdr:relSizeAnchor>
  <cdr:relSizeAnchor xmlns:cdr="http://schemas.openxmlformats.org/drawingml/2006/chartDrawing">
    <cdr:from>
      <cdr:x>0.25518</cdr:x>
      <cdr:y>0.61452</cdr:y>
    </cdr:from>
    <cdr:to>
      <cdr:x>0.39439</cdr:x>
      <cdr:y>0.73833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803" y="2575451"/>
          <a:ext cx="935498" cy="51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</cdr:txBody>
    </cdr:sp>
  </cdr:relSizeAnchor>
  <cdr:relSizeAnchor xmlns:cdr="http://schemas.openxmlformats.org/drawingml/2006/chartDrawing">
    <cdr:from>
      <cdr:x>0.20357</cdr:x>
      <cdr:y>0.90982</cdr:y>
    </cdr:from>
    <cdr:to>
      <cdr:x>0.2656</cdr:x>
      <cdr:y>0.98601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368009" y="3813052"/>
          <a:ext cx="416845" cy="31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Q'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0.1321</cdr:x>
      <cdr:y>0.05779</cdr:y>
    </cdr:from>
    <cdr:to>
      <cdr:x>0.1321</cdr:x>
      <cdr:y>0.90065</cdr:y>
    </cdr:to>
    <cdr:cxnSp macro="">
      <cdr:nvCxnSpPr>
        <cdr:cNvPr id="19" name="Straight Connector 18"/>
        <cdr:cNvCxnSpPr/>
      </cdr:nvCxnSpPr>
      <cdr:spPr>
        <a:xfrm xmlns:a="http://schemas.openxmlformats.org/drawingml/2006/main">
          <a:off x="889744" y="242198"/>
          <a:ext cx="0" cy="35324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0.03032</cdr:x>
      <cdr:y>0.061</cdr:y>
    </cdr:from>
    <cdr:to>
      <cdr:x>0.12908</cdr:x>
      <cdr:y>0.811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03005" y="255651"/>
          <a:ext cx="661216" cy="3143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0.09012</cdr:x>
      <cdr:y>0.23481</cdr:y>
    </cdr:from>
    <cdr:to>
      <cdr:x>0.12989</cdr:x>
      <cdr:y>0.32738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06285" y="984072"/>
          <a:ext cx="267559" cy="387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0.09026</cdr:x>
      <cdr:y>0.36667</cdr:y>
    </cdr:from>
    <cdr:to>
      <cdr:x>0.13003</cdr:x>
      <cdr:y>0.45924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607272" y="1536710"/>
          <a:ext cx="267559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P'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0.07787</cdr:x>
      <cdr:y>0.74524</cdr:y>
    </cdr:from>
    <cdr:to>
      <cdr:x>0.12712</cdr:x>
      <cdr:y>0.82143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23900" y="3123287"/>
          <a:ext cx="331337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b</a:t>
          </a:r>
        </a:p>
      </cdr:txBody>
    </cdr:sp>
  </cdr:relSizeAnchor>
  <cdr:relSizeAnchor xmlns:cdr="http://schemas.openxmlformats.org/drawingml/2006/chartDrawing">
    <cdr:from>
      <cdr:x>0.22581</cdr:x>
      <cdr:y>0.40125</cdr:y>
    </cdr:from>
    <cdr:to>
      <cdr:x>0.22581</cdr:x>
      <cdr:y>0.90282</cdr:y>
    </cdr:to>
    <cdr:cxnSp macro="">
      <cdr:nvCxnSpPr>
        <cdr:cNvPr id="24" name="Straight Connector 23"/>
        <cdr:cNvCxnSpPr/>
      </cdr:nvCxnSpPr>
      <cdr:spPr>
        <a:xfrm xmlns:a="http://schemas.openxmlformats.org/drawingml/2006/main" flipV="1">
          <a:off x="1517431" y="1681656"/>
          <a:ext cx="0" cy="210206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0.14441</cdr:x>
      <cdr:y>0.5325</cdr:y>
    </cdr:from>
    <cdr:to>
      <cdr:x>0.19231</cdr:x>
      <cdr:y>0.5325</cdr:y>
    </cdr:to>
    <cdr:cxnSp macro="">
      <cdr:nvCxnSpPr>
        <cdr:cNvPr id="30" name="Straight Connector 29"/>
        <cdr:cNvCxnSpPr/>
      </cdr:nvCxnSpPr>
      <cdr:spPr>
        <a:xfrm xmlns:a="http://schemas.openxmlformats.org/drawingml/2006/main">
          <a:off x="970455" y="2231697"/>
          <a:ext cx="3218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0.14441</cdr:x>
      <cdr:y>0.71588</cdr:y>
    </cdr:from>
    <cdr:to>
      <cdr:x>0.19231</cdr:x>
      <cdr:y>0.71588</cdr:y>
    </cdr:to>
    <cdr:cxnSp macro="">
      <cdr:nvCxnSpPr>
        <cdr:cNvPr id="31" name="Straight Connector 30"/>
        <cdr:cNvCxnSpPr/>
      </cdr:nvCxnSpPr>
      <cdr:spPr>
        <a:xfrm xmlns:a="http://schemas.openxmlformats.org/drawingml/2006/main">
          <a:off x="970455" y="3000266"/>
          <a:ext cx="3218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0.13474</cdr:x>
      <cdr:y>0.2314</cdr:y>
    </cdr:from>
    <cdr:to>
      <cdr:x>0.22308</cdr:x>
      <cdr:y>0.42355</cdr:y>
    </cdr:to>
    <cdr:sp macro="" textlink="">
      <cdr:nvSpPr>
        <cdr:cNvPr id="32" name="Rectangle 31"/>
        <cdr:cNvSpPr/>
      </cdr:nvSpPr>
      <cdr:spPr>
        <a:xfrm xmlns:a="http://schemas.openxmlformats.org/drawingml/2006/main">
          <a:off x="903514" y="969818"/>
          <a:ext cx="592384" cy="8052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0.13978</cdr:x>
      <cdr:y>0.36677</cdr:y>
    </cdr:from>
    <cdr:to>
      <cdr:x>0.18768</cdr:x>
      <cdr:y>0.36677</cdr:y>
    </cdr:to>
    <cdr:cxnSp macro="">
      <cdr:nvCxnSpPr>
        <cdr:cNvPr id="18" name="Straight Connector 17"/>
        <cdr:cNvCxnSpPr/>
      </cdr:nvCxnSpPr>
      <cdr:spPr>
        <a:xfrm xmlns:a="http://schemas.openxmlformats.org/drawingml/2006/main">
          <a:off x="939362" y="1537138"/>
          <a:ext cx="3218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0.13196</cdr:x>
      <cdr:y>0.39812</cdr:y>
    </cdr:from>
    <cdr:to>
      <cdr:x>0.22483</cdr:x>
      <cdr:y>0.39969</cdr:y>
    </cdr:to>
    <cdr:cxnSp macro="">
      <cdr:nvCxnSpPr>
        <cdr:cNvPr id="21" name="Straight Connector 20"/>
        <cdr:cNvCxnSpPr/>
      </cdr:nvCxnSpPr>
      <cdr:spPr>
        <a:xfrm xmlns:a="http://schemas.openxmlformats.org/drawingml/2006/main">
          <a:off x="886810" y="1668518"/>
          <a:ext cx="624052" cy="656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0.13312</cdr:x>
      <cdr:y>0.27792</cdr:y>
    </cdr:from>
    <cdr:to>
      <cdr:x>0.22502</cdr:x>
      <cdr:y>0.39979</cdr:y>
    </cdr:to>
    <cdr:cxnSp macro="">
      <cdr:nvCxnSpPr>
        <cdr:cNvPr id="34" name="Straight Connector 33"/>
        <cdr:cNvCxnSpPr/>
      </cdr:nvCxnSpPr>
      <cdr:spPr>
        <a:xfrm xmlns:a="http://schemas.openxmlformats.org/drawingml/2006/main">
          <a:off x="892629" y="1164771"/>
          <a:ext cx="616239" cy="510763"/>
        </a:xfrm>
        <a:prstGeom xmlns:a="http://schemas.openxmlformats.org/drawingml/2006/main" prst="line">
          <a:avLst/>
        </a:prstGeom>
        <a:ln xmlns:a="http://schemas.openxmlformats.org/drawingml/2006/main" w="317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25</xdr:col>
      <xdr:colOff>3017</xdr:colOff>
      <xdr:row>45</xdr:row>
      <xdr:rowOff>7203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45</xdr:row>
      <xdr:rowOff>0</xdr:rowOff>
    </xdr:from>
    <xdr:to>
      <xdr:col>25</xdr:col>
      <xdr:colOff>0</xdr:colOff>
      <xdr:row>67</xdr:row>
      <xdr:rowOff>7203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0</xdr:colOff>
      <xdr:row>22</xdr:row>
      <xdr:rowOff>190499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0.11046</cdr:x>
      <cdr:y>0.39747</cdr:y>
    </cdr:from>
    <cdr:to>
      <cdr:x>0.89572</cdr:x>
      <cdr:y>0.76029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743503" y="1668672"/>
          <a:ext cx="5285330" cy="1523192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434718 w 3312358"/>
            <a:gd name="connsiteY2" fmla="*/ 736804 h 1436628"/>
            <a:gd name="connsiteX3" fmla="*/ 1011813 w 3312358"/>
            <a:gd name="connsiteY3" fmla="*/ 1079916 h 1436628"/>
            <a:gd name="connsiteX4" fmla="*/ 1597497 w 3312358"/>
            <a:gd name="connsiteY4" fmla="*/ 1233669 h 1436628"/>
            <a:gd name="connsiteX5" fmla="*/ 2038090 w 3312358"/>
            <a:gd name="connsiteY5" fmla="*/ 1306839 h 1436628"/>
            <a:gd name="connsiteX6" fmla="*/ 2759839 w 3312358"/>
            <a:gd name="connsiteY6" fmla="*/ 1390938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312358" h="1436628">
              <a:moveTo>
                <a:pt x="8420" y="1436628"/>
              </a:moveTo>
              <a:cubicBezTo>
                <a:pt x="5613" y="1008702"/>
                <a:pt x="2807" y="427926"/>
                <a:pt x="0" y="0"/>
              </a:cubicBezTo>
              <a:cubicBezTo>
                <a:pt x="123396" y="351948"/>
                <a:pt x="237401" y="545277"/>
                <a:pt x="434718" y="736804"/>
              </a:cubicBezTo>
              <a:cubicBezTo>
                <a:pt x="514734" y="811348"/>
                <a:pt x="912496" y="1052348"/>
                <a:pt x="1011813" y="1079916"/>
              </a:cubicBezTo>
              <a:lnTo>
                <a:pt x="1597497" y="1233669"/>
              </a:lnTo>
              <a:lnTo>
                <a:pt x="2038090" y="1306839"/>
              </a:lnTo>
              <a:lnTo>
                <a:pt x="2759839" y="1390938"/>
              </a:lnTo>
              <a:lnTo>
                <a:pt x="3312358" y="1436628"/>
              </a:lnTo>
              <a:lnTo>
                <a:pt x="8420" y="1436628"/>
              </a:lnTo>
              <a:close/>
            </a:path>
          </a:pathLst>
        </a:custGeom>
        <a:solidFill xmlns:a="http://schemas.openxmlformats.org/drawingml/2006/main">
          <a:srgbClr val="FFC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0.90896</cdr:x>
      <cdr:y>0.76003</cdr:y>
    </cdr:from>
    <cdr:to>
      <cdr:x>0.91238</cdr:x>
      <cdr:y>0.90035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080475" y="3185274"/>
          <a:ext cx="22852" cy="5880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0.90139</cdr:x>
      <cdr:y>0.89461</cdr:y>
    </cdr:from>
    <cdr:to>
      <cdr:x>0.9582</cdr:x>
      <cdr:y>0.9708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066969" y="3755738"/>
          <a:ext cx="382370" cy="319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0.05793</cdr:x>
      <cdr:y>0.90585</cdr:y>
    </cdr:from>
    <cdr:to>
      <cdr:x>0.11475</cdr:x>
      <cdr:y>0.98204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505" y="3796417"/>
          <a:ext cx="380097" cy="31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0.39178</cdr:x>
      <cdr:y>0.89067</cdr:y>
    </cdr:from>
    <cdr:to>
      <cdr:x>0.63343</cdr:x>
      <cdr:y>0.95066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636921" y="3739228"/>
          <a:ext cx="1626511" cy="25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Cumulative Capacity</a:t>
          </a:r>
        </a:p>
      </cdr:txBody>
    </cdr:sp>
  </cdr:relSizeAnchor>
  <cdr:relSizeAnchor xmlns:cdr="http://schemas.openxmlformats.org/drawingml/2006/chartDrawing">
    <cdr:from>
      <cdr:x>0.03829</cdr:x>
      <cdr:y>0</cdr:y>
    </cdr:from>
    <cdr:to>
      <cdr:x>0.08375</cdr:x>
      <cdr:y>0.09524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208636" y="47524"/>
          <a:ext cx="399151" cy="304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Cost</a:t>
          </a:r>
          <a:endParaRPr lang="en-US" sz="1400" b="1" baseline="-25000"/>
        </a:p>
      </cdr:txBody>
    </cdr:sp>
  </cdr:relSizeAnchor>
  <cdr:relSizeAnchor xmlns:cdr="http://schemas.openxmlformats.org/drawingml/2006/chartDrawing">
    <cdr:from>
      <cdr:x>0.12155</cdr:x>
      <cdr:y>0.59704</cdr:y>
    </cdr:from>
    <cdr:to>
      <cdr:x>0.26076</cdr:x>
      <cdr:y>0.72085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3138" y="2502183"/>
          <a:ext cx="931242" cy="51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</cdr:txBody>
    </cdr:sp>
  </cdr:relSizeAnchor>
  <cdr:relSizeAnchor xmlns:cdr="http://schemas.openxmlformats.org/drawingml/2006/chartDrawing">
    <cdr:from>
      <cdr:x>0.1028</cdr:x>
      <cdr:y>0.90458</cdr:y>
    </cdr:from>
    <cdr:to>
      <cdr:x>0.16483</cdr:x>
      <cdr:y>0.98077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687695" y="3791095"/>
          <a:ext cx="414948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  <a:r>
            <a:rPr lang="en-US" sz="1200" b="1" baseline="0"/>
            <a:t>+</a:t>
          </a:r>
        </a:p>
      </cdr:txBody>
    </cdr:sp>
  </cdr:relSizeAnchor>
  <cdr:relSizeAnchor xmlns:cdr="http://schemas.openxmlformats.org/drawingml/2006/chartDrawing">
    <cdr:from>
      <cdr:x>0.04193</cdr:x>
      <cdr:y>0.13866</cdr:y>
    </cdr:from>
    <cdr:to>
      <cdr:x>0.0817</cdr:x>
      <cdr:y>0.23123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80471" y="581109"/>
          <a:ext cx="266041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0.04207</cdr:x>
      <cdr:y>0.34744</cdr:y>
    </cdr:from>
    <cdr:to>
      <cdr:x>0.08184</cdr:x>
      <cdr:y>0.44001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81407" y="1456117"/>
          <a:ext cx="266041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P'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0.03406</cdr:x>
      <cdr:y>0.72076</cdr:y>
    </cdr:from>
    <cdr:to>
      <cdr:x>0.08331</cdr:x>
      <cdr:y>0.79695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27833" y="3020724"/>
          <a:ext cx="329457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c</a:t>
          </a:r>
        </a:p>
      </cdr:txBody>
    </cdr:sp>
  </cdr:relSizeAnchor>
  <cdr:relSizeAnchor xmlns:cdr="http://schemas.openxmlformats.org/drawingml/2006/chartDrawing">
    <cdr:from>
      <cdr:x>0.87442</cdr:x>
      <cdr:y>0.74991</cdr:y>
    </cdr:from>
    <cdr:to>
      <cdr:x>0.8774</cdr:x>
      <cdr:y>0.90037</cdr:y>
    </cdr:to>
    <cdr:cxnSp macro="">
      <cdr:nvCxnSpPr>
        <cdr:cNvPr id="24" name="Straight Connector 23"/>
        <cdr:cNvCxnSpPr/>
      </cdr:nvCxnSpPr>
      <cdr:spPr>
        <a:xfrm xmlns:a="http://schemas.openxmlformats.org/drawingml/2006/main" flipH="1" flipV="1">
          <a:off x="5885437" y="3148275"/>
          <a:ext cx="20063" cy="6316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0.08855</cdr:x>
      <cdr:y>0.60418</cdr:y>
    </cdr:from>
    <cdr:to>
      <cdr:x>0.11062</cdr:x>
      <cdr:y>0.6049</cdr:y>
    </cdr:to>
    <cdr:cxnSp macro="">
      <cdr:nvCxnSpPr>
        <cdr:cNvPr id="30" name="Straight Connector 29"/>
        <cdr:cNvCxnSpPr/>
      </cdr:nvCxnSpPr>
      <cdr:spPr>
        <a:xfrm xmlns:a="http://schemas.openxmlformats.org/drawingml/2006/main">
          <a:off x="592355" y="2532112"/>
          <a:ext cx="147664" cy="300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0.08745</cdr:x>
      <cdr:y>0.72203</cdr:y>
    </cdr:from>
    <cdr:to>
      <cdr:x>0.11172</cdr:x>
      <cdr:y>0.72287</cdr:y>
    </cdr:to>
    <cdr:cxnSp macro="">
      <cdr:nvCxnSpPr>
        <cdr:cNvPr id="31" name="Straight Connector 30"/>
        <cdr:cNvCxnSpPr/>
      </cdr:nvCxnSpPr>
      <cdr:spPr>
        <a:xfrm xmlns:a="http://schemas.openxmlformats.org/drawingml/2006/main" flipV="1">
          <a:off x="585028" y="3026019"/>
          <a:ext cx="162318" cy="35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0.0883</cdr:x>
      <cdr:y>0.48041</cdr:y>
    </cdr:from>
    <cdr:to>
      <cdr:x>0.11062</cdr:x>
      <cdr:y>0.48077</cdr:y>
    </cdr:to>
    <cdr:cxnSp macro="">
      <cdr:nvCxnSpPr>
        <cdr:cNvPr id="18" name="Straight Connector 17"/>
        <cdr:cNvCxnSpPr/>
      </cdr:nvCxnSpPr>
      <cdr:spPr>
        <a:xfrm xmlns:a="http://schemas.openxmlformats.org/drawingml/2006/main">
          <a:off x="590690" y="2013383"/>
          <a:ext cx="149329" cy="152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0.46646</cdr:x>
      <cdr:y>0.02593</cdr:y>
    </cdr:from>
    <cdr:to>
      <cdr:x>0.53511</cdr:x>
      <cdr:y>0.08103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43250" y="108858"/>
          <a:ext cx="462643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(b)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0.08396</cdr:x>
      <cdr:y>0.31818</cdr:y>
    </cdr:from>
    <cdr:to>
      <cdr:x>0.59578</cdr:x>
      <cdr:y>0.75974</cdr:y>
    </cdr:to>
    <cdr:sp macro="" textlink="">
      <cdr:nvSpPr>
        <cdr:cNvPr id="20" name="Right Triangle 28"/>
        <cdr:cNvSpPr/>
      </cdr:nvSpPr>
      <cdr:spPr>
        <a:xfrm xmlns:a="http://schemas.openxmlformats.org/drawingml/2006/main">
          <a:off x="562969" y="1333500"/>
          <a:ext cx="3432089" cy="1850581"/>
        </a:xfrm>
        <a:custGeom xmlns:a="http://schemas.openxmlformats.org/drawingml/2006/main">
          <a:avLst/>
          <a:gdLst>
            <a:gd name="connsiteX0" fmla="*/ 0 w 3303938"/>
            <a:gd name="connsiteY0" fmla="*/ 1523973 h 1523973"/>
            <a:gd name="connsiteX1" fmla="*/ 0 w 3303938"/>
            <a:gd name="connsiteY1" fmla="*/ 0 h 1523973"/>
            <a:gd name="connsiteX2" fmla="*/ 3303938 w 3303938"/>
            <a:gd name="connsiteY2" fmla="*/ 1523973 h 1523973"/>
            <a:gd name="connsiteX3" fmla="*/ 0 w 3303938"/>
            <a:gd name="connsiteY3" fmla="*/ 1523973 h 1523973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3303938 w 3303938"/>
            <a:gd name="connsiteY2" fmla="*/ 1184386 h 1184386"/>
            <a:gd name="connsiteX3" fmla="*/ 0 w 3303938"/>
            <a:gd name="connsiteY3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370660 w 3303938"/>
            <a:gd name="connsiteY2" fmla="*/ 495008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184386 h 1184386"/>
            <a:gd name="connsiteX1" fmla="*/ 41413 w 3303938"/>
            <a:gd name="connsiteY1" fmla="*/ 0 h 1184386"/>
            <a:gd name="connsiteX2" fmla="*/ 1412073 w 3303938"/>
            <a:gd name="connsiteY2" fmla="*/ 677226 h 1184386"/>
            <a:gd name="connsiteX3" fmla="*/ 3303938 w 3303938"/>
            <a:gd name="connsiteY3" fmla="*/ 1184386 h 1184386"/>
            <a:gd name="connsiteX4" fmla="*/ 0 w 3303938"/>
            <a:gd name="connsiteY4" fmla="*/ 1184386 h 11843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412073 w 3303938"/>
            <a:gd name="connsiteY2" fmla="*/ 867726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3303938 w 3303938"/>
            <a:gd name="connsiteY3" fmla="*/ 1374886 h 1374886"/>
            <a:gd name="connsiteX4" fmla="*/ 0 w 3303938"/>
            <a:gd name="connsiteY4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49834 w 3303938"/>
            <a:gd name="connsiteY3" fmla="*/ 975399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66399 w 3303938"/>
            <a:gd name="connsiteY3" fmla="*/ 1008530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33269 w 3303938"/>
            <a:gd name="connsiteY3" fmla="*/ 1016813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0 w 3303938"/>
            <a:gd name="connsiteY0" fmla="*/ 1374886 h 1374886"/>
            <a:gd name="connsiteX1" fmla="*/ 0 w 3303938"/>
            <a:gd name="connsiteY1" fmla="*/ 0 h 1374886"/>
            <a:gd name="connsiteX2" fmla="*/ 1006225 w 3303938"/>
            <a:gd name="connsiteY2" fmla="*/ 635813 h 1374886"/>
            <a:gd name="connsiteX3" fmla="*/ 2016703 w 3303938"/>
            <a:gd name="connsiteY3" fmla="*/ 1041661 h 1374886"/>
            <a:gd name="connsiteX4" fmla="*/ 3303938 w 3303938"/>
            <a:gd name="connsiteY4" fmla="*/ 1374886 h 1374886"/>
            <a:gd name="connsiteX5" fmla="*/ 0 w 3303938"/>
            <a:gd name="connsiteY5" fmla="*/ 1374886 h 1374886"/>
            <a:gd name="connsiteX0" fmla="*/ 8420 w 3312358"/>
            <a:gd name="connsiteY0" fmla="*/ 1283778 h 1283778"/>
            <a:gd name="connsiteX1" fmla="*/ 0 w 3312358"/>
            <a:gd name="connsiteY1" fmla="*/ 0 h 1283778"/>
            <a:gd name="connsiteX2" fmla="*/ 1014645 w 3312358"/>
            <a:gd name="connsiteY2" fmla="*/ 544705 h 1283778"/>
            <a:gd name="connsiteX3" fmla="*/ 2025123 w 3312358"/>
            <a:gd name="connsiteY3" fmla="*/ 950553 h 1283778"/>
            <a:gd name="connsiteX4" fmla="*/ 3312358 w 3312358"/>
            <a:gd name="connsiteY4" fmla="*/ 1283778 h 1283778"/>
            <a:gd name="connsiteX5" fmla="*/ 8420 w 3312358"/>
            <a:gd name="connsiteY5" fmla="*/ 1283778 h 1283778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1014645 w 3312358"/>
            <a:gd name="connsiteY2" fmla="*/ 577836 h 1316909"/>
            <a:gd name="connsiteX3" fmla="*/ 2025123 w 3312358"/>
            <a:gd name="connsiteY3" fmla="*/ 983684 h 1316909"/>
            <a:gd name="connsiteX4" fmla="*/ 3312358 w 3312358"/>
            <a:gd name="connsiteY4" fmla="*/ 1316909 h 1316909"/>
            <a:gd name="connsiteX5" fmla="*/ 8420 w 3312358"/>
            <a:gd name="connsiteY5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799855 w 3312358"/>
            <a:gd name="connsiteY2" fmla="*/ 453597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3312358 w 3312358"/>
            <a:gd name="connsiteY5" fmla="*/ 1316909 h 1316909"/>
            <a:gd name="connsiteX6" fmla="*/ 8420 w 3312358"/>
            <a:gd name="connsiteY6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34276 w 3312358"/>
            <a:gd name="connsiteY5" fmla="*/ 109964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316909 h 1316909"/>
            <a:gd name="connsiteX1" fmla="*/ 0 w 3312358"/>
            <a:gd name="connsiteY1" fmla="*/ 0 h 1316909"/>
            <a:gd name="connsiteX2" fmla="*/ 833533 w 3312358"/>
            <a:gd name="connsiteY2" fmla="*/ 495010 h 1316909"/>
            <a:gd name="connsiteX3" fmla="*/ 1014645 w 3312358"/>
            <a:gd name="connsiteY3" fmla="*/ 577836 h 1316909"/>
            <a:gd name="connsiteX4" fmla="*/ 2025123 w 3312358"/>
            <a:gd name="connsiteY4" fmla="*/ 983684 h 1316909"/>
            <a:gd name="connsiteX5" fmla="*/ 2542696 w 3312358"/>
            <a:gd name="connsiteY5" fmla="*/ 1132771 h 1316909"/>
            <a:gd name="connsiteX6" fmla="*/ 3312358 w 3312358"/>
            <a:gd name="connsiteY6" fmla="*/ 1316909 h 1316909"/>
            <a:gd name="connsiteX7" fmla="*/ 8420 w 3312358"/>
            <a:gd name="connsiteY7" fmla="*/ 1316909 h 1316909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833533 w 3312358"/>
            <a:gd name="connsiteY2" fmla="*/ 614729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14645 w 3312358"/>
            <a:gd name="connsiteY3" fmla="*/ 697555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25123 w 3312358"/>
            <a:gd name="connsiteY4" fmla="*/ 1103403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2010369 w 3312358"/>
            <a:gd name="connsiteY4" fmla="*/ 1071478 h 1436628"/>
            <a:gd name="connsiteX5" fmla="*/ 2542696 w 3312358"/>
            <a:gd name="connsiteY5" fmla="*/ 1252490 h 1436628"/>
            <a:gd name="connsiteX6" fmla="*/ 3312358 w 3312358"/>
            <a:gd name="connsiteY6" fmla="*/ 1436628 h 1436628"/>
            <a:gd name="connsiteX7" fmla="*/ 8420 w 3312358"/>
            <a:gd name="connsiteY7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622981 w 3312358"/>
            <a:gd name="connsiteY4" fmla="*/ 917846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8420 w 3312358"/>
            <a:gd name="connsiteY0" fmla="*/ 1436628 h 1436628"/>
            <a:gd name="connsiteX1" fmla="*/ 0 w 3312358"/>
            <a:gd name="connsiteY1" fmla="*/ 0 h 1436628"/>
            <a:gd name="connsiteX2" fmla="*/ 656481 w 3312358"/>
            <a:gd name="connsiteY2" fmla="*/ 439141 h 1436628"/>
            <a:gd name="connsiteX3" fmla="*/ 1044153 w 3312358"/>
            <a:gd name="connsiteY3" fmla="*/ 657649 h 1436628"/>
            <a:gd name="connsiteX4" fmla="*/ 1431174 w 3312358"/>
            <a:gd name="connsiteY4" fmla="*/ 846014 h 1436628"/>
            <a:gd name="connsiteX5" fmla="*/ 2010369 w 3312358"/>
            <a:gd name="connsiteY5" fmla="*/ 1071478 h 1436628"/>
            <a:gd name="connsiteX6" fmla="*/ 2542696 w 3312358"/>
            <a:gd name="connsiteY6" fmla="*/ 1252490 h 1436628"/>
            <a:gd name="connsiteX7" fmla="*/ 3312358 w 3312358"/>
            <a:gd name="connsiteY7" fmla="*/ 1436628 h 1436628"/>
            <a:gd name="connsiteX8" fmla="*/ 8420 w 3312358"/>
            <a:gd name="connsiteY8" fmla="*/ 1436628 h 1436628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1062 w 3319267"/>
            <a:gd name="connsiteY3" fmla="*/ 1103111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3 w 3319267"/>
            <a:gd name="connsiteY4" fmla="*/ 1291476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16940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38084 w 3319267"/>
            <a:gd name="connsiteY4" fmla="*/ 1391703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57971 w 3319267"/>
            <a:gd name="connsiteY3" fmla="*/ 1214478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319267"/>
            <a:gd name="connsiteY0" fmla="*/ 1882090 h 1882090"/>
            <a:gd name="connsiteX1" fmla="*/ 0 w 3319267"/>
            <a:gd name="connsiteY1" fmla="*/ 0 h 1882090"/>
            <a:gd name="connsiteX2" fmla="*/ 663390 w 3319267"/>
            <a:gd name="connsiteY2" fmla="*/ 884603 h 1882090"/>
            <a:gd name="connsiteX3" fmla="*/ 1071789 w 3319267"/>
            <a:gd name="connsiteY3" fmla="*/ 1147659 h 1882090"/>
            <a:gd name="connsiteX4" fmla="*/ 1472626 w 3319267"/>
            <a:gd name="connsiteY4" fmla="*/ 1347158 h 1882090"/>
            <a:gd name="connsiteX5" fmla="*/ 2017278 w 3319267"/>
            <a:gd name="connsiteY5" fmla="*/ 1528078 h 1882090"/>
            <a:gd name="connsiteX6" fmla="*/ 2549605 w 3319267"/>
            <a:gd name="connsiteY6" fmla="*/ 1697952 h 1882090"/>
            <a:gd name="connsiteX7" fmla="*/ 3319267 w 3319267"/>
            <a:gd name="connsiteY7" fmla="*/ 1882090 h 1882090"/>
            <a:gd name="connsiteX8" fmla="*/ 15329 w 3319267"/>
            <a:gd name="connsiteY8" fmla="*/ 1882090 h 1882090"/>
            <a:gd name="connsiteX0" fmla="*/ 15329 w 3733775"/>
            <a:gd name="connsiteY0" fmla="*/ 1882090 h 1882090"/>
            <a:gd name="connsiteX1" fmla="*/ 0 w 3733775"/>
            <a:gd name="connsiteY1" fmla="*/ 0 h 1882090"/>
            <a:gd name="connsiteX2" fmla="*/ 663390 w 3733775"/>
            <a:gd name="connsiteY2" fmla="*/ 884603 h 1882090"/>
            <a:gd name="connsiteX3" fmla="*/ 1071789 w 3733775"/>
            <a:gd name="connsiteY3" fmla="*/ 1147659 h 1882090"/>
            <a:gd name="connsiteX4" fmla="*/ 1472626 w 3733775"/>
            <a:gd name="connsiteY4" fmla="*/ 1347158 h 1882090"/>
            <a:gd name="connsiteX5" fmla="*/ 2017278 w 3733775"/>
            <a:gd name="connsiteY5" fmla="*/ 1528078 h 1882090"/>
            <a:gd name="connsiteX6" fmla="*/ 2549605 w 3733775"/>
            <a:gd name="connsiteY6" fmla="*/ 1697952 h 1882090"/>
            <a:gd name="connsiteX7" fmla="*/ 3733775 w 3733775"/>
            <a:gd name="connsiteY7" fmla="*/ 1870953 h 1882090"/>
            <a:gd name="connsiteX8" fmla="*/ 15329 w 3733775"/>
            <a:gd name="connsiteY8" fmla="*/ 1882090 h 1882090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663390 w 3733775"/>
            <a:gd name="connsiteY2" fmla="*/ 884603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319956 w 3733775"/>
            <a:gd name="connsiteY2" fmla="*/ 794986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71789 w 3733775"/>
            <a:gd name="connsiteY3" fmla="*/ 1147659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1472626 w 3733775"/>
            <a:gd name="connsiteY4" fmla="*/ 134715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017278 w 3733775"/>
            <a:gd name="connsiteY5" fmla="*/ 1528078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2549605 w 3733775"/>
            <a:gd name="connsiteY6" fmla="*/ 1697952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  <a:gd name="connsiteX0" fmla="*/ 15329 w 3733775"/>
            <a:gd name="connsiteY0" fmla="*/ 1882090 h 1904362"/>
            <a:gd name="connsiteX1" fmla="*/ 0 w 3733775"/>
            <a:gd name="connsiteY1" fmla="*/ 0 h 1904362"/>
            <a:gd name="connsiteX2" fmla="*/ 254821 w 3733775"/>
            <a:gd name="connsiteY2" fmla="*/ 761380 h 1904362"/>
            <a:gd name="connsiteX3" fmla="*/ 1012575 w 3733775"/>
            <a:gd name="connsiteY3" fmla="*/ 1410907 h 1904362"/>
            <a:gd name="connsiteX4" fmla="*/ 2023305 w 3733775"/>
            <a:gd name="connsiteY4" fmla="*/ 1672018 h 1904362"/>
            <a:gd name="connsiteX5" fmla="*/ 2260051 w 3733775"/>
            <a:gd name="connsiteY5" fmla="*/ 1735317 h 1904362"/>
            <a:gd name="connsiteX6" fmla="*/ 3023308 w 3733775"/>
            <a:gd name="connsiteY6" fmla="*/ 1826775 h 1904362"/>
            <a:gd name="connsiteX7" fmla="*/ 3733775 w 3733775"/>
            <a:gd name="connsiteY7" fmla="*/ 1904362 h 1904362"/>
            <a:gd name="connsiteX8" fmla="*/ 15329 w 3733775"/>
            <a:gd name="connsiteY8" fmla="*/ 1882090 h 19043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3733775" h="1904362">
              <a:moveTo>
                <a:pt x="15329" y="1882090"/>
              </a:moveTo>
              <a:cubicBezTo>
                <a:pt x="12522" y="1454164"/>
                <a:pt x="2807" y="427926"/>
                <a:pt x="0" y="0"/>
              </a:cubicBezTo>
              <a:cubicBezTo>
                <a:pt x="125493" y="390929"/>
                <a:pt x="130313" y="448958"/>
                <a:pt x="254821" y="761380"/>
              </a:cubicBezTo>
              <a:cubicBezTo>
                <a:pt x="370365" y="931142"/>
                <a:pt x="887686" y="1436706"/>
                <a:pt x="1012575" y="1410907"/>
              </a:cubicBezTo>
              <a:cubicBezTo>
                <a:pt x="1231059" y="1490475"/>
                <a:pt x="1869955" y="1693268"/>
                <a:pt x="2023305" y="1672018"/>
              </a:cubicBezTo>
              <a:lnTo>
                <a:pt x="2260051" y="1735317"/>
              </a:lnTo>
              <a:lnTo>
                <a:pt x="3023308" y="1826775"/>
              </a:lnTo>
              <a:lnTo>
                <a:pt x="3733775" y="1904362"/>
              </a:lnTo>
              <a:lnTo>
                <a:pt x="15329" y="1882090"/>
              </a:lnTo>
              <a:close/>
            </a:path>
          </a:pathLst>
        </a:custGeom>
        <a:solidFill xmlns:a="http://schemas.openxmlformats.org/drawingml/2006/main">
          <a:schemeClr val="accent4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0.90883</cdr:x>
      <cdr:y>0.75283</cdr:y>
    </cdr:from>
    <cdr:to>
      <cdr:x>0.91019</cdr:x>
      <cdr:y>0.90753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079600" y="3160533"/>
          <a:ext cx="9073" cy="64946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0.8598</cdr:x>
      <cdr:y>0.83465</cdr:y>
    </cdr:from>
    <cdr:to>
      <cdr:x>0.91661</cdr:x>
      <cdr:y>0.91084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765508" y="3498038"/>
          <a:ext cx="380945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Q*</a:t>
          </a:r>
        </a:p>
      </cdr:txBody>
    </cdr:sp>
  </cdr:relSizeAnchor>
  <cdr:relSizeAnchor xmlns:cdr="http://schemas.openxmlformats.org/drawingml/2006/chartDrawing">
    <cdr:from>
      <cdr:x>0.05902</cdr:x>
      <cdr:y>0.90585</cdr:y>
    </cdr:from>
    <cdr:to>
      <cdr:x>0.11584</cdr:x>
      <cdr:y>0.98204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826" y="3796432"/>
          <a:ext cx="380096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0.43368</cdr:x>
      <cdr:y>0.93366</cdr:y>
    </cdr:from>
    <cdr:to>
      <cdr:x>0.67064</cdr:x>
      <cdr:y>0.99365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917657" y="3919702"/>
          <a:ext cx="1594185" cy="25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Cumulative Capacity</a:t>
          </a:r>
        </a:p>
      </cdr:txBody>
    </cdr:sp>
  </cdr:relSizeAnchor>
  <cdr:relSizeAnchor xmlns:cdr="http://schemas.openxmlformats.org/drawingml/2006/chartDrawing">
    <cdr:from>
      <cdr:x>0.04308</cdr:x>
      <cdr:y>0</cdr:y>
    </cdr:from>
    <cdr:to>
      <cdr:x>0.08854</cdr:x>
      <cdr:y>0.09524</cdr:y>
    </cdr:to>
    <cdr:sp macro="" textlink="">
      <cdr:nvSpPr>
        <cdr:cNvPr id="16" name="TextBox 1"/>
        <cdr:cNvSpPr txBox="1"/>
      </cdr:nvSpPr>
      <cdr:spPr>
        <a:xfrm xmlns:a="http://schemas.openxmlformats.org/drawingml/2006/main" rot="16200000">
          <a:off x="241752" y="47158"/>
          <a:ext cx="399151" cy="304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Cost</a:t>
          </a:r>
          <a:endParaRPr lang="en-US" sz="1400" b="1" baseline="-25000"/>
        </a:p>
      </cdr:txBody>
    </cdr:sp>
  </cdr:relSizeAnchor>
  <cdr:relSizeAnchor xmlns:cdr="http://schemas.openxmlformats.org/drawingml/2006/chartDrawing">
    <cdr:from>
      <cdr:x>0.08712</cdr:x>
      <cdr:y>0.61624</cdr:y>
    </cdr:from>
    <cdr:to>
      <cdr:x>0.22633</cdr:x>
      <cdr:y>0.74005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4221" y="2582677"/>
          <a:ext cx="933487" cy="51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ysClr val="windowText" lastClr="000000"/>
              </a:solidFill>
            </a:rPr>
            <a:t>Learning Investment</a:t>
          </a:r>
        </a:p>
      </cdr:txBody>
    </cdr:sp>
  </cdr:relSizeAnchor>
  <cdr:relSizeAnchor xmlns:cdr="http://schemas.openxmlformats.org/drawingml/2006/chartDrawing">
    <cdr:from>
      <cdr:x>0.59982</cdr:x>
      <cdr:y>0.75782</cdr:y>
    </cdr:from>
    <cdr:to>
      <cdr:x>0.60131</cdr:x>
      <cdr:y>0.9023</cdr:y>
    </cdr:to>
    <cdr:cxnSp macro="">
      <cdr:nvCxnSpPr>
        <cdr:cNvPr id="14" name="Straight Connector 13"/>
        <cdr:cNvCxnSpPr/>
      </cdr:nvCxnSpPr>
      <cdr:spPr>
        <a:xfrm xmlns:a="http://schemas.openxmlformats.org/drawingml/2006/main">
          <a:off x="4012484" y="3181482"/>
          <a:ext cx="9996" cy="6065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0.5753</cdr:x>
      <cdr:y>0.89858</cdr:y>
    </cdr:from>
    <cdr:to>
      <cdr:x>0.63733</cdr:x>
      <cdr:y>0.97477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3857721" y="3765943"/>
          <a:ext cx="415948" cy="31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Q'*</a:t>
          </a:r>
        </a:p>
      </cdr:txBody>
    </cdr:sp>
  </cdr:relSizeAnchor>
  <cdr:relSizeAnchor xmlns:cdr="http://schemas.openxmlformats.org/drawingml/2006/chartDrawing">
    <cdr:from>
      <cdr:x>0.08951</cdr:x>
      <cdr:y>0.25284</cdr:y>
    </cdr:from>
    <cdr:to>
      <cdr:x>0.09002</cdr:x>
      <cdr:y>0.31376</cdr:y>
    </cdr:to>
    <cdr:cxnSp macro="">
      <cdr:nvCxnSpPr>
        <cdr:cNvPr id="17" name="Straight Connector 16"/>
        <cdr:cNvCxnSpPr/>
      </cdr:nvCxnSpPr>
      <cdr:spPr>
        <a:xfrm xmlns:a="http://schemas.openxmlformats.org/drawingml/2006/main" flipH="1">
          <a:off x="597880" y="1059656"/>
          <a:ext cx="3385" cy="2553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0.14689</cdr:x>
      <cdr:y>0.48442</cdr:y>
    </cdr:from>
    <cdr:to>
      <cdr:x>0.14692</cdr:x>
      <cdr:y>0.54889</cdr:y>
    </cdr:to>
    <cdr:cxnSp macro="">
      <cdr:nvCxnSpPr>
        <cdr:cNvPr id="18" name="Straight Connector 17"/>
        <cdr:cNvCxnSpPr/>
      </cdr:nvCxnSpPr>
      <cdr:spPr>
        <a:xfrm xmlns:a="http://schemas.openxmlformats.org/drawingml/2006/main" flipH="1">
          <a:off x="985019" y="2030186"/>
          <a:ext cx="137" cy="2702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0.04098</cdr:x>
      <cdr:y>0.13007</cdr:y>
    </cdr:from>
    <cdr:to>
      <cdr:x>0.08075</cdr:x>
      <cdr:y>0.22264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76289" y="545110"/>
          <a:ext cx="268131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0.04112</cdr:x>
      <cdr:y>0.27774</cdr:y>
    </cdr:from>
    <cdr:to>
      <cdr:x>0.08089</cdr:x>
      <cdr:y>0.37031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77232" y="1163996"/>
          <a:ext cx="268131" cy="387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P'</a:t>
          </a:r>
          <a:r>
            <a:rPr lang="en-US" sz="1200" b="1" baseline="-25000"/>
            <a:t>0</a:t>
          </a:r>
        </a:p>
      </cdr:txBody>
    </cdr:sp>
  </cdr:relSizeAnchor>
  <cdr:relSizeAnchor xmlns:cdr="http://schemas.openxmlformats.org/drawingml/2006/chartDrawing">
    <cdr:from>
      <cdr:x>0.23899</cdr:x>
      <cdr:y>0.6</cdr:y>
    </cdr:from>
    <cdr:to>
      <cdr:x>0.24107</cdr:x>
      <cdr:y>0.65184</cdr:y>
    </cdr:to>
    <cdr:cxnSp macro="">
      <cdr:nvCxnSpPr>
        <cdr:cNvPr id="26" name="Straight Connector 25"/>
        <cdr:cNvCxnSpPr/>
      </cdr:nvCxnSpPr>
      <cdr:spPr>
        <a:xfrm xmlns:a="http://schemas.openxmlformats.org/drawingml/2006/main" flipH="1">
          <a:off x="1602565" y="2514600"/>
          <a:ext cx="13964" cy="2172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0.03323</cdr:x>
      <cdr:y>0.71667</cdr:y>
    </cdr:from>
    <cdr:to>
      <cdr:x>0.08248</cdr:x>
      <cdr:y>0.79286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22808" y="3003558"/>
          <a:ext cx="330251" cy="319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P</a:t>
          </a:r>
          <a:r>
            <a:rPr lang="en-US" sz="1200" b="1" baseline="-25000"/>
            <a:t>c</a:t>
          </a:r>
        </a:p>
      </cdr:txBody>
    </cdr:sp>
  </cdr:relSizeAnchor>
  <cdr:relSizeAnchor xmlns:cdr="http://schemas.openxmlformats.org/drawingml/2006/chartDrawing">
    <cdr:from>
      <cdr:x>0.34686</cdr:x>
      <cdr:y>0.66234</cdr:y>
    </cdr:from>
    <cdr:to>
      <cdr:x>0.34821</cdr:x>
      <cdr:y>0.70162</cdr:y>
    </cdr:to>
    <cdr:cxnSp macro="">
      <cdr:nvCxnSpPr>
        <cdr:cNvPr id="22" name="Straight Connector 21"/>
        <cdr:cNvCxnSpPr/>
      </cdr:nvCxnSpPr>
      <cdr:spPr>
        <a:xfrm xmlns:a="http://schemas.openxmlformats.org/drawingml/2006/main" flipH="1">
          <a:off x="2325915" y="2775857"/>
          <a:ext cx="9071" cy="1646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olid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0.47017</cdr:x>
      <cdr:y>0.02507</cdr:y>
    </cdr:from>
    <cdr:to>
      <cdr:x>0.53886</cdr:x>
      <cdr:y>0.08017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3166835" y="105229"/>
          <a:ext cx="462643" cy="231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(c)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electricity_generation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beta/international/data/browse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70" zoomScaleNormal="70" workbookViewId="0">
      <selection activeCell="M3" sqref="M3"/>
    </sheetView>
  </sheetViews>
  <sheetFormatPr defaultRowHeight="15" x14ac:dyDescent="0.25"/>
  <cols>
    <col min="9" max="9" width="12" bestFit="1" customWidth="1"/>
    <col min="10" max="10" width="12" customWidth="1"/>
    <col min="11" max="11" width="9.140625" customWidth="1"/>
  </cols>
  <sheetData>
    <row r="1" spans="1:22" x14ac:dyDescent="0.25">
      <c r="A1" s="4"/>
      <c r="B1" s="6" t="s">
        <v>46</v>
      </c>
      <c r="C1" s="6" t="s">
        <v>13</v>
      </c>
      <c r="D1" s="6" t="s">
        <v>3</v>
      </c>
      <c r="E1" s="6" t="s">
        <v>17</v>
      </c>
      <c r="F1" s="6" t="s">
        <v>2</v>
      </c>
      <c r="G1" s="3" t="s">
        <v>8</v>
      </c>
      <c r="H1" s="3" t="s">
        <v>113</v>
      </c>
      <c r="I1" s="3" t="s">
        <v>20</v>
      </c>
      <c r="J1" s="43" t="s">
        <v>57</v>
      </c>
      <c r="K1" s="43" t="s">
        <v>114</v>
      </c>
      <c r="L1" s="43" t="s">
        <v>130</v>
      </c>
      <c r="N1" s="1"/>
      <c r="O1" s="1"/>
      <c r="P1" s="1"/>
      <c r="Q1" s="1"/>
      <c r="R1" s="1"/>
      <c r="S1" s="1"/>
      <c r="T1" s="1"/>
    </row>
    <row r="2" spans="1:22" x14ac:dyDescent="0.25">
      <c r="A2" s="7"/>
      <c r="B2" s="5">
        <v>2</v>
      </c>
      <c r="C2" s="5">
        <v>1</v>
      </c>
      <c r="D2" s="5">
        <v>-0.2</v>
      </c>
      <c r="E2" s="5">
        <v>10</v>
      </c>
      <c r="F2" s="5">
        <f>E2/C2^D2</f>
        <v>10</v>
      </c>
      <c r="G2">
        <f>C2*(B2/E2)^(1/D2)</f>
        <v>3124.9999999999982</v>
      </c>
      <c r="H2">
        <f>C2*E2*(($D$2+1)^(-1)*(-$D$2*($B$2/E2)^(($D$2+1)/$D$2)-1)+$B$2/E2)</f>
        <v>1551.9999999999993</v>
      </c>
      <c r="I2">
        <f>((B2/E2)^((D2+1)/D2)-1)/(-D2*(B2/E2)^((D2+1)/D2)-1+(D2+1)*B2/E2)</f>
        <v>5.0257731958762886</v>
      </c>
      <c r="L2">
        <f>E2/B2</f>
        <v>5</v>
      </c>
      <c r="M2">
        <f>C2*E2*(-D2/(D2+1)*(L2^(-(D2+1)/(D2))+1/D2)+L2^-1)</f>
        <v>1552</v>
      </c>
    </row>
    <row r="3" spans="1:22" x14ac:dyDescent="0.25">
      <c r="A3" s="12"/>
      <c r="B3" s="9" t="s">
        <v>55</v>
      </c>
      <c r="C3" s="12">
        <v>1</v>
      </c>
      <c r="D3" s="12"/>
      <c r="E3" s="12">
        <v>8</v>
      </c>
      <c r="F3" s="12">
        <f>E3/C3^D2</f>
        <v>8</v>
      </c>
      <c r="G3">
        <f>C3*(B2/E3)^(1/D2)</f>
        <v>1024</v>
      </c>
      <c r="H3">
        <f>C3*E3*(($D$2+1)^(-1)*(-$D$2*($B$2/E3)^(($D$2+1)/$D$2)-1)+$B$2/E3)</f>
        <v>504</v>
      </c>
      <c r="J3">
        <f>(E2/E3)^(1/D2)</f>
        <v>0.32768000000000003</v>
      </c>
      <c r="K3">
        <f>H3/H5</f>
        <v>0.32768000000000008</v>
      </c>
    </row>
    <row r="4" spans="1:22" x14ac:dyDescent="0.25">
      <c r="A4" s="39"/>
      <c r="B4" s="40"/>
      <c r="C4" s="41">
        <f>1.25^(1/D2)</f>
        <v>0.32768000000000003</v>
      </c>
      <c r="D4" s="41"/>
      <c r="E4" s="41">
        <v>10</v>
      </c>
      <c r="F4" s="41">
        <f>E4/C4^D2</f>
        <v>8</v>
      </c>
      <c r="G4" s="42">
        <f>C4*(B2/E4)^(1/D2)</f>
        <v>1023.9999999999994</v>
      </c>
      <c r="H4" s="42">
        <f>C4*E4*((D2+1)^(-1)*(-D2*(B2/E4)^((D2+1)/D2)-1)+B2/E4)</f>
        <v>508.5593599999998</v>
      </c>
      <c r="I4" s="42">
        <f>H4/H2</f>
        <v>0.32768000000000003</v>
      </c>
      <c r="J4" s="42">
        <f>1/I4</f>
        <v>3.0517578124999996</v>
      </c>
    </row>
    <row r="5" spans="1:22" x14ac:dyDescent="0.25">
      <c r="A5" s="12"/>
      <c r="B5" s="9" t="s">
        <v>56</v>
      </c>
      <c r="C5" s="37">
        <f>$C$2*(E5/$E$2)^(1/$D$2)</f>
        <v>3.0517578124999982</v>
      </c>
      <c r="D5" s="37"/>
      <c r="E5" s="37">
        <v>8</v>
      </c>
      <c r="F5" s="37">
        <f>E5/C5^D2</f>
        <v>9.9999999999999982</v>
      </c>
      <c r="H5">
        <f>$C$2*$E$2*(E5/$E$2)^(($D$2+1)/$D$2)*(($D$2+1)^(-1)*(-$D$2*($B$2/E3)^(($D$2+1)/$D$2)-1)+$B$2/E3)</f>
        <v>1538.0859374999995</v>
      </c>
      <c r="I5">
        <f>C5*E5*(($D$2+1)^(-1)*(-$D$2*($B$2/E5)^(($D$2+1)/$D$2)-1)+$B$2/E5)</f>
        <v>1538.0859374999991</v>
      </c>
    </row>
    <row r="7" spans="1:22" ht="18" x14ac:dyDescent="0.35">
      <c r="B7" s="2"/>
      <c r="C7" s="10"/>
      <c r="D7" s="10"/>
      <c r="E7" s="11" t="s">
        <v>6</v>
      </c>
      <c r="F7" s="3" t="s">
        <v>7</v>
      </c>
      <c r="G7" s="3"/>
      <c r="H7" s="13"/>
      <c r="I7" s="13" t="s">
        <v>18</v>
      </c>
      <c r="J7" s="13"/>
      <c r="K7" s="14" t="s">
        <v>4</v>
      </c>
      <c r="L7" s="16"/>
      <c r="M7" s="16" t="s">
        <v>19</v>
      </c>
      <c r="N7" s="15"/>
      <c r="O7" s="37"/>
      <c r="P7" s="37" t="s">
        <v>54</v>
      </c>
      <c r="Q7" s="38"/>
      <c r="R7" t="s">
        <v>4</v>
      </c>
      <c r="S7" t="s">
        <v>4</v>
      </c>
      <c r="T7" t="s">
        <v>5</v>
      </c>
      <c r="U7" t="s">
        <v>5</v>
      </c>
    </row>
    <row r="8" spans="1:22" x14ac:dyDescent="0.25">
      <c r="B8" s="2">
        <f>C4</f>
        <v>0.32768000000000003</v>
      </c>
      <c r="C8" s="17">
        <f>LOG(B8,10)</f>
        <v>-0.48455006504028203</v>
      </c>
      <c r="D8" s="17">
        <f>$B$2</f>
        <v>2</v>
      </c>
      <c r="E8">
        <f>LOG($B$2,10)</f>
        <v>0.30102999566398114</v>
      </c>
      <c r="F8">
        <f t="shared" ref="F8:F26" si="0">F$2*$B8^D$2</f>
        <v>12.5</v>
      </c>
      <c r="G8">
        <f>LOG(F8,10)</f>
        <v>1.0969100130080565</v>
      </c>
      <c r="H8">
        <f t="shared" ref="H8:H19" si="1">F$3*$B8^D$2</f>
        <v>10</v>
      </c>
      <c r="I8" s="18"/>
      <c r="J8" s="18"/>
      <c r="K8" s="17"/>
      <c r="L8">
        <f t="shared" ref="L8:L19" si="2">F$4*$B8^D$2</f>
        <v>10</v>
      </c>
      <c r="M8">
        <f t="shared" ref="M8:M19" si="3">LOG(F$4*$B8^D$2,10)</f>
        <v>1</v>
      </c>
      <c r="N8">
        <f>M8-E8</f>
        <v>0.69897000433601886</v>
      </c>
      <c r="O8">
        <f>F$5*$B8^D$2</f>
        <v>12.499999999999998</v>
      </c>
      <c r="P8">
        <f>LOG(F$5*$B8^D$2,10)</f>
        <v>1.0969100130080562</v>
      </c>
      <c r="Q8">
        <f>P8-E8</f>
        <v>0.7958800173440751</v>
      </c>
    </row>
    <row r="9" spans="1:22" x14ac:dyDescent="0.25">
      <c r="B9">
        <v>1</v>
      </c>
      <c r="C9">
        <f>LOG(B9,10)</f>
        <v>0</v>
      </c>
      <c r="D9" s="17">
        <f t="shared" ref="D9:D26" si="4">$B$2</f>
        <v>2</v>
      </c>
      <c r="E9">
        <f>LOG($B$2,10)</f>
        <v>0.30102999566398114</v>
      </c>
      <c r="F9">
        <f t="shared" si="0"/>
        <v>10</v>
      </c>
      <c r="G9">
        <f>LOG(F9,10)</f>
        <v>1</v>
      </c>
      <c r="H9">
        <f t="shared" si="1"/>
        <v>8</v>
      </c>
      <c r="I9">
        <f t="shared" ref="I9:I19" si="5">LOG(F$3*$B9^D$2,10)</f>
        <v>0.90308998699194343</v>
      </c>
      <c r="J9">
        <f>H9-D9</f>
        <v>6</v>
      </c>
      <c r="K9">
        <f>I9-E9</f>
        <v>0.60205999132796229</v>
      </c>
      <c r="L9">
        <f t="shared" si="2"/>
        <v>8</v>
      </c>
      <c r="M9">
        <f t="shared" si="3"/>
        <v>0.90308998699194343</v>
      </c>
      <c r="N9">
        <f>M9-E9</f>
        <v>0.60205999132796229</v>
      </c>
      <c r="O9">
        <f t="shared" ref="O9:O19" si="6">F$5*$B9^D$2</f>
        <v>9.9999999999999982</v>
      </c>
      <c r="P9">
        <f t="shared" ref="P9:P19" si="7">LOG(F$5*$B9^D$2,10)</f>
        <v>0.99999999999999978</v>
      </c>
      <c r="Q9">
        <f t="shared" ref="Q9:Q19" si="8">P9-E9</f>
        <v>0.69897000433601864</v>
      </c>
      <c r="R9">
        <f t="shared" ref="R9:R21" si="9">F9-D9</f>
        <v>8</v>
      </c>
      <c r="S9">
        <f t="shared" ref="S9:S21" si="10">G9-E9</f>
        <v>0.69897000433601886</v>
      </c>
      <c r="T9">
        <f t="shared" ref="T9:T26" si="11">D9</f>
        <v>2</v>
      </c>
      <c r="U9">
        <f t="shared" ref="U9:U26" si="12">E9</f>
        <v>0.30102999566398114</v>
      </c>
      <c r="V9">
        <f>S9*B9</f>
        <v>0.69897000433601886</v>
      </c>
    </row>
    <row r="10" spans="1:22" x14ac:dyDescent="0.25">
      <c r="B10">
        <v>2</v>
      </c>
      <c r="C10">
        <f t="shared" ref="C10:C26" si="13">LOG(B10,10)</f>
        <v>0.30102999566398114</v>
      </c>
      <c r="D10" s="17">
        <f t="shared" si="4"/>
        <v>2</v>
      </c>
      <c r="E10">
        <f t="shared" ref="E10:E26" si="14">LOG($B$2,10)</f>
        <v>0.30102999566398114</v>
      </c>
      <c r="F10">
        <f t="shared" si="0"/>
        <v>8.7055056329612412</v>
      </c>
      <c r="G10">
        <f t="shared" ref="G10:G26" si="15">LOG(F10,10)</f>
        <v>0.93979400086720377</v>
      </c>
      <c r="H10">
        <f t="shared" si="1"/>
        <v>6.964404506368993</v>
      </c>
      <c r="I10">
        <f t="shared" si="5"/>
        <v>0.84288398785914731</v>
      </c>
      <c r="J10">
        <f t="shared" ref="J10:J19" si="16">H10-D10</f>
        <v>4.964404506368993</v>
      </c>
      <c r="K10">
        <f t="shared" ref="K10:K19" si="17">I10-E10</f>
        <v>0.54185399219516617</v>
      </c>
      <c r="L10">
        <f t="shared" si="2"/>
        <v>6.964404506368993</v>
      </c>
      <c r="M10">
        <f t="shared" si="3"/>
        <v>0.84288398785914731</v>
      </c>
      <c r="N10">
        <f t="shared" ref="N10:N19" si="18">M10-E10</f>
        <v>0.54185399219516617</v>
      </c>
      <c r="O10">
        <f t="shared" si="6"/>
        <v>8.7055056329612395</v>
      </c>
      <c r="P10">
        <f t="shared" si="7"/>
        <v>0.93979400086720355</v>
      </c>
      <c r="Q10">
        <f t="shared" si="8"/>
        <v>0.63876400520322241</v>
      </c>
      <c r="R10">
        <f t="shared" si="9"/>
        <v>6.7055056329612412</v>
      </c>
      <c r="S10">
        <f t="shared" si="10"/>
        <v>0.63876400520322263</v>
      </c>
      <c r="T10">
        <f t="shared" si="11"/>
        <v>2</v>
      </c>
      <c r="U10">
        <f t="shared" si="12"/>
        <v>0.30102999566398114</v>
      </c>
      <c r="V10">
        <f t="shared" ref="V10:V21" si="19">S10*(B10-B9)</f>
        <v>0.63876400520322263</v>
      </c>
    </row>
    <row r="11" spans="1:22" x14ac:dyDescent="0.25">
      <c r="B11">
        <f>B10*2</f>
        <v>4</v>
      </c>
      <c r="C11">
        <f t="shared" si="13"/>
        <v>0.60205999132796229</v>
      </c>
      <c r="D11" s="17">
        <f t="shared" si="4"/>
        <v>2</v>
      </c>
      <c r="E11">
        <f t="shared" si="14"/>
        <v>0.30102999566398114</v>
      </c>
      <c r="F11">
        <f t="shared" si="0"/>
        <v>7.5785828325519908</v>
      </c>
      <c r="G11">
        <f t="shared" si="15"/>
        <v>0.87958800173440754</v>
      </c>
      <c r="H11">
        <f t="shared" si="1"/>
        <v>6.0628662660415928</v>
      </c>
      <c r="I11">
        <f t="shared" si="5"/>
        <v>0.78267798872635108</v>
      </c>
      <c r="J11">
        <f t="shared" si="16"/>
        <v>4.0628662660415928</v>
      </c>
      <c r="K11">
        <f t="shared" si="17"/>
        <v>0.48164799306236994</v>
      </c>
      <c r="L11">
        <f t="shared" si="2"/>
        <v>6.0628662660415928</v>
      </c>
      <c r="M11">
        <f t="shared" si="3"/>
        <v>0.78267798872635108</v>
      </c>
      <c r="N11">
        <f t="shared" si="18"/>
        <v>0.48164799306236994</v>
      </c>
      <c r="O11">
        <f t="shared" si="6"/>
        <v>7.5785828325519899</v>
      </c>
      <c r="P11">
        <f t="shared" si="7"/>
        <v>0.87958800173440732</v>
      </c>
      <c r="Q11">
        <f t="shared" si="8"/>
        <v>0.57855800607042618</v>
      </c>
      <c r="R11">
        <f t="shared" si="9"/>
        <v>5.5785828325519908</v>
      </c>
      <c r="S11">
        <f t="shared" si="10"/>
        <v>0.5785580060704264</v>
      </c>
      <c r="T11">
        <f t="shared" si="11"/>
        <v>2</v>
      </c>
      <c r="U11">
        <f t="shared" si="12"/>
        <v>0.30102999566398114</v>
      </c>
      <c r="V11">
        <f t="shared" si="19"/>
        <v>1.1571160121408528</v>
      </c>
    </row>
    <row r="12" spans="1:22" x14ac:dyDescent="0.25">
      <c r="B12">
        <f t="shared" ref="B12:B26" si="20">B11*2</f>
        <v>8</v>
      </c>
      <c r="C12">
        <f t="shared" si="13"/>
        <v>0.90308998699194343</v>
      </c>
      <c r="D12" s="17">
        <f t="shared" si="4"/>
        <v>2</v>
      </c>
      <c r="E12">
        <f t="shared" si="14"/>
        <v>0.30102999566398114</v>
      </c>
      <c r="F12">
        <f t="shared" si="0"/>
        <v>6.5975395538644719</v>
      </c>
      <c r="G12">
        <f t="shared" si="15"/>
        <v>0.81938200260161131</v>
      </c>
      <c r="H12">
        <f t="shared" si="1"/>
        <v>5.2780316430915777</v>
      </c>
      <c r="I12">
        <f t="shared" si="5"/>
        <v>0.72247198959355485</v>
      </c>
      <c r="J12">
        <f t="shared" si="16"/>
        <v>3.2780316430915777</v>
      </c>
      <c r="K12">
        <f t="shared" si="17"/>
        <v>0.42144199392957371</v>
      </c>
      <c r="L12">
        <f t="shared" si="2"/>
        <v>5.2780316430915777</v>
      </c>
      <c r="M12">
        <f t="shared" si="3"/>
        <v>0.72247198959355485</v>
      </c>
      <c r="N12">
        <f t="shared" si="18"/>
        <v>0.42144199392957371</v>
      </c>
      <c r="O12">
        <f t="shared" si="6"/>
        <v>6.597539553864471</v>
      </c>
      <c r="P12">
        <f t="shared" si="7"/>
        <v>0.8193820026016112</v>
      </c>
      <c r="Q12">
        <f t="shared" si="8"/>
        <v>0.51835200693763006</v>
      </c>
      <c r="R12">
        <f t="shared" si="9"/>
        <v>4.5975395538644719</v>
      </c>
      <c r="S12">
        <f t="shared" si="10"/>
        <v>0.51835200693763017</v>
      </c>
      <c r="T12">
        <f t="shared" si="11"/>
        <v>2</v>
      </c>
      <c r="U12">
        <f t="shared" si="12"/>
        <v>0.30102999566398114</v>
      </c>
      <c r="V12">
        <f t="shared" si="19"/>
        <v>2.0734080277505207</v>
      </c>
    </row>
    <row r="13" spans="1:22" x14ac:dyDescent="0.25">
      <c r="B13">
        <f t="shared" si="20"/>
        <v>16</v>
      </c>
      <c r="C13">
        <f t="shared" si="13"/>
        <v>1.2041199826559246</v>
      </c>
      <c r="D13" s="17">
        <f t="shared" si="4"/>
        <v>2</v>
      </c>
      <c r="E13">
        <f t="shared" si="14"/>
        <v>0.30102999566398114</v>
      </c>
      <c r="F13">
        <f t="shared" si="0"/>
        <v>5.7434917749851753</v>
      </c>
      <c r="G13">
        <f t="shared" si="15"/>
        <v>0.75917600346881509</v>
      </c>
      <c r="H13">
        <f t="shared" si="1"/>
        <v>4.5947934199881404</v>
      </c>
      <c r="I13">
        <f t="shared" si="5"/>
        <v>0.66226599046075851</v>
      </c>
      <c r="J13">
        <f t="shared" si="16"/>
        <v>2.5947934199881404</v>
      </c>
      <c r="K13">
        <f t="shared" si="17"/>
        <v>0.36123599479677737</v>
      </c>
      <c r="L13">
        <f t="shared" si="2"/>
        <v>4.5947934199881404</v>
      </c>
      <c r="M13">
        <f t="shared" si="3"/>
        <v>0.66226599046075851</v>
      </c>
      <c r="N13">
        <f t="shared" si="18"/>
        <v>0.36123599479677737</v>
      </c>
      <c r="O13">
        <f t="shared" si="6"/>
        <v>5.7434917749851744</v>
      </c>
      <c r="P13">
        <f t="shared" si="7"/>
        <v>0.75917600346881497</v>
      </c>
      <c r="Q13">
        <f t="shared" si="8"/>
        <v>0.45814600780483383</v>
      </c>
      <c r="R13">
        <f t="shared" si="9"/>
        <v>3.7434917749851753</v>
      </c>
      <c r="S13">
        <f t="shared" si="10"/>
        <v>0.45814600780483394</v>
      </c>
      <c r="T13">
        <f t="shared" si="11"/>
        <v>2</v>
      </c>
      <c r="U13">
        <f t="shared" si="12"/>
        <v>0.30102999566398114</v>
      </c>
      <c r="V13">
        <f t="shared" si="19"/>
        <v>3.6651680624386715</v>
      </c>
    </row>
    <row r="14" spans="1:22" x14ac:dyDescent="0.25">
      <c r="B14">
        <f t="shared" si="20"/>
        <v>32</v>
      </c>
      <c r="C14">
        <f t="shared" si="13"/>
        <v>1.5051499783199058</v>
      </c>
      <c r="D14" s="17">
        <f t="shared" si="4"/>
        <v>2</v>
      </c>
      <c r="E14">
        <f t="shared" si="14"/>
        <v>0.30102999566398114</v>
      </c>
      <c r="F14">
        <f t="shared" si="0"/>
        <v>5</v>
      </c>
      <c r="G14">
        <f t="shared" si="15"/>
        <v>0.69897000433601875</v>
      </c>
      <c r="H14">
        <f t="shared" si="1"/>
        <v>4</v>
      </c>
      <c r="I14">
        <f t="shared" si="5"/>
        <v>0.60205999132796229</v>
      </c>
      <c r="J14">
        <f t="shared" si="16"/>
        <v>2</v>
      </c>
      <c r="K14">
        <f t="shared" si="17"/>
        <v>0.30102999566398114</v>
      </c>
      <c r="L14">
        <f t="shared" si="2"/>
        <v>4</v>
      </c>
      <c r="M14">
        <f t="shared" si="3"/>
        <v>0.60205999132796229</v>
      </c>
      <c r="N14">
        <f t="shared" si="18"/>
        <v>0.30102999566398114</v>
      </c>
      <c r="O14">
        <f t="shared" si="6"/>
        <v>4.9999999999999991</v>
      </c>
      <c r="P14">
        <f t="shared" si="7"/>
        <v>0.69897000433601875</v>
      </c>
      <c r="Q14">
        <f t="shared" si="8"/>
        <v>0.3979400086720376</v>
      </c>
      <c r="R14">
        <f t="shared" si="9"/>
        <v>3</v>
      </c>
      <c r="S14">
        <f t="shared" si="10"/>
        <v>0.3979400086720376</v>
      </c>
      <c r="T14">
        <f t="shared" si="11"/>
        <v>2</v>
      </c>
      <c r="U14">
        <f t="shared" si="12"/>
        <v>0.30102999566398114</v>
      </c>
      <c r="V14">
        <f t="shared" si="19"/>
        <v>6.3670401387526017</v>
      </c>
    </row>
    <row r="15" spans="1:22" x14ac:dyDescent="0.25">
      <c r="B15">
        <f t="shared" si="20"/>
        <v>64</v>
      </c>
      <c r="C15">
        <f t="shared" si="13"/>
        <v>1.8061799739838869</v>
      </c>
      <c r="D15" s="17">
        <f t="shared" si="4"/>
        <v>2</v>
      </c>
      <c r="E15">
        <f t="shared" si="14"/>
        <v>0.30102999566398114</v>
      </c>
      <c r="F15">
        <f t="shared" si="0"/>
        <v>4.3527528164806206</v>
      </c>
      <c r="G15">
        <f t="shared" si="15"/>
        <v>0.63876400520322241</v>
      </c>
      <c r="H15">
        <f t="shared" si="1"/>
        <v>3.4822022531844965</v>
      </c>
      <c r="I15">
        <f t="shared" si="5"/>
        <v>0.54185399219516606</v>
      </c>
      <c r="J15">
        <f t="shared" si="16"/>
        <v>1.4822022531844965</v>
      </c>
      <c r="K15">
        <f t="shared" si="17"/>
        <v>0.24082399653118491</v>
      </c>
      <c r="L15">
        <f t="shared" si="2"/>
        <v>3.4822022531844965</v>
      </c>
      <c r="M15">
        <f t="shared" si="3"/>
        <v>0.54185399219516606</v>
      </c>
      <c r="N15">
        <f t="shared" si="18"/>
        <v>0.24082399653118491</v>
      </c>
      <c r="O15">
        <f t="shared" si="6"/>
        <v>4.3527528164806197</v>
      </c>
      <c r="P15">
        <f t="shared" si="7"/>
        <v>0.63876400520322241</v>
      </c>
      <c r="Q15">
        <f t="shared" si="8"/>
        <v>0.33773400953924126</v>
      </c>
      <c r="R15">
        <f t="shared" si="9"/>
        <v>2.3527528164806206</v>
      </c>
      <c r="S15">
        <f t="shared" si="10"/>
        <v>0.33773400953924126</v>
      </c>
      <c r="T15">
        <f t="shared" si="11"/>
        <v>2</v>
      </c>
      <c r="U15">
        <f t="shared" si="12"/>
        <v>0.30102999566398114</v>
      </c>
      <c r="V15">
        <f t="shared" si="19"/>
        <v>10.80748830525572</v>
      </c>
    </row>
    <row r="16" spans="1:22" x14ac:dyDescent="0.25">
      <c r="B16">
        <f t="shared" si="20"/>
        <v>128</v>
      </c>
      <c r="C16">
        <f t="shared" si="13"/>
        <v>2.1072099696478679</v>
      </c>
      <c r="D16" s="17">
        <f t="shared" si="4"/>
        <v>2</v>
      </c>
      <c r="E16">
        <f t="shared" si="14"/>
        <v>0.30102999566398114</v>
      </c>
      <c r="F16">
        <f t="shared" si="0"/>
        <v>3.7892914162759954</v>
      </c>
      <c r="G16">
        <f t="shared" si="15"/>
        <v>0.57855800607042629</v>
      </c>
      <c r="H16">
        <f t="shared" si="1"/>
        <v>3.0314331330207964</v>
      </c>
      <c r="I16">
        <f t="shared" si="5"/>
        <v>0.48164799306236994</v>
      </c>
      <c r="J16">
        <f t="shared" si="16"/>
        <v>1.0314331330207964</v>
      </c>
      <c r="K16">
        <f t="shared" si="17"/>
        <v>0.1806179973983888</v>
      </c>
      <c r="L16">
        <f t="shared" si="2"/>
        <v>3.0314331330207964</v>
      </c>
      <c r="M16">
        <f t="shared" si="3"/>
        <v>0.48164799306236994</v>
      </c>
      <c r="N16">
        <f t="shared" si="18"/>
        <v>0.1806179973983888</v>
      </c>
      <c r="O16">
        <f t="shared" si="6"/>
        <v>3.789291416275995</v>
      </c>
      <c r="P16">
        <f t="shared" si="7"/>
        <v>0.57855800607042618</v>
      </c>
      <c r="Q16">
        <f t="shared" si="8"/>
        <v>0.27752801040644504</v>
      </c>
      <c r="R16">
        <f t="shared" si="9"/>
        <v>1.7892914162759954</v>
      </c>
      <c r="S16">
        <f t="shared" si="10"/>
        <v>0.27752801040644515</v>
      </c>
      <c r="T16">
        <f t="shared" si="11"/>
        <v>2</v>
      </c>
      <c r="U16">
        <f t="shared" si="12"/>
        <v>0.30102999566398114</v>
      </c>
      <c r="V16">
        <f t="shared" si="19"/>
        <v>17.761792666012489</v>
      </c>
    </row>
    <row r="17" spans="1:22" x14ac:dyDescent="0.25">
      <c r="B17">
        <f t="shared" si="20"/>
        <v>256</v>
      </c>
      <c r="C17">
        <f t="shared" si="13"/>
        <v>2.4082399653118491</v>
      </c>
      <c r="D17" s="17">
        <f t="shared" si="4"/>
        <v>2</v>
      </c>
      <c r="E17">
        <f t="shared" si="14"/>
        <v>0.30102999566398114</v>
      </c>
      <c r="F17">
        <f t="shared" si="0"/>
        <v>3.2987697769322359</v>
      </c>
      <c r="G17">
        <f t="shared" si="15"/>
        <v>0.51835200693763006</v>
      </c>
      <c r="H17">
        <f t="shared" si="1"/>
        <v>2.6390158215457888</v>
      </c>
      <c r="I17">
        <f t="shared" si="5"/>
        <v>0.42144199392957371</v>
      </c>
      <c r="J17">
        <f t="shared" si="16"/>
        <v>0.63901582154578884</v>
      </c>
      <c r="K17">
        <f t="shared" si="17"/>
        <v>0.12041199826559257</v>
      </c>
      <c r="L17">
        <f t="shared" si="2"/>
        <v>2.6390158215457888</v>
      </c>
      <c r="M17">
        <f t="shared" si="3"/>
        <v>0.42144199392957371</v>
      </c>
      <c r="N17">
        <f t="shared" si="18"/>
        <v>0.12041199826559257</v>
      </c>
      <c r="O17">
        <f t="shared" si="6"/>
        <v>3.2987697769322355</v>
      </c>
      <c r="P17">
        <f t="shared" si="7"/>
        <v>0.51835200693762995</v>
      </c>
      <c r="Q17">
        <f t="shared" si="8"/>
        <v>0.21732201127364881</v>
      </c>
      <c r="R17">
        <f t="shared" si="9"/>
        <v>1.2987697769322359</v>
      </c>
      <c r="S17">
        <f t="shared" si="10"/>
        <v>0.21732201127364892</v>
      </c>
      <c r="T17">
        <f t="shared" si="11"/>
        <v>2</v>
      </c>
      <c r="U17">
        <f t="shared" si="12"/>
        <v>0.30102999566398114</v>
      </c>
      <c r="V17">
        <f t="shared" si="19"/>
        <v>27.817217443027062</v>
      </c>
    </row>
    <row r="18" spans="1:22" x14ac:dyDescent="0.25">
      <c r="B18">
        <f t="shared" si="20"/>
        <v>512</v>
      </c>
      <c r="C18">
        <f t="shared" si="13"/>
        <v>2.7092699609758304</v>
      </c>
      <c r="D18" s="17">
        <f t="shared" si="4"/>
        <v>2</v>
      </c>
      <c r="E18">
        <f t="shared" si="14"/>
        <v>0.30102999566398114</v>
      </c>
      <c r="F18">
        <f t="shared" si="0"/>
        <v>2.8717458874925872</v>
      </c>
      <c r="G18">
        <f t="shared" si="15"/>
        <v>0.45814600780483372</v>
      </c>
      <c r="H18">
        <f t="shared" si="1"/>
        <v>2.2973967099940698</v>
      </c>
      <c r="I18">
        <f t="shared" si="5"/>
        <v>0.36123599479677737</v>
      </c>
      <c r="J18">
        <f t="shared" si="16"/>
        <v>0.29739670999406975</v>
      </c>
      <c r="K18">
        <f t="shared" si="17"/>
        <v>6.0205999132796229E-2</v>
      </c>
      <c r="L18">
        <f t="shared" si="2"/>
        <v>2.2973967099940698</v>
      </c>
      <c r="M18">
        <f t="shared" si="3"/>
        <v>0.36123599479677737</v>
      </c>
      <c r="N18">
        <f t="shared" si="18"/>
        <v>6.0205999132796229E-2</v>
      </c>
      <c r="O18">
        <f t="shared" si="6"/>
        <v>2.8717458874925867</v>
      </c>
      <c r="P18">
        <f t="shared" si="7"/>
        <v>0.45814600780483372</v>
      </c>
      <c r="Q18">
        <f t="shared" si="8"/>
        <v>0.15711601214085258</v>
      </c>
      <c r="R18">
        <f t="shared" si="9"/>
        <v>0.87174588749258719</v>
      </c>
      <c r="S18">
        <f t="shared" si="10"/>
        <v>0.15711601214085258</v>
      </c>
      <c r="T18">
        <f t="shared" si="11"/>
        <v>2</v>
      </c>
      <c r="U18">
        <f t="shared" si="12"/>
        <v>0.30102999566398114</v>
      </c>
      <c r="V18">
        <f t="shared" si="19"/>
        <v>40.22169910805826</v>
      </c>
    </row>
    <row r="19" spans="1:22" x14ac:dyDescent="0.25">
      <c r="B19">
        <f t="shared" si="20"/>
        <v>1024</v>
      </c>
      <c r="C19">
        <f t="shared" si="13"/>
        <v>3.0102999566398116</v>
      </c>
      <c r="D19" s="17">
        <f t="shared" si="4"/>
        <v>2</v>
      </c>
      <c r="E19">
        <f t="shared" si="14"/>
        <v>0.30102999566398114</v>
      </c>
      <c r="F19">
        <f t="shared" si="0"/>
        <v>2.4999999999999996</v>
      </c>
      <c r="G19">
        <f t="shared" si="15"/>
        <v>0.39794000867203749</v>
      </c>
      <c r="H19">
        <f t="shared" si="1"/>
        <v>1.9999999999999996</v>
      </c>
      <c r="I19">
        <f t="shared" si="5"/>
        <v>0.30102999566398109</v>
      </c>
      <c r="J19">
        <f t="shared" si="16"/>
        <v>0</v>
      </c>
      <c r="K19">
        <f t="shared" si="17"/>
        <v>0</v>
      </c>
      <c r="L19">
        <f t="shared" si="2"/>
        <v>1.9999999999999996</v>
      </c>
      <c r="M19">
        <f t="shared" si="3"/>
        <v>0.30102999566398109</v>
      </c>
      <c r="N19">
        <f t="shared" si="18"/>
        <v>0</v>
      </c>
      <c r="O19">
        <f t="shared" si="6"/>
        <v>2.4999999999999991</v>
      </c>
      <c r="P19">
        <f t="shared" si="7"/>
        <v>0.39794000867203738</v>
      </c>
      <c r="Q19">
        <f t="shared" si="8"/>
        <v>9.6910013008056239E-2</v>
      </c>
      <c r="R19">
        <f t="shared" si="9"/>
        <v>0.49999999999999956</v>
      </c>
      <c r="S19">
        <f t="shared" si="10"/>
        <v>9.691001300805635E-2</v>
      </c>
      <c r="T19">
        <f t="shared" si="11"/>
        <v>2</v>
      </c>
      <c r="U19">
        <f t="shared" si="12"/>
        <v>0.30102999566398114</v>
      </c>
      <c r="V19">
        <f t="shared" si="19"/>
        <v>49.617926660124851</v>
      </c>
    </row>
    <row r="20" spans="1:22" x14ac:dyDescent="0.25">
      <c r="B20">
        <f>B19*2</f>
        <v>2048</v>
      </c>
      <c r="C20">
        <f t="shared" si="13"/>
        <v>3.3113299523037929</v>
      </c>
      <c r="D20" s="17">
        <f t="shared" si="4"/>
        <v>2</v>
      </c>
      <c r="E20">
        <f t="shared" si="14"/>
        <v>0.30102999566398114</v>
      </c>
      <c r="F20">
        <f t="shared" si="0"/>
        <v>2.1763764082403099</v>
      </c>
      <c r="G20">
        <f t="shared" si="15"/>
        <v>0.33773400953924126</v>
      </c>
      <c r="O20">
        <f>F$5*$B20^D$2</f>
        <v>2.1763764082403094</v>
      </c>
      <c r="P20">
        <f>LOG(F$5*$B20^D$2,10)</f>
        <v>0.33773400953924115</v>
      </c>
      <c r="Q20">
        <f>P20-E20</f>
        <v>3.6704013875260011E-2</v>
      </c>
      <c r="R20">
        <f t="shared" si="9"/>
        <v>0.17637640824030987</v>
      </c>
      <c r="S20">
        <f t="shared" si="10"/>
        <v>3.6704013875260122E-2</v>
      </c>
      <c r="T20">
        <f t="shared" si="11"/>
        <v>2</v>
      </c>
      <c r="U20">
        <f t="shared" si="12"/>
        <v>0.30102999566398114</v>
      </c>
      <c r="V20">
        <f t="shared" si="19"/>
        <v>37.584910208266365</v>
      </c>
    </row>
    <row r="21" spans="1:22" x14ac:dyDescent="0.25">
      <c r="B21">
        <f>G2</f>
        <v>3124.9999999999982</v>
      </c>
      <c r="C21">
        <f t="shared" si="13"/>
        <v>3.4948500216800937</v>
      </c>
      <c r="D21" s="17">
        <f t="shared" si="4"/>
        <v>2</v>
      </c>
      <c r="E21">
        <f t="shared" si="14"/>
        <v>0.30102999566398114</v>
      </c>
      <c r="F21">
        <f t="shared" si="0"/>
        <v>1.9999999999999996</v>
      </c>
      <c r="G21">
        <f t="shared" si="15"/>
        <v>0.30102999566398109</v>
      </c>
      <c r="O21">
        <f>F$5*$B21^D$2</f>
        <v>1.9999999999999991</v>
      </c>
      <c r="P21">
        <f>LOG(F$5*$B21^D$2,10)</f>
        <v>0.30102999566398098</v>
      </c>
      <c r="Q21">
        <f>P21-E21</f>
        <v>0</v>
      </c>
      <c r="R21">
        <f t="shared" si="9"/>
        <v>0</v>
      </c>
      <c r="S21">
        <f t="shared" si="10"/>
        <v>0</v>
      </c>
      <c r="T21">
        <f t="shared" si="11"/>
        <v>2</v>
      </c>
      <c r="U21">
        <f t="shared" si="12"/>
        <v>0.30102999566398114</v>
      </c>
      <c r="V21">
        <f t="shared" si="19"/>
        <v>0</v>
      </c>
    </row>
    <row r="22" spans="1:22" x14ac:dyDescent="0.25">
      <c r="B22">
        <f>B20*2</f>
        <v>4096</v>
      </c>
      <c r="C22">
        <f t="shared" si="13"/>
        <v>3.6123599479677737</v>
      </c>
      <c r="D22" s="17">
        <f t="shared" si="4"/>
        <v>2</v>
      </c>
      <c r="E22">
        <f t="shared" si="14"/>
        <v>0.30102999566398114</v>
      </c>
      <c r="F22">
        <f t="shared" si="0"/>
        <v>1.8946457081379977</v>
      </c>
      <c r="G22">
        <f t="shared" si="15"/>
        <v>0.27752801040644509</v>
      </c>
      <c r="R22">
        <v>0</v>
      </c>
      <c r="S22">
        <v>0</v>
      </c>
      <c r="T22">
        <f t="shared" si="11"/>
        <v>2</v>
      </c>
      <c r="U22">
        <f t="shared" si="12"/>
        <v>0.30102999566398114</v>
      </c>
      <c r="V22">
        <f>S22*(B22-B20)</f>
        <v>0</v>
      </c>
    </row>
    <row r="23" spans="1:22" x14ac:dyDescent="0.25">
      <c r="B23">
        <f t="shared" si="20"/>
        <v>8192</v>
      </c>
      <c r="C23">
        <f t="shared" si="13"/>
        <v>3.913389943631755</v>
      </c>
      <c r="D23" s="17">
        <f t="shared" si="4"/>
        <v>2</v>
      </c>
      <c r="E23">
        <f t="shared" si="14"/>
        <v>0.30102999566398114</v>
      </c>
      <c r="F23">
        <f t="shared" si="0"/>
        <v>1.649384888466118</v>
      </c>
      <c r="G23">
        <f t="shared" si="15"/>
        <v>0.21732201127364892</v>
      </c>
      <c r="R23">
        <v>0</v>
      </c>
      <c r="S23">
        <v>0</v>
      </c>
      <c r="T23">
        <f t="shared" si="11"/>
        <v>2</v>
      </c>
      <c r="U23">
        <f t="shared" si="12"/>
        <v>0.30102999566398114</v>
      </c>
      <c r="V23">
        <f>S23*(B23-B22)</f>
        <v>0</v>
      </c>
    </row>
    <row r="24" spans="1:22" x14ac:dyDescent="0.25">
      <c r="B24">
        <f t="shared" si="20"/>
        <v>16384</v>
      </c>
      <c r="C24">
        <f t="shared" si="13"/>
        <v>4.2144199392957358</v>
      </c>
      <c r="D24" s="17">
        <f t="shared" si="4"/>
        <v>2</v>
      </c>
      <c r="E24">
        <f t="shared" si="14"/>
        <v>0.30102999566398114</v>
      </c>
      <c r="F24">
        <f t="shared" si="0"/>
        <v>1.4358729437462938</v>
      </c>
      <c r="G24">
        <f t="shared" si="15"/>
        <v>0.15711601214085266</v>
      </c>
      <c r="R24">
        <v>0</v>
      </c>
      <c r="S24">
        <v>0</v>
      </c>
      <c r="T24">
        <f t="shared" si="11"/>
        <v>2</v>
      </c>
      <c r="U24">
        <f t="shared" si="12"/>
        <v>0.30102999566398114</v>
      </c>
      <c r="V24">
        <f>S24*(B24-B23)</f>
        <v>0</v>
      </c>
    </row>
    <row r="25" spans="1:22" x14ac:dyDescent="0.25">
      <c r="B25">
        <f t="shared" si="20"/>
        <v>32768</v>
      </c>
      <c r="C25">
        <f t="shared" si="13"/>
        <v>4.515449934959717</v>
      </c>
      <c r="D25" s="17">
        <f t="shared" si="4"/>
        <v>2</v>
      </c>
      <c r="E25">
        <f t="shared" si="14"/>
        <v>0.30102999566398114</v>
      </c>
      <c r="F25">
        <f t="shared" si="0"/>
        <v>1.2500000000000002</v>
      </c>
      <c r="G25">
        <f t="shared" si="15"/>
        <v>9.6910013008056475E-2</v>
      </c>
      <c r="R25">
        <v>0</v>
      </c>
      <c r="S25">
        <v>0</v>
      </c>
      <c r="T25">
        <f t="shared" si="11"/>
        <v>2</v>
      </c>
      <c r="U25">
        <f t="shared" si="12"/>
        <v>0.30102999566398114</v>
      </c>
      <c r="V25">
        <f>S25*(B25-B24)</f>
        <v>0</v>
      </c>
    </row>
    <row r="26" spans="1:22" x14ac:dyDescent="0.25">
      <c r="B26">
        <f t="shared" si="20"/>
        <v>65536</v>
      </c>
      <c r="C26">
        <f t="shared" si="13"/>
        <v>4.8164799306236983</v>
      </c>
      <c r="D26" s="17">
        <f t="shared" si="4"/>
        <v>2</v>
      </c>
      <c r="E26">
        <f t="shared" si="14"/>
        <v>0.30102999566398114</v>
      </c>
      <c r="F26">
        <f t="shared" si="0"/>
        <v>1.0881882041201554</v>
      </c>
      <c r="G26">
        <f t="shared" si="15"/>
        <v>3.6704013875260254E-2</v>
      </c>
      <c r="R26">
        <v>0</v>
      </c>
      <c r="S26">
        <v>0</v>
      </c>
      <c r="T26">
        <f t="shared" si="11"/>
        <v>2</v>
      </c>
      <c r="U26">
        <f t="shared" si="12"/>
        <v>0.30102999566398114</v>
      </c>
      <c r="V26">
        <f>S26*(B26-B25)</f>
        <v>0</v>
      </c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22" x14ac:dyDescent="0.25">
      <c r="B29" s="8"/>
      <c r="C29" s="8"/>
      <c r="D29" s="8"/>
    </row>
    <row r="30" spans="1:22" x14ac:dyDescent="0.25">
      <c r="B30" s="8"/>
      <c r="C30" s="8"/>
      <c r="D30" s="8"/>
    </row>
    <row r="31" spans="1:22" x14ac:dyDescent="0.25">
      <c r="B31" s="8"/>
      <c r="C31" s="8"/>
      <c r="D31" s="8"/>
    </row>
    <row r="34" spans="5:6" x14ac:dyDescent="0.25">
      <c r="E34">
        <v>1</v>
      </c>
      <c r="F34">
        <f>LOG(E34)</f>
        <v>0</v>
      </c>
    </row>
    <row r="35" spans="5:6" x14ac:dyDescent="0.25">
      <c r="E35">
        <v>2</v>
      </c>
      <c r="F35">
        <f t="shared" ref="F35:F43" si="21">LOG(E35)</f>
        <v>0.3010299956639812</v>
      </c>
    </row>
    <row r="36" spans="5:6" x14ac:dyDescent="0.25">
      <c r="E36">
        <v>3</v>
      </c>
      <c r="F36">
        <f t="shared" si="21"/>
        <v>0.47712125471966244</v>
      </c>
    </row>
    <row r="37" spans="5:6" x14ac:dyDescent="0.25">
      <c r="E37">
        <v>4</v>
      </c>
      <c r="F37">
        <f t="shared" si="21"/>
        <v>0.6020599913279624</v>
      </c>
    </row>
    <row r="38" spans="5:6" x14ac:dyDescent="0.25">
      <c r="E38">
        <v>5</v>
      </c>
      <c r="F38">
        <f t="shared" si="21"/>
        <v>0.69897000433601886</v>
      </c>
    </row>
    <row r="39" spans="5:6" x14ac:dyDescent="0.25">
      <c r="E39">
        <v>6</v>
      </c>
      <c r="F39">
        <f t="shared" si="21"/>
        <v>0.77815125038364363</v>
      </c>
    </row>
    <row r="40" spans="5:6" x14ac:dyDescent="0.25">
      <c r="E40">
        <v>7</v>
      </c>
      <c r="F40">
        <f t="shared" si="21"/>
        <v>0.84509804001425681</v>
      </c>
    </row>
    <row r="41" spans="5:6" x14ac:dyDescent="0.25">
      <c r="E41">
        <v>8</v>
      </c>
      <c r="F41">
        <f t="shared" si="21"/>
        <v>0.90308998699194354</v>
      </c>
    </row>
    <row r="42" spans="5:6" x14ac:dyDescent="0.25">
      <c r="E42">
        <v>9</v>
      </c>
      <c r="F42">
        <f t="shared" si="21"/>
        <v>0.95424250943932487</v>
      </c>
    </row>
    <row r="43" spans="5:6" x14ac:dyDescent="0.25">
      <c r="E43">
        <v>10</v>
      </c>
      <c r="F43">
        <f t="shared" si="21"/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06"/>
  <sheetViews>
    <sheetView zoomScaleNormal="100" workbookViewId="0">
      <selection activeCell="E5" sqref="E5"/>
    </sheetView>
  </sheetViews>
  <sheetFormatPr defaultRowHeight="15" x14ac:dyDescent="0.25"/>
  <cols>
    <col min="1" max="1" width="14.140625" bestFit="1" customWidth="1"/>
    <col min="3" max="4" width="12" bestFit="1" customWidth="1"/>
    <col min="10" max="10" width="9.140625" style="55"/>
    <col min="12" max="12" width="11" bestFit="1" customWidth="1"/>
    <col min="13" max="13" width="11.7109375" bestFit="1" customWidth="1"/>
    <col min="14" max="14" width="12" bestFit="1" customWidth="1"/>
  </cols>
  <sheetData>
    <row r="1" spans="1:28" x14ac:dyDescent="0.25">
      <c r="D1" s="46" t="s">
        <v>133</v>
      </c>
    </row>
    <row r="2" spans="1:28" x14ac:dyDescent="0.25">
      <c r="B2" t="s">
        <v>52</v>
      </c>
      <c r="D2" s="75" t="s">
        <v>51</v>
      </c>
      <c r="F2" t="s">
        <v>48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 spans="1:28" x14ac:dyDescent="0.25">
      <c r="A3" s="19" t="s">
        <v>11</v>
      </c>
      <c r="B3" s="1" t="s">
        <v>12</v>
      </c>
      <c r="C3" s="1" t="s">
        <v>3</v>
      </c>
      <c r="D3" s="1" t="s">
        <v>17</v>
      </c>
      <c r="E3" s="1" t="s">
        <v>13</v>
      </c>
      <c r="F3" s="1" t="s">
        <v>46</v>
      </c>
      <c r="G3" s="1" t="s">
        <v>8</v>
      </c>
      <c r="I3" t="s">
        <v>136</v>
      </c>
      <c r="J3" s="55" t="s">
        <v>135</v>
      </c>
      <c r="K3" s="67"/>
      <c r="L3" s="55"/>
      <c r="M3" s="55"/>
      <c r="N3" s="55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 spans="1:28" x14ac:dyDescent="0.25">
      <c r="A4" s="19"/>
      <c r="B4" s="1"/>
      <c r="C4" s="1"/>
      <c r="D4" t="s">
        <v>47</v>
      </c>
      <c r="E4" s="1" t="s">
        <v>50</v>
      </c>
      <c r="F4" t="s">
        <v>47</v>
      </c>
      <c r="G4" s="1" t="s">
        <v>50</v>
      </c>
      <c r="I4" s="45" t="s">
        <v>10</v>
      </c>
      <c r="J4" s="45" t="s">
        <v>116</v>
      </c>
      <c r="K4" s="68" t="s">
        <v>127</v>
      </c>
      <c r="L4" s="45" t="s">
        <v>154</v>
      </c>
      <c r="M4" s="45" t="s">
        <v>127</v>
      </c>
      <c r="N4" s="55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 spans="1:28" x14ac:dyDescent="0.25">
      <c r="A5" s="79" t="s">
        <v>14</v>
      </c>
      <c r="B5" s="8">
        <v>0.23</v>
      </c>
      <c r="C5">
        <f>LN(1-B5)/LN(2)</f>
        <v>-0.37706964907982332</v>
      </c>
      <c r="D5" s="75">
        <v>125.3</v>
      </c>
      <c r="E5">
        <f>Generation!AK18</f>
        <v>134</v>
      </c>
      <c r="F5" s="46">
        <v>50</v>
      </c>
      <c r="G5">
        <f>E5*(F5/D5)^(1/C5)</f>
        <v>1531.84397894839</v>
      </c>
      <c r="H5">
        <f>-1/(C5+1)*(C5*(F5/D5)^((C5+1)/C5)+1)+(F5/D5)</f>
        <v>1.555008344741855</v>
      </c>
      <c r="I5" s="57">
        <f>(1/C5*(F5/D5-1))/H5</f>
        <v>1.0249191423035349</v>
      </c>
      <c r="J5" s="57">
        <f>(1/(C5+1)*((F5/D5)^((C5+1)/C5)-1))/H5</f>
        <v>3.67694908541971</v>
      </c>
      <c r="K5" s="66">
        <f>J5/I5</f>
        <v>3.587550406323432</v>
      </c>
      <c r="L5">
        <f>D5/F5</f>
        <v>2.5059999999999998</v>
      </c>
      <c r="M5" s="55">
        <f>C5/(C5+1)*L5/(1-L5)*(L5^(-(C5+1)/C5)-1)</f>
        <v>3.5875504063234316</v>
      </c>
      <c r="N5" s="55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 spans="1:28" s="73" customFormat="1" x14ac:dyDescent="0.25">
      <c r="A6" s="81" t="s">
        <v>132</v>
      </c>
      <c r="B6" s="8">
        <v>1.4E-2</v>
      </c>
      <c r="C6" s="73">
        <f t="shared" ref="C6:C9" si="0">LN(1-B6)/LN(2)</f>
        <v>-2.0340448284175534E-2</v>
      </c>
      <c r="D6" s="46">
        <v>116.8</v>
      </c>
      <c r="E6" s="73">
        <f>Generation!AK11</f>
        <v>3761</v>
      </c>
      <c r="F6" s="46">
        <v>50</v>
      </c>
      <c r="G6" s="73">
        <f t="shared" ref="G6:G9" si="1">E6*(F6/D6)^(1/C6)</f>
        <v>4.9043281434961269E+21</v>
      </c>
      <c r="H6" s="74">
        <f>-1/(C6+1)*(C6*(F6/D6)^((C6+1)/C6)+1)+(F6/D6)</f>
        <v>1.1590140260974872E+16</v>
      </c>
      <c r="I6" s="57">
        <f>(1/C6*(F6/D6-1))/H6</f>
        <v>2.4259643126382488E-15</v>
      </c>
      <c r="J6" s="57">
        <f>(1/(C6+1)*((F6/D6)^((C6+1)/C6)-1))/H6</f>
        <v>49.163124923750097</v>
      </c>
      <c r="K6" s="66">
        <f>J6/I6</f>
        <v>2.0265394947333312E+16</v>
      </c>
      <c r="L6" s="73">
        <f>D6/F6</f>
        <v>2.3359999999999999</v>
      </c>
      <c r="M6" s="73">
        <f>C6/(C6+1)*L6/(1-L6)*(L6^(-(C6+1)/C6)-1)</f>
        <v>2.0265394947333168E+16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spans="1:28" s="73" customFormat="1" x14ac:dyDescent="0.25">
      <c r="A7" s="82" t="s">
        <v>131</v>
      </c>
      <c r="B7" s="8">
        <v>0.12</v>
      </c>
      <c r="C7" s="73">
        <f t="shared" si="0"/>
        <v>-0.18442457113742744</v>
      </c>
      <c r="D7" s="46">
        <v>112.8</v>
      </c>
      <c r="E7" s="73">
        <f>Generation!AK14</f>
        <v>645</v>
      </c>
      <c r="F7" s="46">
        <v>50</v>
      </c>
      <c r="G7" s="73">
        <f t="shared" si="1"/>
        <v>53144.709456095014</v>
      </c>
      <c r="H7" s="74">
        <f>-1/(C7+1)*(C7*(F7/D7)^((C7+1)/C7)+1)+(F7/D7)</f>
        <v>7.4759138484397454</v>
      </c>
      <c r="I7" s="57">
        <f>(1/C7*(F7/D7-1))/H7</f>
        <v>0.40380107788720104</v>
      </c>
      <c r="J7" s="57">
        <f>(1/(C7+1)*((F7/D7)^((C7+1)/C7)-1))/H7</f>
        <v>5.8260720574674183</v>
      </c>
      <c r="K7" s="66">
        <f>J7/I7</f>
        <v>14.428074555796233</v>
      </c>
      <c r="L7" s="73">
        <f>D7/F7</f>
        <v>2.2559999999999998</v>
      </c>
      <c r="M7" s="73">
        <f>C7/(C7+1)*L7/(1-L7)*(L7^(-(C7+1)/C7)-1)</f>
        <v>14.428074555796224</v>
      </c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spans="1:28" x14ac:dyDescent="0.25">
      <c r="A8" s="80" t="s">
        <v>49</v>
      </c>
      <c r="B8" s="8">
        <v>0.12</v>
      </c>
      <c r="C8" s="73">
        <f t="shared" si="0"/>
        <v>-0.18442457113742744</v>
      </c>
      <c r="D8" s="75">
        <v>196.9</v>
      </c>
      <c r="E8" s="20">
        <v>30</v>
      </c>
      <c r="F8" s="46">
        <v>50</v>
      </c>
      <c r="G8" s="73">
        <f>E8*(F8/D8)^(1/C8)</f>
        <v>50683.601973439116</v>
      </c>
      <c r="H8" s="55">
        <f>-1/(C8+1)*(C8*(F8/D8)^((C8+1)/C8)+1)+(F8/D8)</f>
        <v>96.039739967751501</v>
      </c>
      <c r="I8" s="57">
        <f>(1/C8*(F8/D8-1))/H8</f>
        <v>4.2121741826943532E-2</v>
      </c>
      <c r="J8" s="57">
        <f>(1/(C8+1)*((F8/D8)^((C8+1)/C8)-1))/H8</f>
        <v>5.4643927214071599</v>
      </c>
      <c r="K8" s="66">
        <f>J8/I8</f>
        <v>129.72855547753761</v>
      </c>
      <c r="L8" s="73">
        <f>D8/F8</f>
        <v>3.9380000000000002</v>
      </c>
      <c r="M8" s="73">
        <f>C8/(C8+1)*L8/(1-L8)*(L8^(-(C8+1)/C8)-1)</f>
        <v>129.72855547753747</v>
      </c>
      <c r="N8" s="55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 spans="1:28" x14ac:dyDescent="0.25">
      <c r="A9" s="78" t="s">
        <v>16</v>
      </c>
      <c r="B9" s="8">
        <v>0.11</v>
      </c>
      <c r="C9" s="73">
        <f t="shared" si="0"/>
        <v>-0.16812275880832692</v>
      </c>
      <c r="D9" s="75">
        <v>100.5</v>
      </c>
      <c r="E9">
        <f>Generation!AK19</f>
        <v>424</v>
      </c>
      <c r="F9" s="46">
        <v>50</v>
      </c>
      <c r="G9" s="73">
        <f t="shared" si="1"/>
        <v>26964.136759303485</v>
      </c>
      <c r="H9" s="55">
        <f>-1/(C9+1)*(C9*(F9/D9)^((C9+1)/C9)+1)+(F9/D9)</f>
        <v>5.6896952708884774</v>
      </c>
      <c r="I9" s="57">
        <f>(1/C9*(F9/D9-1))/H9</f>
        <v>0.52530290361817278</v>
      </c>
      <c r="J9" s="57">
        <f>(1/(C9+1)*((F9/D9)^((C9+1)/C9)-1))/H9</f>
        <v>6.4733375842771919</v>
      </c>
      <c r="K9" s="66">
        <f>J9/I9</f>
        <v>12.323056925233503</v>
      </c>
      <c r="L9" s="73">
        <f>D9/F9</f>
        <v>2.0099999999999998</v>
      </c>
      <c r="M9" s="73">
        <f>C9/(C9+1)*L9/(1-L9)*(L9^(-(C9+1)/C9)-1)</f>
        <v>12.3230569252335</v>
      </c>
      <c r="N9" s="55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 spans="1:28" x14ac:dyDescent="0.25">
      <c r="J10" s="47"/>
      <c r="K10" s="55"/>
      <c r="L10" s="55"/>
      <c r="M10" s="55"/>
      <c r="N10" s="55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 spans="1:28" x14ac:dyDescent="0.25">
      <c r="J11" s="47"/>
      <c r="K11" s="55"/>
      <c r="L11" s="55"/>
      <c r="M11" s="55"/>
      <c r="N11" s="55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 spans="1:28" x14ac:dyDescent="0.25">
      <c r="J12" s="47"/>
      <c r="K12" s="55"/>
      <c r="L12" s="55"/>
      <c r="M12" s="55"/>
      <c r="N12" s="55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 spans="1:28" x14ac:dyDescent="0.25">
      <c r="K13" s="55"/>
      <c r="L13" s="55"/>
      <c r="M13" s="55"/>
      <c r="N13" s="55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spans="1:28" x14ac:dyDescent="0.25">
      <c r="K14" s="55"/>
      <c r="L14" s="55"/>
      <c r="M14" s="55"/>
      <c r="N14" s="55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 spans="1:28" x14ac:dyDescent="0.25">
      <c r="K15" s="55"/>
      <c r="L15" s="55"/>
      <c r="M15" s="55"/>
      <c r="N15" s="55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 spans="1:28" x14ac:dyDescent="0.25"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spans="1:28" x14ac:dyDescent="0.25"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 spans="1:28" x14ac:dyDescent="0.25"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spans="1:28" x14ac:dyDescent="0.25">
      <c r="J19" s="77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spans="1:28" ht="18" x14ac:dyDescent="0.35">
      <c r="A20" t="s">
        <v>154</v>
      </c>
      <c r="B20" t="s">
        <v>3</v>
      </c>
      <c r="I20" s="74" t="s">
        <v>134</v>
      </c>
      <c r="J20" s="20" t="s">
        <v>130</v>
      </c>
      <c r="K20" s="20" t="s">
        <v>12</v>
      </c>
      <c r="L20" s="20" t="s">
        <v>3</v>
      </c>
      <c r="M20" s="20" t="s">
        <v>127</v>
      </c>
      <c r="N20" s="20" t="s">
        <v>126</v>
      </c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spans="1:28" x14ac:dyDescent="0.25">
      <c r="A21">
        <f>L5</f>
        <v>2.5059999999999998</v>
      </c>
      <c r="B21">
        <v>-0.01</v>
      </c>
      <c r="C21">
        <f>(B21/(B21+1))*(($A$21^((B21+1)/B21)-1)/($A$21-1))</f>
        <v>6.7071780219190589E-3</v>
      </c>
      <c r="D21" s="55">
        <f>(B21/(B21+1))*(($A$22^((B21+1)/B21)-1)/($A$22-1))</f>
        <v>7.5606363031512748E-3</v>
      </c>
      <c r="E21" s="55">
        <f>(B21/(B21+1))*(($A$23^((B21+1)/B21)-1)/($A$23-1))</f>
        <v>8.0422054944347954E-3</v>
      </c>
      <c r="J21" s="74">
        <v>1.0018156446781428</v>
      </c>
      <c r="K21" s="70">
        <v>1E-3</v>
      </c>
      <c r="L21" s="17">
        <f t="shared" ref="L21:L26" si="2">LN(1-K21)/LN(2)</f>
        <v>-1.4434168696687186E-3</v>
      </c>
      <c r="M21" s="74">
        <f>L21/(L21+1)*J21/(1-J21)*(J21^(-(L21+1)/L21)-1)</f>
        <v>2.0000003784154123</v>
      </c>
      <c r="N21" s="17">
        <f t="shared" ref="N21:N26" si="3">ABS($M$21-M21)</f>
        <v>0</v>
      </c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spans="1:28" x14ac:dyDescent="0.25">
      <c r="A22" s="103">
        <f t="shared" ref="A22:A25" si="4">L6</f>
        <v>2.3359999999999999</v>
      </c>
      <c r="B22">
        <v>-0.05</v>
      </c>
      <c r="C22" s="55">
        <f t="shared" ref="C22:C41" si="5">(B22/(B22+1))*(($A$21^((B22+1)/B22)-1)/($A$21-1))</f>
        <v>3.4947926670024075E-2</v>
      </c>
      <c r="D22" s="55">
        <f t="shared" ref="D22:D41" si="6">(B22/(B22+1))*(($A$22^((B22+1)/B22)-1)/($A$22-1))</f>
        <v>3.9394890491108656E-2</v>
      </c>
      <c r="E22" s="55">
        <f t="shared" ref="E22:E41" si="7">(B22/(B22+1))*(($A$23^((B22+1)/B22)-1)/($A$23-1))</f>
        <v>4.1904115259602026E-2</v>
      </c>
      <c r="I22" s="65"/>
      <c r="J22" s="74">
        <v>1.0572059378427208</v>
      </c>
      <c r="K22" s="70">
        <v>0.03</v>
      </c>
      <c r="L22" s="17">
        <f t="shared" si="2"/>
        <v>-4.3943347587597055E-2</v>
      </c>
      <c r="M22" s="74">
        <f t="shared" ref="M22:M26" si="8">L22/(L22+1)*J22/(1-J22)*(J22^(-(L22+1)/L22)-1)</f>
        <v>1.9999990055393373</v>
      </c>
      <c r="N22" s="17">
        <f t="shared" si="3"/>
        <v>1.3728760750453262E-6</v>
      </c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spans="1:28" x14ac:dyDescent="0.25">
      <c r="A23" s="103">
        <f t="shared" si="4"/>
        <v>2.2559999999999998</v>
      </c>
      <c r="B23">
        <v>-0.1</v>
      </c>
      <c r="C23" s="55">
        <f t="shared" si="5"/>
        <v>7.376003031993042E-2</v>
      </c>
      <c r="D23" s="55">
        <f t="shared" si="6"/>
        <v>8.3126848416004373E-2</v>
      </c>
      <c r="E23" s="55">
        <f t="shared" si="7"/>
        <v>8.840581966018278E-2</v>
      </c>
      <c r="I23" s="65"/>
      <c r="J23" s="74">
        <v>1.0987510270272631</v>
      </c>
      <c r="K23" s="70">
        <v>0.05</v>
      </c>
      <c r="L23" s="17">
        <f t="shared" si="2"/>
        <v>-7.4000581443776928E-2</v>
      </c>
      <c r="M23" s="74">
        <f t="shared" si="8"/>
        <v>1.9999957051473689</v>
      </c>
      <c r="N23" s="17">
        <f t="shared" si="3"/>
        <v>4.6732680434313778E-6</v>
      </c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spans="1:28" x14ac:dyDescent="0.25">
      <c r="A24" s="103">
        <f>L8</f>
        <v>3.9380000000000002</v>
      </c>
      <c r="B24" s="55">
        <v>-0.15</v>
      </c>
      <c r="C24" s="55">
        <f t="shared" si="5"/>
        <v>0.11653572483121621</v>
      </c>
      <c r="D24" s="55">
        <f t="shared" si="6"/>
        <v>0.13101018175898241</v>
      </c>
      <c r="E24" s="55">
        <f t="shared" si="7"/>
        <v>0.13910431610521184</v>
      </c>
      <c r="I24" s="65"/>
      <c r="J24" s="74">
        <v>1.1669119619378672</v>
      </c>
      <c r="K24" s="70">
        <v>0.08</v>
      </c>
      <c r="L24" s="17">
        <f t="shared" si="2"/>
        <v>-0.12029423371771177</v>
      </c>
      <c r="M24" s="74">
        <f t="shared" si="8"/>
        <v>1.9999984841941392</v>
      </c>
      <c r="N24" s="17">
        <f t="shared" si="3"/>
        <v>1.8942212731687391E-6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spans="1:28" x14ac:dyDescent="0.25">
      <c r="A25" s="103">
        <f t="shared" si="4"/>
        <v>2.0099999999999998</v>
      </c>
      <c r="B25" s="55">
        <v>-0.2</v>
      </c>
      <c r="C25" s="55">
        <f t="shared" si="5"/>
        <v>0.1617935412497136</v>
      </c>
      <c r="D25" s="55">
        <f t="shared" si="6"/>
        <v>0.18084166139049998</v>
      </c>
      <c r="E25" s="55">
        <f t="shared" si="7"/>
        <v>0.19136046864886772</v>
      </c>
      <c r="I25" s="65"/>
      <c r="J25" s="74">
        <v>1.2431364268630152</v>
      </c>
      <c r="K25" s="70">
        <v>0.11</v>
      </c>
      <c r="L25" s="17">
        <f t="shared" si="2"/>
        <v>-0.16812275880832692</v>
      </c>
      <c r="M25" s="74">
        <f t="shared" si="8"/>
        <v>1.9999975979434381</v>
      </c>
      <c r="N25" s="17">
        <f t="shared" si="3"/>
        <v>2.780471974217491E-6</v>
      </c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spans="1:28" x14ac:dyDescent="0.25">
      <c r="A26" s="103"/>
      <c r="B26" s="55">
        <v>-0.25</v>
      </c>
      <c r="C26" s="55">
        <f t="shared" si="5"/>
        <v>0.20727281916237633</v>
      </c>
      <c r="D26" s="55">
        <f t="shared" si="6"/>
        <v>0.22992816134427718</v>
      </c>
      <c r="E26" s="55">
        <f t="shared" si="7"/>
        <v>0.24227895636246069</v>
      </c>
      <c r="I26" s="65"/>
      <c r="J26" s="74">
        <v>1.3288583680385833</v>
      </c>
      <c r="K26" s="70">
        <v>0.14000000000000001</v>
      </c>
      <c r="L26" s="17">
        <f t="shared" si="2"/>
        <v>-0.21759143507262679</v>
      </c>
      <c r="M26" s="74">
        <f t="shared" si="8"/>
        <v>1.9999973208332347</v>
      </c>
      <c r="N26" s="17">
        <f t="shared" si="3"/>
        <v>3.057582177667939E-6</v>
      </c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spans="1:28" x14ac:dyDescent="0.25">
      <c r="B27" s="55">
        <v>-0.3</v>
      </c>
      <c r="C27" s="55">
        <f t="shared" si="5"/>
        <v>0.25121472364813741</v>
      </c>
      <c r="D27" s="55">
        <f t="shared" si="6"/>
        <v>0.27648260347496956</v>
      </c>
      <c r="E27" s="55">
        <f t="shared" si="7"/>
        <v>0.29010107455949613</v>
      </c>
      <c r="I27" s="65"/>
      <c r="J27" s="74">
        <v>1.4258595070960982</v>
      </c>
      <c r="K27" s="70">
        <v>0.17</v>
      </c>
      <c r="L27" s="17">
        <f t="shared" ref="L27:L29" si="9">LN(1-K27)/LN(2)</f>
        <v>-0.26881675842780001</v>
      </c>
      <c r="M27" s="74">
        <f t="shared" ref="M27:M28" si="10">L27/(L27+1)*J27/(1-J27)*(J27^(-(L27+1)/L27)-1)</f>
        <v>1.999999262515282</v>
      </c>
      <c r="N27" s="17">
        <f t="shared" ref="N27:N29" si="11">ABS($M$21-M27)</f>
        <v>1.1159001302996074E-6</v>
      </c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spans="1:28" x14ac:dyDescent="0.25">
      <c r="B28" s="55">
        <v>-0.35</v>
      </c>
      <c r="C28" s="55">
        <f t="shared" si="5"/>
        <v>0.29262622018479029</v>
      </c>
      <c r="D28" s="55">
        <f t="shared" si="6"/>
        <v>0.31966398274139307</v>
      </c>
      <c r="E28" s="55">
        <f t="shared" si="7"/>
        <v>0.33409557119941674</v>
      </c>
      <c r="I28" s="65"/>
      <c r="J28" s="74">
        <v>1.5363760655623884</v>
      </c>
      <c r="K28" s="70">
        <v>0.2</v>
      </c>
      <c r="L28" s="17">
        <f t="shared" si="9"/>
        <v>-0.32192809488736229</v>
      </c>
      <c r="M28" s="74">
        <f t="shared" si="10"/>
        <v>1.9999992078759219</v>
      </c>
      <c r="N28" s="17">
        <f t="shared" si="11"/>
        <v>1.1705394904470978E-6</v>
      </c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spans="1:28" x14ac:dyDescent="0.25">
      <c r="B29" s="55">
        <v>-0.4</v>
      </c>
      <c r="C29" s="55">
        <f t="shared" si="5"/>
        <v>0.33108711756278925</v>
      </c>
      <c r="D29" s="55">
        <f t="shared" si="6"/>
        <v>0.35923873502187259</v>
      </c>
      <c r="E29" s="55">
        <f t="shared" si="7"/>
        <v>0.37414275505607736</v>
      </c>
      <c r="I29" s="65"/>
      <c r="J29" s="74">
        <v>1.6632541149376876</v>
      </c>
      <c r="K29" s="70">
        <v>0.23</v>
      </c>
      <c r="L29" s="17">
        <f t="shared" si="9"/>
        <v>-0.37706964907982332</v>
      </c>
      <c r="M29" s="74">
        <f t="shared" ref="M29" si="12">L29/(L29+1)*J29/(1-J29)*(J29^(-(L29+1)/L29)-1)</f>
        <v>1.9999991777212083</v>
      </c>
      <c r="N29" s="17">
        <f t="shared" si="11"/>
        <v>1.2006942040621027E-6</v>
      </c>
    </row>
    <row r="30" spans="1:28" x14ac:dyDescent="0.25">
      <c r="B30" s="55">
        <v>-0.45</v>
      </c>
      <c r="C30" s="55">
        <f t="shared" si="5"/>
        <v>0.3665225050057449</v>
      </c>
      <c r="D30" s="55">
        <f t="shared" si="6"/>
        <v>0.39529761750835152</v>
      </c>
      <c r="E30" s="55">
        <f t="shared" si="7"/>
        <v>0.41042738601811096</v>
      </c>
      <c r="J30" s="76">
        <v>1.758699042899289</v>
      </c>
      <c r="K30" s="70">
        <v>0.25</v>
      </c>
      <c r="L30" s="17">
        <f t="shared" ref="L30" si="13">LN(1-K30)/LN(2)</f>
        <v>-0.41503749927884381</v>
      </c>
      <c r="M30" s="76">
        <f t="shared" ref="M30" si="14">L30/(L30+1)*J30/(1-J30)*(J30^(-(L30+1)/L30)-1)</f>
        <v>1.9999999671045006</v>
      </c>
      <c r="N30" s="17">
        <f t="shared" ref="N30" si="15">ABS($M$21-M30)</f>
        <v>4.1131091177426526E-7</v>
      </c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spans="1:28" ht="18" x14ac:dyDescent="0.35">
      <c r="B31" s="55">
        <v>-0.5</v>
      </c>
      <c r="C31" s="55">
        <f t="shared" si="5"/>
        <v>0.39904229848363931</v>
      </c>
      <c r="D31" s="55">
        <f t="shared" si="6"/>
        <v>0.42808219178082191</v>
      </c>
      <c r="E31" s="55">
        <f t="shared" si="7"/>
        <v>0.44326241134751776</v>
      </c>
      <c r="I31" s="74" t="s">
        <v>137</v>
      </c>
      <c r="J31" s="20" t="s">
        <v>130</v>
      </c>
      <c r="K31" s="20" t="s">
        <v>12</v>
      </c>
      <c r="L31" s="20" t="s">
        <v>3</v>
      </c>
      <c r="M31" s="20" t="s">
        <v>127</v>
      </c>
      <c r="N31" s="20" t="s">
        <v>126</v>
      </c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spans="1:28" x14ac:dyDescent="0.25">
      <c r="B32" s="55">
        <v>-0.55000000000000004</v>
      </c>
      <c r="C32" s="55">
        <f t="shared" si="5"/>
        <v>0.42884414202864068</v>
      </c>
      <c r="D32" s="55">
        <f t="shared" si="6"/>
        <v>0.45788987664840308</v>
      </c>
      <c r="E32" s="55">
        <f t="shared" si="7"/>
        <v>0.4729975853856867</v>
      </c>
      <c r="J32" s="74">
        <v>1.0033797619794715</v>
      </c>
      <c r="K32" s="70">
        <f t="shared" ref="K32:K41" si="16">K21</f>
        <v>1E-3</v>
      </c>
      <c r="L32" s="17">
        <f t="shared" ref="L32:L37" si="17">LN(1-K32)/LN(2)</f>
        <v>-1.4434168696687186E-3</v>
      </c>
      <c r="M32" s="74">
        <f>L32/(L32+1)*J32/(1-J32)*(J32^(-(L32+1)/L32)-1)</f>
        <v>4.0000000416341512</v>
      </c>
      <c r="N32" s="17">
        <f t="shared" ref="N32:N41" si="18">ABS($M$32-M32)</f>
        <v>0</v>
      </c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spans="2:28" x14ac:dyDescent="0.25">
      <c r="B33" s="55">
        <v>-0.6</v>
      </c>
      <c r="C33" s="55">
        <f t="shared" si="5"/>
        <v>0.4561587219013985</v>
      </c>
      <c r="D33" s="55">
        <f t="shared" si="6"/>
        <v>0.48502538019201885</v>
      </c>
      <c r="E33" s="55">
        <f t="shared" si="7"/>
        <v>0.49997541734041373</v>
      </c>
      <c r="J33" s="74">
        <v>1.1094909897037115</v>
      </c>
      <c r="K33" s="70">
        <f t="shared" si="16"/>
        <v>0.03</v>
      </c>
      <c r="L33" s="17">
        <f t="shared" si="17"/>
        <v>-4.3943347587597055E-2</v>
      </c>
      <c r="M33" s="74">
        <f t="shared" ref="M33:M37" si="19">L33/(L33+1)*J33/(1-J33)*(J33^(-(L33+1)/L33)-1)</f>
        <v>3.9999907135019681</v>
      </c>
      <c r="N33" s="17">
        <f t="shared" si="18"/>
        <v>9.3281321831284458E-6</v>
      </c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spans="2:28" x14ac:dyDescent="0.25">
      <c r="B34" s="55">
        <v>-0.65</v>
      </c>
      <c r="C34" s="55">
        <f t="shared" si="5"/>
        <v>0.48122052147408528</v>
      </c>
      <c r="D34" s="55">
        <f t="shared" si="6"/>
        <v>0.50977759528874556</v>
      </c>
      <c r="E34" s="55">
        <f t="shared" si="7"/>
        <v>0.52451195028927777</v>
      </c>
      <c r="I34" s="65"/>
      <c r="J34" s="74">
        <v>1.1929617875410006</v>
      </c>
      <c r="K34" s="70">
        <f t="shared" si="16"/>
        <v>0.05</v>
      </c>
      <c r="L34" s="17">
        <f t="shared" si="17"/>
        <v>-7.4000581443776928E-2</v>
      </c>
      <c r="M34" s="74">
        <f t="shared" si="19"/>
        <v>3.9999978685484394</v>
      </c>
      <c r="N34" s="17">
        <f t="shared" si="18"/>
        <v>2.1730857118207325E-6</v>
      </c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spans="2:28" x14ac:dyDescent="0.25">
      <c r="B35" s="55">
        <v>-0.7</v>
      </c>
      <c r="C35" s="55">
        <f t="shared" si="5"/>
        <v>0.50425311772154258</v>
      </c>
      <c r="D35" s="55">
        <f t="shared" si="6"/>
        <v>0.53240995692063398</v>
      </c>
      <c r="E35" s="55">
        <f t="shared" si="7"/>
        <v>0.54689009226556118</v>
      </c>
      <c r="I35" s="69"/>
      <c r="J35" s="74">
        <v>1.3373236503890988</v>
      </c>
      <c r="K35" s="70">
        <f t="shared" si="16"/>
        <v>0.08</v>
      </c>
      <c r="L35" s="17">
        <f t="shared" si="17"/>
        <v>-0.12029423371771177</v>
      </c>
      <c r="M35" s="74">
        <f t="shared" si="19"/>
        <v>3.999997383372027</v>
      </c>
      <c r="N35" s="17">
        <f t="shared" si="18"/>
        <v>2.6582621241999504E-6</v>
      </c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spans="2:28" x14ac:dyDescent="0.25">
      <c r="B36" s="55">
        <v>-0.75</v>
      </c>
      <c r="C36" s="55">
        <f t="shared" si="5"/>
        <v>0.52546255768247752</v>
      </c>
      <c r="D36" s="55">
        <f t="shared" si="6"/>
        <v>0.55315769080502897</v>
      </c>
      <c r="E36" s="55">
        <f t="shared" si="7"/>
        <v>0.56735903826467671</v>
      </c>
      <c r="J36" s="74">
        <v>1.510049243375567</v>
      </c>
      <c r="K36" s="70">
        <f t="shared" si="16"/>
        <v>0.11</v>
      </c>
      <c r="L36" s="17">
        <f t="shared" si="17"/>
        <v>-0.16812275880832692</v>
      </c>
      <c r="M36" s="74">
        <f t="shared" si="19"/>
        <v>3.9999961683124829</v>
      </c>
      <c r="N36" s="17">
        <f t="shared" si="18"/>
        <v>3.8733216682906857E-6</v>
      </c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spans="2:28" x14ac:dyDescent="0.25">
      <c r="B37" s="55">
        <v>-0.8</v>
      </c>
      <c r="C37" s="55">
        <f t="shared" si="5"/>
        <v>0.54503511078986755</v>
      </c>
      <c r="D37" s="55">
        <f t="shared" si="6"/>
        <v>0.57222843351355224</v>
      </c>
      <c r="E37" s="55">
        <f t="shared" si="7"/>
        <v>0.58613644814750621</v>
      </c>
      <c r="I37" s="65"/>
      <c r="J37" s="74">
        <v>1.7191463252594807</v>
      </c>
      <c r="K37" s="70">
        <f t="shared" si="16"/>
        <v>0.14000000000000001</v>
      </c>
      <c r="L37" s="17">
        <f t="shared" si="17"/>
        <v>-0.21759143507262679</v>
      </c>
      <c r="M37" s="74">
        <f t="shared" si="19"/>
        <v>3.9999955705555035</v>
      </c>
      <c r="N37" s="17">
        <f t="shared" si="18"/>
        <v>4.4710786477608622E-6</v>
      </c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spans="2:28" x14ac:dyDescent="0.25">
      <c r="B38" s="55">
        <v>-0.85</v>
      </c>
      <c r="C38" s="55">
        <f t="shared" si="5"/>
        <v>0.56313730871441015</v>
      </c>
      <c r="D38" s="55">
        <f t="shared" si="6"/>
        <v>0.5898043664500775</v>
      </c>
      <c r="E38" s="55">
        <f t="shared" si="7"/>
        <v>0.60341168961829339</v>
      </c>
      <c r="I38" s="65"/>
      <c r="J38" s="74">
        <v>1.9756699669521185</v>
      </c>
      <c r="K38" s="70">
        <f t="shared" si="16"/>
        <v>0.17</v>
      </c>
      <c r="L38" s="17">
        <f t="shared" ref="L38:L40" si="20">LN(1-K38)/LN(2)</f>
        <v>-0.26881675842780001</v>
      </c>
      <c r="M38" s="74">
        <f t="shared" ref="M38:M39" si="21">L38/(L38+1)*J38/(1-J38)*(J38^(-(L38+1)/L38)-1)</f>
        <v>3.9999971341302589</v>
      </c>
      <c r="N38" s="17">
        <f t="shared" si="18"/>
        <v>2.9075038923132013E-6</v>
      </c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spans="2:28" x14ac:dyDescent="0.25">
      <c r="B39" s="55">
        <v>-0.9</v>
      </c>
      <c r="C39" s="55">
        <f t="shared" si="5"/>
        <v>0.57991710887580983</v>
      </c>
      <c r="D39" s="55">
        <f t="shared" si="6"/>
        <v>0.60604490107819775</v>
      </c>
      <c r="E39" s="55">
        <f t="shared" si="7"/>
        <v>0.6193493126746582</v>
      </c>
      <c r="I39" s="65"/>
      <c r="J39" s="74">
        <v>2.2952263341034631</v>
      </c>
      <c r="K39" s="70">
        <f t="shared" si="16"/>
        <v>0.2</v>
      </c>
      <c r="L39" s="17">
        <f t="shared" si="20"/>
        <v>-0.32192809488736229</v>
      </c>
      <c r="M39" s="74">
        <f t="shared" si="21"/>
        <v>3.9999977603980152</v>
      </c>
      <c r="N39" s="17">
        <f t="shared" si="18"/>
        <v>2.2812361359925148E-6</v>
      </c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 spans="2:28" x14ac:dyDescent="0.25">
      <c r="B40" s="55">
        <v>-0.95</v>
      </c>
      <c r="C40" s="55">
        <f t="shared" si="5"/>
        <v>0.59550554166880243</v>
      </c>
      <c r="D40" s="55">
        <f t="shared" si="6"/>
        <v>0.62108943193300947</v>
      </c>
      <c r="E40" s="55">
        <f t="shared" si="7"/>
        <v>0.6340923659601515</v>
      </c>
      <c r="I40" s="65"/>
      <c r="J40" s="74">
        <v>2.7004206420172086</v>
      </c>
      <c r="K40" s="70">
        <f t="shared" si="16"/>
        <v>0.23</v>
      </c>
      <c r="L40" s="17">
        <f t="shared" si="20"/>
        <v>-0.37706964907982332</v>
      </c>
      <c r="M40" s="74">
        <f t="shared" ref="M40" si="22">L40/(L40+1)*J40/(1-J40)*(J40^(-(L40+1)/L40)-1)</f>
        <v>3.9999956586320931</v>
      </c>
      <c r="N40" s="17">
        <f t="shared" si="18"/>
        <v>4.3830020581836493E-6</v>
      </c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 spans="2:28" x14ac:dyDescent="0.25">
      <c r="B41" s="55">
        <v>-0.99</v>
      </c>
      <c r="C41" s="55">
        <f t="shared" si="5"/>
        <v>0.60719684494977277</v>
      </c>
      <c r="D41" s="55">
        <f t="shared" si="6"/>
        <v>0.63234642199892066</v>
      </c>
      <c r="E41" s="55">
        <f t="shared" si="7"/>
        <v>0.64511096438696636</v>
      </c>
      <c r="J41" s="76">
        <v>3.0341434724979344</v>
      </c>
      <c r="K41" s="70">
        <f t="shared" si="16"/>
        <v>0.25</v>
      </c>
      <c r="L41" s="17">
        <f t="shared" ref="L41" si="23">LN(1-K41)/LN(2)</f>
        <v>-0.41503749927884381</v>
      </c>
      <c r="M41" s="76">
        <f t="shared" ref="M41" si="24">L41/(L41+1)*J41/(1-J41)*(J41^(-(L41+1)/L41)-1)</f>
        <v>3.9999993829157829</v>
      </c>
      <c r="N41" s="17">
        <f t="shared" si="18"/>
        <v>6.5871836829600738E-7</v>
      </c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 spans="2:28" ht="18" x14ac:dyDescent="0.35">
      <c r="I42" s="74" t="s">
        <v>138</v>
      </c>
      <c r="J42" s="20" t="s">
        <v>130</v>
      </c>
      <c r="K42" s="20" t="s">
        <v>12</v>
      </c>
      <c r="L42" s="20" t="s">
        <v>3</v>
      </c>
      <c r="M42" s="20" t="s">
        <v>127</v>
      </c>
      <c r="N42" s="20" t="s">
        <v>126</v>
      </c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 spans="2:28" x14ac:dyDescent="0.25">
      <c r="I43" s="65"/>
      <c r="J43" s="74">
        <v>1.0047984428468237</v>
      </c>
      <c r="K43" s="70">
        <f t="shared" ref="K43:K51" si="25">K32</f>
        <v>1E-3</v>
      </c>
      <c r="L43" s="17">
        <f t="shared" ref="L43:L51" si="26">LN(1-K43)/LN(2)</f>
        <v>-1.4434168696687186E-3</v>
      </c>
      <c r="M43" s="74">
        <f>L43/(L43+1)*J43/(1-J43)*(J43^(-(L43+1)/L43)-1)</f>
        <v>7.9999998214048995</v>
      </c>
      <c r="N43" s="17">
        <f t="shared" ref="N43:N51" si="27">ABS($M$43-M43)</f>
        <v>0</v>
      </c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 spans="2:28" x14ac:dyDescent="0.25">
      <c r="J44" s="74">
        <v>1.1592672563266748</v>
      </c>
      <c r="K44" s="70">
        <f t="shared" si="25"/>
        <v>0.03</v>
      </c>
      <c r="L44" s="17">
        <f t="shared" si="26"/>
        <v>-4.3943347587597055E-2</v>
      </c>
      <c r="M44" s="74">
        <f t="shared" ref="M44:M48" si="28">L44/(L44+1)*J44/(1-J44)*(J44^(-(L44+1)/L44)-1)</f>
        <v>7.9999753920083325</v>
      </c>
      <c r="N44" s="17">
        <f t="shared" si="27"/>
        <v>2.4429396566993944E-5</v>
      </c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 spans="2:28" x14ac:dyDescent="0.25">
      <c r="J45" s="74">
        <v>1.2859011134885447</v>
      </c>
      <c r="K45" s="70">
        <f t="shared" si="25"/>
        <v>0.05</v>
      </c>
      <c r="L45" s="17">
        <f t="shared" si="26"/>
        <v>-7.4000581443776928E-2</v>
      </c>
      <c r="M45" s="74">
        <f t="shared" si="28"/>
        <v>7.9999660691864323</v>
      </c>
      <c r="N45" s="17">
        <f t="shared" si="27"/>
        <v>3.3752218467242301E-5</v>
      </c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 spans="2:28" x14ac:dyDescent="0.25">
      <c r="J46" s="74">
        <v>1.5153400613471424</v>
      </c>
      <c r="K46" s="70">
        <f t="shared" si="25"/>
        <v>0.08</v>
      </c>
      <c r="L46" s="17">
        <f t="shared" si="26"/>
        <v>-0.12029423371771177</v>
      </c>
      <c r="M46" s="74">
        <f t="shared" si="28"/>
        <v>7.999955006977709</v>
      </c>
      <c r="N46" s="17">
        <f t="shared" si="27"/>
        <v>4.4814427190509321E-5</v>
      </c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 spans="2:28" x14ac:dyDescent="0.25">
      <c r="J47" s="74">
        <v>1.8068842717303548</v>
      </c>
      <c r="K47" s="70">
        <f t="shared" si="25"/>
        <v>0.11</v>
      </c>
      <c r="L47" s="17">
        <f t="shared" si="26"/>
        <v>-0.16812275880832692</v>
      </c>
      <c r="M47" s="74">
        <f t="shared" si="28"/>
        <v>7.9999565108791764</v>
      </c>
      <c r="N47" s="17">
        <f t="shared" si="27"/>
        <v>4.3310525723150306E-5</v>
      </c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 spans="2:28" x14ac:dyDescent="0.25">
      <c r="I48" s="69"/>
      <c r="J48" s="74">
        <v>2.1841703284062142</v>
      </c>
      <c r="K48" s="70">
        <f t="shared" si="25"/>
        <v>0.14000000000000001</v>
      </c>
      <c r="L48" s="17">
        <f t="shared" si="26"/>
        <v>-0.21759143507262679</v>
      </c>
      <c r="M48" s="74">
        <f t="shared" si="28"/>
        <v>7.9999225389943129</v>
      </c>
      <c r="N48" s="17">
        <f t="shared" si="27"/>
        <v>7.7282410586576589E-5</v>
      </c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 spans="9:28" x14ac:dyDescent="0.25">
      <c r="I49" s="65"/>
      <c r="J49" s="74">
        <v>2.6829314924759964</v>
      </c>
      <c r="K49" s="70">
        <f t="shared" si="25"/>
        <v>0.17</v>
      </c>
      <c r="L49" s="17">
        <f t="shared" si="26"/>
        <v>-0.26881675842780001</v>
      </c>
      <c r="M49" s="74">
        <f t="shared" ref="M49:M50" si="29">L49/(L49+1)*J49/(1-J49)*(J49^(-(L49+1)/L49)-1)</f>
        <v>7.9999588925426073</v>
      </c>
      <c r="N49" s="17">
        <f t="shared" si="27"/>
        <v>4.0928862292233248E-5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 spans="9:28" x14ac:dyDescent="0.25">
      <c r="I50" s="65"/>
      <c r="J50" s="74">
        <v>3.3590257743704068</v>
      </c>
      <c r="K50" s="70">
        <f t="shared" si="25"/>
        <v>0.2</v>
      </c>
      <c r="L50" s="17">
        <f t="shared" si="26"/>
        <v>-0.32192809488736229</v>
      </c>
      <c r="M50" s="74">
        <f t="shared" si="29"/>
        <v>7.9999498202303085</v>
      </c>
      <c r="N50" s="17">
        <f t="shared" si="27"/>
        <v>5.0001174590974529E-5</v>
      </c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 spans="9:28" x14ac:dyDescent="0.25">
      <c r="I51" s="65"/>
      <c r="J51" s="74">
        <v>4.3034509742421774</v>
      </c>
      <c r="K51" s="70">
        <f t="shared" si="25"/>
        <v>0.23</v>
      </c>
      <c r="L51" s="17">
        <f t="shared" si="26"/>
        <v>-0.37706964907982332</v>
      </c>
      <c r="M51" s="74">
        <f t="shared" ref="M51" si="30">L51/(L51+1)*J51/(1-J51)*(J51^(-(L51+1)/L51)-1)</f>
        <v>7.9999618891179338</v>
      </c>
      <c r="N51" s="17">
        <f t="shared" si="27"/>
        <v>3.7932286965691731E-5</v>
      </c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 spans="9:28" x14ac:dyDescent="0.25"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</row>
    <row r="53" spans="9:28" ht="18" x14ac:dyDescent="0.35">
      <c r="I53" s="74" t="s">
        <v>139</v>
      </c>
      <c r="J53" s="20" t="s">
        <v>130</v>
      </c>
      <c r="K53" s="20" t="s">
        <v>12</v>
      </c>
      <c r="L53" s="20" t="s">
        <v>3</v>
      </c>
      <c r="M53" s="20" t="s">
        <v>127</v>
      </c>
      <c r="N53" s="20" t="s">
        <v>126</v>
      </c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</row>
    <row r="54" spans="9:28" x14ac:dyDescent="0.25">
      <c r="I54" s="65"/>
      <c r="J54" s="74">
        <v>1.0061264781109127</v>
      </c>
      <c r="K54" s="70">
        <f t="shared" ref="K54:K62" si="31">K43</f>
        <v>1E-3</v>
      </c>
      <c r="L54" s="17">
        <f t="shared" ref="L54:L62" si="32">LN(1-K54)/LN(2)</f>
        <v>-1.4434168696687186E-3</v>
      </c>
      <c r="M54" s="74">
        <f>L54/(L54+1)*J54/(1-J54)*(J54^(-(L54+1)/L54)-1)</f>
        <v>15.99999267211582</v>
      </c>
      <c r="N54" s="17">
        <f t="shared" ref="N54:N62" si="33">ABS($M$54-M54)</f>
        <v>0</v>
      </c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</row>
    <row r="55" spans="9:28" x14ac:dyDescent="0.25">
      <c r="I55" s="65"/>
      <c r="J55" s="74">
        <v>1.2079015066311083</v>
      </c>
      <c r="K55" s="70">
        <f t="shared" si="31"/>
        <v>0.03</v>
      </c>
      <c r="L55" s="17">
        <f t="shared" si="32"/>
        <v>-4.3943347587597055E-2</v>
      </c>
      <c r="M55" s="74">
        <f t="shared" ref="M55:M59" si="34">L55/(L55+1)*J55/(1-J55)*(J55^(-(L55+1)/L55)-1)</f>
        <v>15.999983856365976</v>
      </c>
      <c r="N55" s="17">
        <f t="shared" si="33"/>
        <v>8.8157498439045412E-6</v>
      </c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 spans="9:28" x14ac:dyDescent="0.25">
      <c r="I56" s="65"/>
      <c r="J56" s="74">
        <v>1.3796295122327966</v>
      </c>
      <c r="K56" s="70">
        <f t="shared" si="31"/>
        <v>0.05</v>
      </c>
      <c r="L56" s="17">
        <f t="shared" si="32"/>
        <v>-7.4000581443776928E-2</v>
      </c>
      <c r="M56" s="74">
        <f t="shared" si="34"/>
        <v>15.999978630759607</v>
      </c>
      <c r="N56" s="17">
        <f t="shared" si="33"/>
        <v>1.4041356212857181E-5</v>
      </c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 spans="9:28" x14ac:dyDescent="0.25">
      <c r="I57" s="65"/>
      <c r="J57" s="74">
        <v>1.7043194594183015</v>
      </c>
      <c r="K57" s="70">
        <f t="shared" si="31"/>
        <v>0.08</v>
      </c>
      <c r="L57" s="17">
        <f t="shared" si="32"/>
        <v>-0.12029423371771177</v>
      </c>
      <c r="M57" s="74">
        <f t="shared" si="34"/>
        <v>15.999989906938451</v>
      </c>
      <c r="N57" s="17">
        <f t="shared" si="33"/>
        <v>2.7651773688575076E-6</v>
      </c>
    </row>
    <row r="58" spans="9:28" x14ac:dyDescent="0.25">
      <c r="I58" s="65"/>
      <c r="J58" s="74">
        <v>2.1403874487494252</v>
      </c>
      <c r="K58" s="70">
        <f t="shared" si="31"/>
        <v>0.11</v>
      </c>
      <c r="L58" s="17">
        <f t="shared" si="32"/>
        <v>-0.16812275880832692</v>
      </c>
      <c r="M58" s="74">
        <f t="shared" si="34"/>
        <v>15.999968501130347</v>
      </c>
      <c r="N58" s="17">
        <f t="shared" si="33"/>
        <v>2.4170985472693474E-5</v>
      </c>
    </row>
    <row r="59" spans="9:28" x14ac:dyDescent="0.25">
      <c r="J59" s="74">
        <v>2.7408056056930761</v>
      </c>
      <c r="K59" s="70">
        <f t="shared" si="31"/>
        <v>0.14000000000000001</v>
      </c>
      <c r="L59" s="17">
        <f t="shared" si="32"/>
        <v>-0.21759143507262679</v>
      </c>
      <c r="M59" s="74">
        <f t="shared" si="34"/>
        <v>15.999995932664886</v>
      </c>
      <c r="N59" s="17">
        <f t="shared" si="33"/>
        <v>3.260549066297358E-6</v>
      </c>
    </row>
    <row r="60" spans="9:28" x14ac:dyDescent="0.25">
      <c r="J60" s="74">
        <v>3.5922923628988701</v>
      </c>
      <c r="K60" s="70">
        <f t="shared" si="31"/>
        <v>0.17</v>
      </c>
      <c r="L60" s="17">
        <f t="shared" si="32"/>
        <v>-0.26881675842780001</v>
      </c>
      <c r="M60" s="74">
        <f t="shared" ref="M60:M61" si="35">L60/(L60+1)*J60/(1-J60)*(J60^(-(L60+1)/L60)-1)</f>
        <v>15.999965091968043</v>
      </c>
      <c r="N60" s="17">
        <f t="shared" si="33"/>
        <v>2.758014777626272E-5</v>
      </c>
    </row>
    <row r="61" spans="9:28" x14ac:dyDescent="0.25">
      <c r="J61" s="74">
        <v>4.843544686252101</v>
      </c>
      <c r="K61" s="70">
        <f t="shared" si="31"/>
        <v>0.2</v>
      </c>
      <c r="L61" s="17">
        <f t="shared" si="32"/>
        <v>-0.32192809488736229</v>
      </c>
      <c r="M61" s="74">
        <f t="shared" si="35"/>
        <v>15.99997647508364</v>
      </c>
      <c r="N61" s="17">
        <f t="shared" si="33"/>
        <v>1.6197032179476878E-5</v>
      </c>
    </row>
    <row r="62" spans="9:28" x14ac:dyDescent="0.25">
      <c r="J62" s="74">
        <v>6.7640174911717095</v>
      </c>
      <c r="K62" s="70">
        <f t="shared" si="31"/>
        <v>0.23</v>
      </c>
      <c r="L62" s="17">
        <f t="shared" si="32"/>
        <v>-0.37706964907982332</v>
      </c>
      <c r="M62" s="74">
        <f t="shared" ref="M62" si="36">L62/(L62+1)*J62/(1-J62)*(J62^(-(L62+1)/L62)-1)</f>
        <v>15.999980474482786</v>
      </c>
      <c r="N62" s="17">
        <f t="shared" si="33"/>
        <v>1.219763303339505E-5</v>
      </c>
    </row>
    <row r="64" spans="9:28" ht="18" x14ac:dyDescent="0.35">
      <c r="I64" t="s">
        <v>140</v>
      </c>
      <c r="J64" s="20" t="s">
        <v>130</v>
      </c>
      <c r="K64" s="20" t="s">
        <v>12</v>
      </c>
      <c r="L64" s="20" t="s">
        <v>3</v>
      </c>
      <c r="M64" s="20" t="s">
        <v>127</v>
      </c>
      <c r="N64" s="20" t="s">
        <v>126</v>
      </c>
    </row>
    <row r="65" spans="8:16" x14ac:dyDescent="0.25">
      <c r="J65" s="65">
        <v>1.0073706682680086</v>
      </c>
      <c r="K65" s="70">
        <f t="shared" ref="K65:K73" si="37">K54</f>
        <v>1E-3</v>
      </c>
      <c r="L65" s="65">
        <f t="shared" ref="L65:L73" si="38">LN(1-K65)/LN(2)</f>
        <v>-1.4434168696687186E-3</v>
      </c>
      <c r="M65" s="65">
        <f t="shared" ref="M65:M73" si="39">L65/(L65+1)*J65/(1-J65)*(J65^(-(L65+1)/L65)-1)</f>
        <v>31.575709743625296</v>
      </c>
      <c r="N65" s="17">
        <f t="shared" ref="N65:N73" si="40">ABS($M$65-M65)</f>
        <v>0</v>
      </c>
    </row>
    <row r="66" spans="8:16" x14ac:dyDescent="0.25">
      <c r="J66" s="73">
        <v>1.2562207779623671</v>
      </c>
      <c r="K66" s="70">
        <f t="shared" si="37"/>
        <v>0.03</v>
      </c>
      <c r="L66">
        <f t="shared" si="38"/>
        <v>-4.3943347587597055E-2</v>
      </c>
      <c r="M66" s="73">
        <f t="shared" si="39"/>
        <v>31.999965542487043</v>
      </c>
      <c r="N66" s="17">
        <f>ABS($M$65-M66)</f>
        <v>0.42425579886174702</v>
      </c>
    </row>
    <row r="67" spans="8:16" x14ac:dyDescent="0.25">
      <c r="J67" s="73">
        <v>1.4755273710934198</v>
      </c>
      <c r="K67" s="70">
        <f t="shared" si="37"/>
        <v>0.05</v>
      </c>
      <c r="L67" s="17">
        <f t="shared" si="38"/>
        <v>-7.4000581443776928E-2</v>
      </c>
      <c r="M67" s="73">
        <f t="shared" si="39"/>
        <v>31.999986547911401</v>
      </c>
      <c r="N67" s="17">
        <f t="shared" si="40"/>
        <v>0.42427680428610515</v>
      </c>
    </row>
    <row r="68" spans="8:16" x14ac:dyDescent="0.25">
      <c r="J68" s="73">
        <v>1.9071358629827402</v>
      </c>
      <c r="K68" s="70">
        <f t="shared" si="37"/>
        <v>0.08</v>
      </c>
      <c r="L68" s="65">
        <f t="shared" si="38"/>
        <v>-0.12029423371771177</v>
      </c>
      <c r="M68" s="73">
        <f t="shared" si="39"/>
        <v>31.999956573419006</v>
      </c>
      <c r="N68" s="17">
        <f t="shared" si="40"/>
        <v>0.42424682979370942</v>
      </c>
    </row>
    <row r="69" spans="8:16" x14ac:dyDescent="0.25">
      <c r="J69" s="73">
        <v>2.5178473918863946</v>
      </c>
      <c r="K69" s="70">
        <f t="shared" si="37"/>
        <v>0.11</v>
      </c>
      <c r="L69" s="65">
        <f t="shared" si="38"/>
        <v>-0.16812275880832692</v>
      </c>
      <c r="M69" s="73">
        <f t="shared" si="39"/>
        <v>31.999980424513517</v>
      </c>
      <c r="N69" s="17">
        <f t="shared" si="40"/>
        <v>0.4242706808882204</v>
      </c>
    </row>
    <row r="70" spans="8:16" x14ac:dyDescent="0.25">
      <c r="J70" s="73">
        <v>3.40962909117478</v>
      </c>
      <c r="K70" s="70">
        <f t="shared" si="37"/>
        <v>0.14000000000000001</v>
      </c>
      <c r="L70" s="65">
        <f t="shared" si="38"/>
        <v>-0.21759143507262679</v>
      </c>
      <c r="M70" s="73">
        <f t="shared" si="39"/>
        <v>31.999917883792207</v>
      </c>
      <c r="N70" s="17">
        <f t="shared" si="40"/>
        <v>0.42420814016691111</v>
      </c>
    </row>
    <row r="71" spans="8:16" x14ac:dyDescent="0.25">
      <c r="J71" s="74">
        <v>4.7621216757981459</v>
      </c>
      <c r="K71" s="70">
        <f t="shared" si="37"/>
        <v>0.17</v>
      </c>
      <c r="L71" s="74">
        <f t="shared" si="38"/>
        <v>-0.26881675842780001</v>
      </c>
      <c r="M71" s="74">
        <f t="shared" si="39"/>
        <v>31.999919415847177</v>
      </c>
      <c r="N71" s="17">
        <f t="shared" si="40"/>
        <v>0.42420967222188111</v>
      </c>
    </row>
    <row r="72" spans="8:16" x14ac:dyDescent="0.25">
      <c r="J72" s="74">
        <v>6.9105363927312915</v>
      </c>
      <c r="K72" s="70">
        <f t="shared" si="37"/>
        <v>0.2</v>
      </c>
      <c r="L72" s="74">
        <f t="shared" si="38"/>
        <v>-0.32192809488736229</v>
      </c>
      <c r="M72" s="74">
        <f t="shared" si="39"/>
        <v>31.999922216827407</v>
      </c>
      <c r="N72" s="17">
        <f t="shared" si="40"/>
        <v>0.42421247320211108</v>
      </c>
    </row>
    <row r="73" spans="8:16" x14ac:dyDescent="0.25">
      <c r="J73" s="74">
        <v>10.525825020368009</v>
      </c>
      <c r="K73" s="70">
        <f t="shared" si="37"/>
        <v>0.23</v>
      </c>
      <c r="L73" s="74">
        <f t="shared" si="38"/>
        <v>-0.37706964907982332</v>
      </c>
      <c r="M73" s="74">
        <f t="shared" si="39"/>
        <v>31.999955356686012</v>
      </c>
      <c r="N73" s="17">
        <f t="shared" si="40"/>
        <v>0.42424561306071595</v>
      </c>
    </row>
    <row r="75" spans="8:16" ht="18" x14ac:dyDescent="0.35">
      <c r="H75" s="74"/>
      <c r="I75" s="76" t="s">
        <v>141</v>
      </c>
      <c r="J75" s="20" t="s">
        <v>130</v>
      </c>
      <c r="K75" s="20" t="s">
        <v>12</v>
      </c>
      <c r="L75" s="20" t="s">
        <v>3</v>
      </c>
      <c r="M75" s="20" t="s">
        <v>127</v>
      </c>
      <c r="N75" s="20" t="s">
        <v>126</v>
      </c>
      <c r="O75" s="74"/>
      <c r="P75" s="74"/>
    </row>
    <row r="76" spans="8:16" x14ac:dyDescent="0.25">
      <c r="I76" s="76"/>
      <c r="J76" s="76">
        <v>1.0086214007608865</v>
      </c>
      <c r="K76" s="70">
        <f t="shared" ref="K76:K84" si="41">K65</f>
        <v>1E-3</v>
      </c>
      <c r="L76" s="76">
        <f t="shared" ref="L76:L84" si="42">LN(1-K76)/LN(2)</f>
        <v>-1.4434168696687186E-3</v>
      </c>
      <c r="M76" s="76">
        <f t="shared" ref="M76:M84" si="43">L76/(L76+1)*J76/(1-J76)*(J76^(-(L76+1)/L76)-1)</f>
        <v>63.999926825114741</v>
      </c>
      <c r="N76" s="17">
        <f>ABS($M$76-M76)</f>
        <v>0</v>
      </c>
    </row>
    <row r="77" spans="8:16" x14ac:dyDescent="0.25">
      <c r="I77" s="76"/>
      <c r="J77" s="76">
        <v>1.3047568387395747</v>
      </c>
      <c r="K77" s="70">
        <f t="shared" si="41"/>
        <v>0.03</v>
      </c>
      <c r="L77" s="76">
        <f t="shared" si="42"/>
        <v>-4.3943347587597055E-2</v>
      </c>
      <c r="M77" s="76">
        <f t="shared" si="43"/>
        <v>64.000023814855993</v>
      </c>
      <c r="N77" s="17">
        <f t="shared" ref="N77:N84" si="44">ABS($M$76-M77)</f>
        <v>9.6989741251718442E-5</v>
      </c>
    </row>
    <row r="78" spans="8:16" x14ac:dyDescent="0.25">
      <c r="I78" s="76"/>
      <c r="J78" s="76">
        <v>1.5745875191549097</v>
      </c>
      <c r="K78" s="70">
        <f t="shared" si="41"/>
        <v>0.05</v>
      </c>
      <c r="L78" s="17">
        <f t="shared" si="42"/>
        <v>-7.4000581443776928E-2</v>
      </c>
      <c r="M78" s="76">
        <f t="shared" si="43"/>
        <v>64.000009929307836</v>
      </c>
      <c r="N78" s="17">
        <f t="shared" si="44"/>
        <v>8.310419309509598E-5</v>
      </c>
    </row>
    <row r="79" spans="8:16" x14ac:dyDescent="0.25">
      <c r="I79" s="76"/>
      <c r="J79" s="76">
        <v>2.1264129166875319</v>
      </c>
      <c r="K79" s="70">
        <f t="shared" si="41"/>
        <v>0.08</v>
      </c>
      <c r="L79" s="76">
        <f t="shared" si="42"/>
        <v>-0.12029423371771177</v>
      </c>
      <c r="M79" s="76">
        <f t="shared" si="43"/>
        <v>63.999978825057177</v>
      </c>
      <c r="N79" s="17">
        <f t="shared" si="44"/>
        <v>5.1999942435543289E-5</v>
      </c>
    </row>
    <row r="80" spans="8:16" x14ac:dyDescent="0.25">
      <c r="I80" s="76"/>
      <c r="J80" s="76">
        <v>2.9472451448179258</v>
      </c>
      <c r="K80" s="70">
        <f t="shared" si="41"/>
        <v>0.11</v>
      </c>
      <c r="L80" s="76">
        <f t="shared" si="42"/>
        <v>-0.16812275880832692</v>
      </c>
      <c r="M80" s="76">
        <f t="shared" si="43"/>
        <v>64.000013791688886</v>
      </c>
      <c r="N80" s="17">
        <f t="shared" si="44"/>
        <v>8.6966574144753395E-5</v>
      </c>
    </row>
    <row r="81" spans="9:14" x14ac:dyDescent="0.25">
      <c r="I81" s="76"/>
      <c r="J81" s="76">
        <v>4.2155742474824462</v>
      </c>
      <c r="K81" s="70">
        <f t="shared" si="41"/>
        <v>0.14000000000000001</v>
      </c>
      <c r="L81" s="76">
        <f t="shared" si="42"/>
        <v>-0.21759143507262679</v>
      </c>
      <c r="M81" s="76">
        <f t="shared" si="43"/>
        <v>63.99999563643177</v>
      </c>
      <c r="N81" s="17">
        <f t="shared" si="44"/>
        <v>6.8811317028405483E-5</v>
      </c>
    </row>
    <row r="82" spans="9:14" x14ac:dyDescent="0.25">
      <c r="I82" s="76"/>
      <c r="J82" s="76">
        <v>6.2681657487632734</v>
      </c>
      <c r="K82" s="70">
        <f t="shared" si="41"/>
        <v>0.17</v>
      </c>
      <c r="L82" s="76">
        <f t="shared" si="42"/>
        <v>-0.26881675842780001</v>
      </c>
      <c r="M82" s="76">
        <f t="shared" si="43"/>
        <v>63.999989051045979</v>
      </c>
      <c r="N82" s="17">
        <f t="shared" si="44"/>
        <v>6.2225931237946952E-5</v>
      </c>
    </row>
    <row r="83" spans="9:14" x14ac:dyDescent="0.25">
      <c r="I83" s="76"/>
      <c r="J83" s="76">
        <v>9.7855573122448121</v>
      </c>
      <c r="K83" s="70">
        <f t="shared" si="41"/>
        <v>0.2</v>
      </c>
      <c r="L83" s="76">
        <f t="shared" si="42"/>
        <v>-0.32192809488736229</v>
      </c>
      <c r="M83" s="76">
        <f t="shared" si="43"/>
        <v>63.999995832160501</v>
      </c>
      <c r="N83" s="17">
        <f t="shared" si="44"/>
        <v>6.9007045759406083E-5</v>
      </c>
    </row>
    <row r="84" spans="9:14" x14ac:dyDescent="0.25">
      <c r="I84" s="76"/>
      <c r="J84" s="76">
        <v>16.264233014953636</v>
      </c>
      <c r="K84" s="70">
        <f t="shared" si="41"/>
        <v>0.23</v>
      </c>
      <c r="L84" s="76">
        <f t="shared" si="42"/>
        <v>-0.37706964907982332</v>
      </c>
      <c r="M84" s="76">
        <f t="shared" si="43"/>
        <v>64.000013559674088</v>
      </c>
      <c r="N84" s="17">
        <f t="shared" si="44"/>
        <v>8.6734559346268725E-5</v>
      </c>
    </row>
    <row r="86" spans="9:14" ht="18" x14ac:dyDescent="0.35">
      <c r="I86" s="76" t="s">
        <v>142</v>
      </c>
      <c r="J86" s="20" t="s">
        <v>130</v>
      </c>
      <c r="K86" s="20" t="s">
        <v>12</v>
      </c>
      <c r="L86" s="20" t="s">
        <v>3</v>
      </c>
      <c r="M86" s="20" t="s">
        <v>127</v>
      </c>
      <c r="N86" s="20" t="s">
        <v>126</v>
      </c>
    </row>
    <row r="87" spans="9:14" x14ac:dyDescent="0.25">
      <c r="I87" s="76"/>
      <c r="J87" s="76">
        <v>1.0098183573653798</v>
      </c>
      <c r="K87" s="70">
        <f t="shared" ref="K87:K95" si="45">K76</f>
        <v>1E-3</v>
      </c>
      <c r="L87" s="76">
        <f t="shared" ref="L87:L95" si="46">LN(1-K87)/LN(2)</f>
        <v>-1.4434168696687186E-3</v>
      </c>
      <c r="M87" s="76">
        <f t="shared" ref="M87:M95" si="47">L87/(L87+1)*J87/(1-J87)*(J87^(-(L87+1)/L87)-1)</f>
        <v>127.99999983510025</v>
      </c>
      <c r="N87" s="17">
        <f>ABS($M$87-M87)</f>
        <v>0</v>
      </c>
    </row>
    <row r="88" spans="9:14" x14ac:dyDescent="0.25">
      <c r="I88" s="76"/>
      <c r="J88" s="76">
        <v>1.3538699466143254</v>
      </c>
      <c r="K88" s="70">
        <f t="shared" si="45"/>
        <v>0.03</v>
      </c>
      <c r="L88" s="76">
        <f t="shared" si="46"/>
        <v>-4.3943347587597055E-2</v>
      </c>
      <c r="M88" s="76">
        <f t="shared" si="47"/>
        <v>128.00001466498517</v>
      </c>
      <c r="N88" s="17">
        <f t="shared" ref="N88:N95" si="48">ABS($M$87-M88)</f>
        <v>1.4829884918299285E-5</v>
      </c>
    </row>
    <row r="89" spans="9:14" x14ac:dyDescent="0.25">
      <c r="I89" s="76"/>
      <c r="J89" s="76">
        <v>1.6775732832634251</v>
      </c>
      <c r="K89" s="70">
        <f t="shared" si="45"/>
        <v>0.05</v>
      </c>
      <c r="L89" s="17">
        <f t="shared" si="46"/>
        <v>-7.4000581443776928E-2</v>
      </c>
      <c r="M89" s="76">
        <f t="shared" si="47"/>
        <v>128.00000757314695</v>
      </c>
      <c r="N89" s="17">
        <f t="shared" si="48"/>
        <v>7.7380466905196954E-6</v>
      </c>
    </row>
    <row r="90" spans="9:14" x14ac:dyDescent="0.25">
      <c r="I90" s="76"/>
      <c r="J90" s="76">
        <v>2.3646679591650819</v>
      </c>
      <c r="K90" s="70">
        <f t="shared" si="45"/>
        <v>0.08</v>
      </c>
      <c r="L90" s="76">
        <f t="shared" si="46"/>
        <v>-0.12029423371771177</v>
      </c>
      <c r="M90" s="76">
        <f t="shared" si="47"/>
        <v>128.00002081084827</v>
      </c>
      <c r="N90" s="17">
        <f t="shared" si="48"/>
        <v>2.0975748014961937E-5</v>
      </c>
    </row>
    <row r="91" spans="9:14" x14ac:dyDescent="0.25">
      <c r="I91" s="76"/>
      <c r="J91" s="76">
        <v>3.4374357135491707</v>
      </c>
      <c r="K91" s="70">
        <f t="shared" si="45"/>
        <v>0.11</v>
      </c>
      <c r="L91" s="76">
        <f t="shared" si="46"/>
        <v>-0.16812275880832692</v>
      </c>
      <c r="M91" s="76">
        <f t="shared" si="47"/>
        <v>128.00002091620431</v>
      </c>
      <c r="N91" s="17">
        <f t="shared" si="48"/>
        <v>2.1081104051745569E-5</v>
      </c>
    </row>
    <row r="92" spans="9:14" x14ac:dyDescent="0.25">
      <c r="I92" s="76"/>
      <c r="J92" s="76">
        <v>5.1887147872748347</v>
      </c>
      <c r="K92" s="70">
        <f t="shared" si="45"/>
        <v>0.14000000000000001</v>
      </c>
      <c r="L92" s="76">
        <f t="shared" si="46"/>
        <v>-0.21759143507262679</v>
      </c>
      <c r="M92" s="76">
        <f t="shared" si="47"/>
        <v>127.99997149002846</v>
      </c>
      <c r="N92" s="17">
        <f t="shared" si="48"/>
        <v>2.8345071797275523E-5</v>
      </c>
    </row>
    <row r="93" spans="9:14" x14ac:dyDescent="0.25">
      <c r="I93" s="76"/>
      <c r="J93" s="76">
        <v>8.2083238722638363</v>
      </c>
      <c r="K93" s="70">
        <f t="shared" si="45"/>
        <v>0.17</v>
      </c>
      <c r="L93" s="76">
        <f t="shared" si="46"/>
        <v>-0.26881675842780001</v>
      </c>
      <c r="M93" s="76">
        <f t="shared" si="47"/>
        <v>128.00001272065794</v>
      </c>
      <c r="N93" s="17">
        <f t="shared" si="48"/>
        <v>1.2885557680419879E-5</v>
      </c>
    </row>
    <row r="94" spans="9:14" x14ac:dyDescent="0.25">
      <c r="I94" s="76"/>
      <c r="J94" s="76">
        <v>13.782499806223905</v>
      </c>
      <c r="K94" s="70">
        <f t="shared" si="45"/>
        <v>0.2</v>
      </c>
      <c r="L94" s="76">
        <f t="shared" si="46"/>
        <v>-0.32192809488736229</v>
      </c>
      <c r="M94" s="76">
        <f t="shared" si="47"/>
        <v>127.99998559885347</v>
      </c>
      <c r="N94" s="17">
        <f t="shared" si="48"/>
        <v>1.4236246784093964E-5</v>
      </c>
    </row>
    <row r="95" spans="9:14" x14ac:dyDescent="0.25">
      <c r="I95" s="76"/>
      <c r="J95" s="76">
        <v>25.006949698401876</v>
      </c>
      <c r="K95" s="70">
        <f t="shared" si="45"/>
        <v>0.23</v>
      </c>
      <c r="L95" s="76">
        <f t="shared" si="46"/>
        <v>-0.37706964907982332</v>
      </c>
      <c r="M95" s="76">
        <f t="shared" si="47"/>
        <v>127.99998120640454</v>
      </c>
      <c r="N95" s="17">
        <f t="shared" si="48"/>
        <v>1.8628695713118759E-5</v>
      </c>
    </row>
    <row r="97" spans="9:14" ht="18" x14ac:dyDescent="0.35">
      <c r="I97" s="101" t="s">
        <v>149</v>
      </c>
      <c r="J97" s="20" t="s">
        <v>130</v>
      </c>
      <c r="K97" s="20" t="s">
        <v>12</v>
      </c>
      <c r="L97" s="20" t="s">
        <v>3</v>
      </c>
      <c r="M97" s="20" t="s">
        <v>127</v>
      </c>
      <c r="N97" s="20" t="s">
        <v>126</v>
      </c>
    </row>
    <row r="98" spans="9:14" x14ac:dyDescent="0.25">
      <c r="I98" s="101"/>
      <c r="J98" s="101">
        <v>1.0109931655799476</v>
      </c>
      <c r="K98" s="70">
        <f t="shared" ref="K98:K106" si="49">K87</f>
        <v>1E-3</v>
      </c>
      <c r="L98" s="101">
        <f t="shared" ref="L98:L106" si="50">LN(1-K98)/LN(2)</f>
        <v>-1.4434168696687186E-3</v>
      </c>
      <c r="M98" s="101">
        <f t="shared" ref="M98:M106" si="51">L98/(L98+1)*J98/(1-J98)*(J98^(-(L98+1)/L98)-1)</f>
        <v>256.00007797273719</v>
      </c>
      <c r="N98" s="17">
        <f>ABS($M$98-M98)</f>
        <v>0</v>
      </c>
    </row>
    <row r="99" spans="9:14" x14ac:dyDescent="0.25">
      <c r="I99" s="101"/>
      <c r="J99" s="101">
        <v>1.403817669860983</v>
      </c>
      <c r="K99" s="70">
        <f t="shared" si="49"/>
        <v>0.03</v>
      </c>
      <c r="L99" s="101">
        <f t="shared" si="50"/>
        <v>-4.3943347587597055E-2</v>
      </c>
      <c r="M99" s="101">
        <f t="shared" si="51"/>
        <v>256.00003203834854</v>
      </c>
      <c r="N99" s="17">
        <f t="shared" ref="N99:N106" si="52">ABS($M$98-M99)</f>
        <v>4.5934388651858171E-5</v>
      </c>
    </row>
    <row r="100" spans="9:14" x14ac:dyDescent="0.25">
      <c r="I100" s="101"/>
      <c r="J100" s="101">
        <v>1.7851109689990281</v>
      </c>
      <c r="K100" s="70">
        <f t="shared" si="49"/>
        <v>0.05</v>
      </c>
      <c r="L100" s="17">
        <f t="shared" si="50"/>
        <v>-7.4000581443776928E-2</v>
      </c>
      <c r="M100" s="101">
        <f t="shared" si="51"/>
        <v>255.99992812025351</v>
      </c>
      <c r="N100" s="17">
        <f t="shared" si="52"/>
        <v>1.49852483673385E-4</v>
      </c>
    </row>
    <row r="101" spans="9:14" x14ac:dyDescent="0.25">
      <c r="I101" s="101"/>
      <c r="J101" s="101">
        <v>2.62442194852974</v>
      </c>
      <c r="K101" s="70">
        <f t="shared" si="49"/>
        <v>0.08</v>
      </c>
      <c r="L101" s="101">
        <f t="shared" si="50"/>
        <v>-0.12029423371771177</v>
      </c>
      <c r="M101" s="101">
        <f t="shared" si="51"/>
        <v>255.99998662030791</v>
      </c>
      <c r="N101" s="17">
        <f t="shared" si="52"/>
        <v>9.13524292798229E-5</v>
      </c>
    </row>
    <row r="102" spans="9:14" x14ac:dyDescent="0.25">
      <c r="I102" s="101"/>
      <c r="J102" s="101">
        <v>3.9983578256154768</v>
      </c>
      <c r="K102" s="70">
        <f t="shared" si="49"/>
        <v>0.11</v>
      </c>
      <c r="L102" s="101">
        <f t="shared" si="50"/>
        <v>-0.16812275880832692</v>
      </c>
      <c r="M102" s="101">
        <f t="shared" si="51"/>
        <v>255.99991194830594</v>
      </c>
      <c r="N102" s="17">
        <f t="shared" si="52"/>
        <v>1.6602443125179889E-4</v>
      </c>
    </row>
    <row r="103" spans="9:14" x14ac:dyDescent="0.25">
      <c r="I103" s="101"/>
      <c r="J103" s="101">
        <v>6.365383179907294</v>
      </c>
      <c r="K103" s="70">
        <f t="shared" si="49"/>
        <v>0.14000000000000001</v>
      </c>
      <c r="L103" s="101">
        <f t="shared" si="50"/>
        <v>-0.21759143507262679</v>
      </c>
      <c r="M103" s="101">
        <f t="shared" si="51"/>
        <v>256.0001103667127</v>
      </c>
      <c r="N103" s="17">
        <f t="shared" si="52"/>
        <v>3.239397551624279E-5</v>
      </c>
    </row>
    <row r="104" spans="9:14" x14ac:dyDescent="0.25">
      <c r="I104" s="101"/>
      <c r="J104" s="101">
        <v>10.708992747719181</v>
      </c>
      <c r="K104" s="70">
        <f t="shared" si="49"/>
        <v>0.17</v>
      </c>
      <c r="L104" s="101">
        <f t="shared" si="50"/>
        <v>-0.26881675842780001</v>
      </c>
      <c r="M104" s="101">
        <f t="shared" si="51"/>
        <v>255.99988925374612</v>
      </c>
      <c r="N104" s="17">
        <f t="shared" si="52"/>
        <v>1.8871899106898127E-4</v>
      </c>
    </row>
    <row r="105" spans="9:14" x14ac:dyDescent="0.25">
      <c r="I105" s="101"/>
      <c r="J105" s="101">
        <v>19.337961186480999</v>
      </c>
      <c r="K105" s="70">
        <f t="shared" si="49"/>
        <v>0.2</v>
      </c>
      <c r="L105" s="101">
        <f t="shared" si="50"/>
        <v>-0.32192809488736229</v>
      </c>
      <c r="M105" s="101">
        <f t="shared" si="51"/>
        <v>256.00009345584772</v>
      </c>
      <c r="N105" s="17">
        <f t="shared" si="52"/>
        <v>1.5483110530567501E-5</v>
      </c>
    </row>
    <row r="106" spans="9:14" x14ac:dyDescent="0.25">
      <c r="I106" s="101"/>
      <c r="J106" s="101">
        <v>38.317877717297144</v>
      </c>
      <c r="K106" s="70">
        <f t="shared" si="49"/>
        <v>0.23</v>
      </c>
      <c r="L106" s="101">
        <f t="shared" si="50"/>
        <v>-0.37706964907982332</v>
      </c>
      <c r="M106" s="101">
        <f t="shared" si="51"/>
        <v>256.00005731846721</v>
      </c>
      <c r="N106" s="17">
        <f t="shared" si="52"/>
        <v>2.0654269974329509E-5</v>
      </c>
    </row>
  </sheetData>
  <pageMargins left="0" right="0" top="0" bottom="0" header="0" footer="0"/>
  <pageSetup paperSize="197" scale="10" orientation="portrait" horizontalDpi="4294967292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opLeftCell="A25" zoomScale="95" zoomScaleNormal="95" workbookViewId="0">
      <selection activeCell="M3" sqref="M3"/>
    </sheetView>
  </sheetViews>
  <sheetFormatPr defaultRowHeight="15" x14ac:dyDescent="0.25"/>
  <cols>
    <col min="8" max="8" width="12" bestFit="1" customWidth="1"/>
    <col min="9" max="9" width="12" customWidth="1"/>
    <col min="10" max="10" width="9.140625" customWidth="1"/>
  </cols>
  <sheetData>
    <row r="1" spans="1:13" x14ac:dyDescent="0.25">
      <c r="A1" s="6" t="s">
        <v>46</v>
      </c>
      <c r="B1" s="6" t="s">
        <v>13</v>
      </c>
      <c r="C1" s="6" t="s">
        <v>3</v>
      </c>
      <c r="D1" s="6" t="s">
        <v>17</v>
      </c>
      <c r="E1" s="6" t="s">
        <v>2</v>
      </c>
      <c r="G1" s="3" t="s">
        <v>8</v>
      </c>
      <c r="H1" s="3" t="s">
        <v>113</v>
      </c>
      <c r="I1" s="3" t="s">
        <v>20</v>
      </c>
      <c r="J1" s="43" t="s">
        <v>114</v>
      </c>
      <c r="K1" s="43" t="s">
        <v>114</v>
      </c>
      <c r="L1" s="1"/>
      <c r="M1" s="1"/>
    </row>
    <row r="2" spans="1:13" x14ac:dyDescent="0.25">
      <c r="A2" s="5">
        <v>2</v>
      </c>
      <c r="B2" s="5">
        <v>1</v>
      </c>
      <c r="C2" s="5">
        <v>-0.5</v>
      </c>
      <c r="D2" s="5">
        <v>10</v>
      </c>
      <c r="E2" s="5">
        <f>D2/B2^C2</f>
        <v>10</v>
      </c>
      <c r="G2">
        <f>B2*(A2/D2)^(1/C2)</f>
        <v>24.999999999999996</v>
      </c>
      <c r="H2">
        <f>B2*D2*(($C$2+1)^(-1)*(-$C$2*($A$2/D2)^(($C$2+1)/$C$2)-1)+$A$2/D2)</f>
        <v>32</v>
      </c>
    </row>
    <row r="3" spans="1:13" x14ac:dyDescent="0.25">
      <c r="A3" s="50" t="s">
        <v>55</v>
      </c>
      <c r="B3" s="51">
        <f>$B$2*(D3/$D$2)^(1/$C$2)</f>
        <v>1.5624999999999998</v>
      </c>
      <c r="C3" s="51"/>
      <c r="D3" s="51">
        <v>8</v>
      </c>
      <c r="E3" s="51">
        <f>D3/(B3)^C2</f>
        <v>10</v>
      </c>
      <c r="G3">
        <f>G2</f>
        <v>24.999999999999996</v>
      </c>
      <c r="H3">
        <f>B3*D3*(-($C$2+1)^(-1)*($C$2*($A$2/D3)^(($C$2+1)/$C$2)+1)+$A$2/D3)</f>
        <v>28.124999999999996</v>
      </c>
      <c r="J3">
        <f>(D4/D2)^(1/C2)</f>
        <v>1.5624999999999998</v>
      </c>
      <c r="K3">
        <f>H3/H4</f>
        <v>1.5624999999999998</v>
      </c>
    </row>
    <row r="4" spans="1:13" x14ac:dyDescent="0.25">
      <c r="A4" s="52" t="s">
        <v>56</v>
      </c>
      <c r="B4" s="53">
        <v>1</v>
      </c>
      <c r="C4" s="53"/>
      <c r="D4" s="53">
        <v>8</v>
      </c>
      <c r="E4" s="53">
        <f>D4/B4^C2</f>
        <v>8</v>
      </c>
      <c r="G4">
        <f>B4*(A2/D4)^(1/C2)</f>
        <v>16</v>
      </c>
      <c r="H4">
        <f>$B$2*$D$4*(-($C$2+1)^(-1)*($C$2*($A$2/D4)^(($C$2+1)/$C$2)+1)+$A$2/D4)</f>
        <v>18</v>
      </c>
      <c r="I4">
        <f>((A2/D2)^((C2+1)/C2)-1)/(-C2*(A2/D2)^((C2+1)/C2)-1+(C2+1)*A2/D2)</f>
        <v>2.5</v>
      </c>
    </row>
    <row r="7" spans="1:13" ht="18" x14ac:dyDescent="0.35">
      <c r="A7" s="2"/>
      <c r="B7" s="10"/>
      <c r="C7" s="10"/>
      <c r="D7" s="11" t="s">
        <v>6</v>
      </c>
      <c r="E7" s="54" t="s">
        <v>7</v>
      </c>
      <c r="F7" s="3"/>
      <c r="G7" s="13"/>
      <c r="H7" s="13" t="s">
        <v>115</v>
      </c>
      <c r="I7" s="13"/>
      <c r="J7" s="14" t="s">
        <v>4</v>
      </c>
      <c r="K7" s="37"/>
      <c r="L7" s="37" t="s">
        <v>54</v>
      </c>
      <c r="M7" s="38"/>
    </row>
    <row r="8" spans="1:13" x14ac:dyDescent="0.25">
      <c r="A8">
        <v>1</v>
      </c>
      <c r="B8">
        <f>LOG(A8,10)</f>
        <v>0</v>
      </c>
      <c r="C8" s="17">
        <f t="shared" ref="C8:C32" si="0">$A$2</f>
        <v>2</v>
      </c>
      <c r="D8">
        <f>LOG($A$2,10)</f>
        <v>0.30102999566398114</v>
      </c>
      <c r="E8">
        <f t="shared" ref="E8:E32" si="1">E$2*$A8^C$2</f>
        <v>10</v>
      </c>
      <c r="F8">
        <f>LOG(E8,10)</f>
        <v>1</v>
      </c>
      <c r="G8">
        <f t="shared" ref="G8:G32" si="2">E$4*$A8^C$2</f>
        <v>8</v>
      </c>
      <c r="H8">
        <f t="shared" ref="H8:H32" si="3">LOG(E$4*$A8^C$2,10)</f>
        <v>0.90308998699194343</v>
      </c>
      <c r="I8">
        <f>G8-C8</f>
        <v>6</v>
      </c>
      <c r="J8">
        <f>H8-D8</f>
        <v>0.60205999132796229</v>
      </c>
      <c r="K8" s="58">
        <f>K9</f>
        <v>7.0710678118654746</v>
      </c>
      <c r="L8">
        <f t="shared" ref="L8:L32" si="4">LOG(E$3*$A8^C$2,10)</f>
        <v>1</v>
      </c>
      <c r="M8">
        <f t="shared" ref="M8:M32" si="5">L8-D8</f>
        <v>0.69897000433601886</v>
      </c>
    </row>
    <row r="9" spans="1:13" x14ac:dyDescent="0.25">
      <c r="A9">
        <v>2</v>
      </c>
      <c r="B9">
        <f t="shared" ref="B9:B25" si="6">LOG(A9,10)</f>
        <v>0.30102999566398114</v>
      </c>
      <c r="C9" s="17">
        <f t="shared" si="0"/>
        <v>2</v>
      </c>
      <c r="D9">
        <f t="shared" ref="D9:D32" si="7">LOG($A$2,10)</f>
        <v>0.30102999566398114</v>
      </c>
      <c r="E9">
        <f t="shared" si="1"/>
        <v>7.0710678118654746</v>
      </c>
      <c r="F9">
        <f t="shared" ref="F9:F32" si="8">LOG(E9,10)</f>
        <v>0.84948500216800926</v>
      </c>
      <c r="G9">
        <f t="shared" si="2"/>
        <v>5.6568542494923797</v>
      </c>
      <c r="H9">
        <f t="shared" si="3"/>
        <v>0.75257498915995291</v>
      </c>
      <c r="I9">
        <f t="shared" ref="I9:J18" si="9">G9-C9</f>
        <v>3.6568542494923797</v>
      </c>
      <c r="J9">
        <f t="shared" si="9"/>
        <v>0.45154499349597177</v>
      </c>
      <c r="K9">
        <f t="shared" ref="K9:K32" si="10">E$3*$A9^C$2</f>
        <v>7.0710678118654746</v>
      </c>
      <c r="L9">
        <f t="shared" si="4"/>
        <v>0.84948500216800926</v>
      </c>
      <c r="M9">
        <f t="shared" si="5"/>
        <v>0.54845500650402812</v>
      </c>
    </row>
    <row r="10" spans="1:13" x14ac:dyDescent="0.25">
      <c r="A10">
        <v>3</v>
      </c>
      <c r="B10">
        <f t="shared" si="6"/>
        <v>0.47712125471966244</v>
      </c>
      <c r="C10" s="17">
        <f t="shared" si="0"/>
        <v>2</v>
      </c>
      <c r="D10">
        <f t="shared" si="7"/>
        <v>0.30102999566398114</v>
      </c>
      <c r="E10">
        <f t="shared" si="1"/>
        <v>5.7735026918962582</v>
      </c>
      <c r="F10">
        <f t="shared" si="8"/>
        <v>0.7614393726401687</v>
      </c>
      <c r="G10">
        <f t="shared" si="2"/>
        <v>4.6188021535170067</v>
      </c>
      <c r="H10">
        <f t="shared" si="3"/>
        <v>0.66452935963211235</v>
      </c>
      <c r="I10">
        <f t="shared" si="9"/>
        <v>2.6188021535170067</v>
      </c>
      <c r="J10">
        <f t="shared" si="9"/>
        <v>0.36349936396813121</v>
      </c>
      <c r="K10">
        <f t="shared" si="10"/>
        <v>5.7735026918962582</v>
      </c>
      <c r="L10">
        <f t="shared" si="4"/>
        <v>0.7614393726401687</v>
      </c>
      <c r="M10">
        <f t="shared" si="5"/>
        <v>0.46040937697618756</v>
      </c>
    </row>
    <row r="11" spans="1:13" x14ac:dyDescent="0.25">
      <c r="A11">
        <v>4</v>
      </c>
      <c r="B11">
        <f t="shared" si="6"/>
        <v>0.60205999132796229</v>
      </c>
      <c r="C11" s="17">
        <f t="shared" si="0"/>
        <v>2</v>
      </c>
      <c r="D11">
        <f t="shared" si="7"/>
        <v>0.30102999566398114</v>
      </c>
      <c r="E11">
        <f t="shared" si="1"/>
        <v>5</v>
      </c>
      <c r="F11">
        <f t="shared" si="8"/>
        <v>0.69897000433601875</v>
      </c>
      <c r="G11">
        <f t="shared" si="2"/>
        <v>4</v>
      </c>
      <c r="H11">
        <f t="shared" si="3"/>
        <v>0.60205999132796229</v>
      </c>
      <c r="I11">
        <f t="shared" si="9"/>
        <v>2</v>
      </c>
      <c r="J11">
        <f t="shared" si="9"/>
        <v>0.30102999566398114</v>
      </c>
      <c r="K11">
        <f t="shared" si="10"/>
        <v>5</v>
      </c>
      <c r="L11">
        <f t="shared" si="4"/>
        <v>0.69897000433601875</v>
      </c>
      <c r="M11">
        <f t="shared" si="5"/>
        <v>0.3979400086720376</v>
      </c>
    </row>
    <row r="12" spans="1:13" x14ac:dyDescent="0.25">
      <c r="A12">
        <v>5</v>
      </c>
      <c r="B12">
        <f t="shared" si="6"/>
        <v>0.69897000433601875</v>
      </c>
      <c r="C12" s="17">
        <f t="shared" si="0"/>
        <v>2</v>
      </c>
      <c r="D12">
        <f t="shared" si="7"/>
        <v>0.30102999566398114</v>
      </c>
      <c r="E12">
        <f t="shared" si="1"/>
        <v>4.4721359549995796</v>
      </c>
      <c r="F12">
        <f t="shared" si="8"/>
        <v>0.65051499783199063</v>
      </c>
      <c r="G12">
        <f t="shared" si="2"/>
        <v>3.5777087639996634</v>
      </c>
      <c r="H12">
        <f t="shared" si="3"/>
        <v>0.55360498482393417</v>
      </c>
      <c r="I12">
        <f t="shared" si="9"/>
        <v>1.5777087639996634</v>
      </c>
      <c r="J12">
        <f t="shared" si="9"/>
        <v>0.25257498915995302</v>
      </c>
      <c r="K12">
        <f t="shared" si="10"/>
        <v>4.4721359549995796</v>
      </c>
      <c r="L12">
        <f t="shared" si="4"/>
        <v>0.65051499783199063</v>
      </c>
      <c r="M12">
        <f t="shared" si="5"/>
        <v>0.34948500216800948</v>
      </c>
    </row>
    <row r="13" spans="1:13" x14ac:dyDescent="0.25">
      <c r="A13">
        <v>6</v>
      </c>
      <c r="B13">
        <f t="shared" si="6"/>
        <v>0.77815125038364352</v>
      </c>
      <c r="C13" s="17">
        <f t="shared" si="0"/>
        <v>2</v>
      </c>
      <c r="D13">
        <f t="shared" si="7"/>
        <v>0.30102999566398114</v>
      </c>
      <c r="E13">
        <f t="shared" si="1"/>
        <v>4.0824829046386304</v>
      </c>
      <c r="F13">
        <f t="shared" si="8"/>
        <v>0.61092437480817818</v>
      </c>
      <c r="G13">
        <f t="shared" si="2"/>
        <v>3.2659863237109046</v>
      </c>
      <c r="H13">
        <f t="shared" si="3"/>
        <v>0.51401436180012172</v>
      </c>
      <c r="I13">
        <f t="shared" si="9"/>
        <v>1.2659863237109046</v>
      </c>
      <c r="J13">
        <f t="shared" si="9"/>
        <v>0.21298436613614058</v>
      </c>
      <c r="K13">
        <f t="shared" si="10"/>
        <v>4.0824829046386304</v>
      </c>
      <c r="L13">
        <f t="shared" si="4"/>
        <v>0.61092437480817818</v>
      </c>
      <c r="M13">
        <f t="shared" si="5"/>
        <v>0.30989437914419704</v>
      </c>
    </row>
    <row r="14" spans="1:13" x14ac:dyDescent="0.25">
      <c r="A14">
        <v>7</v>
      </c>
      <c r="B14">
        <f t="shared" si="6"/>
        <v>0.8450980400142567</v>
      </c>
      <c r="C14" s="17">
        <f t="shared" si="0"/>
        <v>2</v>
      </c>
      <c r="D14">
        <f t="shared" si="7"/>
        <v>0.30102999566398114</v>
      </c>
      <c r="E14">
        <f t="shared" si="1"/>
        <v>3.7796447300922722</v>
      </c>
      <c r="F14">
        <f t="shared" si="8"/>
        <v>0.57745097999287154</v>
      </c>
      <c r="G14">
        <f t="shared" si="2"/>
        <v>3.0237157840738176</v>
      </c>
      <c r="H14">
        <f t="shared" si="3"/>
        <v>0.48054096698481513</v>
      </c>
      <c r="I14">
        <f t="shared" si="9"/>
        <v>1.0237157840738176</v>
      </c>
      <c r="J14">
        <f t="shared" si="9"/>
        <v>0.17951097132083399</v>
      </c>
      <c r="K14">
        <f t="shared" si="10"/>
        <v>3.7796447300922722</v>
      </c>
      <c r="L14">
        <f t="shared" si="4"/>
        <v>0.57745097999287154</v>
      </c>
      <c r="M14">
        <f t="shared" si="5"/>
        <v>0.2764209843288904</v>
      </c>
    </row>
    <row r="15" spans="1:13" x14ac:dyDescent="0.25">
      <c r="A15">
        <v>8</v>
      </c>
      <c r="B15">
        <f t="shared" si="6"/>
        <v>0.90308998699194343</v>
      </c>
      <c r="C15" s="17">
        <f t="shared" si="0"/>
        <v>2</v>
      </c>
      <c r="D15">
        <f t="shared" si="7"/>
        <v>0.30102999566398114</v>
      </c>
      <c r="E15">
        <f t="shared" si="1"/>
        <v>3.5355339059327373</v>
      </c>
      <c r="F15">
        <f t="shared" si="8"/>
        <v>0.54845500650402812</v>
      </c>
      <c r="G15">
        <f t="shared" si="2"/>
        <v>2.8284271247461898</v>
      </c>
      <c r="H15">
        <f t="shared" si="3"/>
        <v>0.45154499349597171</v>
      </c>
      <c r="I15">
        <f t="shared" si="9"/>
        <v>0.82842712474618985</v>
      </c>
      <c r="J15">
        <f t="shared" si="9"/>
        <v>0.15051499783199057</v>
      </c>
      <c r="K15">
        <f t="shared" si="10"/>
        <v>3.5355339059327373</v>
      </c>
      <c r="L15">
        <f t="shared" si="4"/>
        <v>0.54845500650402812</v>
      </c>
      <c r="M15">
        <f t="shared" si="5"/>
        <v>0.24742501084004698</v>
      </c>
    </row>
    <row r="16" spans="1:13" x14ac:dyDescent="0.25">
      <c r="A16">
        <v>9</v>
      </c>
      <c r="B16">
        <f t="shared" si="6"/>
        <v>0.95424250943932487</v>
      </c>
      <c r="C16" s="17">
        <f t="shared" si="0"/>
        <v>2</v>
      </c>
      <c r="D16">
        <f t="shared" si="7"/>
        <v>0.30102999566398114</v>
      </c>
      <c r="E16">
        <f t="shared" si="1"/>
        <v>3.333333333333333</v>
      </c>
      <c r="F16">
        <f t="shared" si="8"/>
        <v>0.52287874528033751</v>
      </c>
      <c r="G16">
        <f t="shared" si="2"/>
        <v>2.6666666666666665</v>
      </c>
      <c r="H16">
        <f t="shared" si="3"/>
        <v>0.4259687322722811</v>
      </c>
      <c r="I16">
        <f t="shared" si="9"/>
        <v>0.66666666666666652</v>
      </c>
      <c r="J16">
        <f t="shared" si="9"/>
        <v>0.12493873660829996</v>
      </c>
      <c r="K16">
        <f t="shared" si="10"/>
        <v>3.333333333333333</v>
      </c>
      <c r="L16">
        <f t="shared" si="4"/>
        <v>0.52287874528033751</v>
      </c>
      <c r="M16">
        <f t="shared" si="5"/>
        <v>0.22184874961635637</v>
      </c>
    </row>
    <row r="17" spans="1:26" x14ac:dyDescent="0.25">
      <c r="A17">
        <v>10</v>
      </c>
      <c r="B17">
        <f t="shared" si="6"/>
        <v>1</v>
      </c>
      <c r="C17" s="17">
        <f t="shared" si="0"/>
        <v>2</v>
      </c>
      <c r="D17">
        <f t="shared" si="7"/>
        <v>0.30102999566398114</v>
      </c>
      <c r="E17">
        <f t="shared" si="1"/>
        <v>3.1622776601683795</v>
      </c>
      <c r="F17">
        <f t="shared" si="8"/>
        <v>0.5</v>
      </c>
      <c r="G17">
        <f t="shared" si="2"/>
        <v>2.5298221281347035</v>
      </c>
      <c r="H17">
        <f t="shared" si="3"/>
        <v>0.40308998699194359</v>
      </c>
      <c r="I17">
        <f t="shared" si="9"/>
        <v>0.52982212813470353</v>
      </c>
      <c r="J17">
        <f t="shared" si="9"/>
        <v>0.10205999132796245</v>
      </c>
      <c r="K17">
        <f t="shared" si="10"/>
        <v>3.1622776601683795</v>
      </c>
      <c r="L17">
        <f t="shared" si="4"/>
        <v>0.5</v>
      </c>
      <c r="M17">
        <f t="shared" si="5"/>
        <v>0.19897000433601886</v>
      </c>
    </row>
    <row r="18" spans="1:26" x14ac:dyDescent="0.25">
      <c r="A18">
        <v>11</v>
      </c>
      <c r="B18">
        <f t="shared" si="6"/>
        <v>1.0413926851582249</v>
      </c>
      <c r="C18" s="17">
        <f t="shared" si="0"/>
        <v>2</v>
      </c>
      <c r="D18">
        <f t="shared" si="7"/>
        <v>0.30102999566398114</v>
      </c>
      <c r="E18">
        <f t="shared" si="1"/>
        <v>3.0151134457776365</v>
      </c>
      <c r="F18">
        <f t="shared" si="8"/>
        <v>0.47930365742088749</v>
      </c>
      <c r="G18">
        <f t="shared" si="2"/>
        <v>2.412090756622109</v>
      </c>
      <c r="H18">
        <f t="shared" si="3"/>
        <v>0.38239364441283102</v>
      </c>
      <c r="I18">
        <f t="shared" si="9"/>
        <v>0.41209075662210903</v>
      </c>
      <c r="J18">
        <f t="shared" si="9"/>
        <v>8.1363648748849882E-2</v>
      </c>
      <c r="K18">
        <f t="shared" si="10"/>
        <v>3.0151134457776365</v>
      </c>
      <c r="L18">
        <f t="shared" si="4"/>
        <v>0.47930365742088749</v>
      </c>
      <c r="M18">
        <f t="shared" si="5"/>
        <v>0.17827366175690634</v>
      </c>
    </row>
    <row r="19" spans="1:26" x14ac:dyDescent="0.25">
      <c r="A19">
        <v>12</v>
      </c>
      <c r="B19">
        <f t="shared" si="6"/>
        <v>1.0791812460476247</v>
      </c>
      <c r="C19" s="17">
        <f t="shared" si="0"/>
        <v>2</v>
      </c>
      <c r="D19">
        <f t="shared" si="7"/>
        <v>0.30102999566398114</v>
      </c>
      <c r="E19">
        <f t="shared" si="1"/>
        <v>2.8867513459481291</v>
      </c>
      <c r="F19">
        <f t="shared" si="8"/>
        <v>0.46040937697618761</v>
      </c>
      <c r="G19">
        <f t="shared" si="2"/>
        <v>2.3094010767585034</v>
      </c>
      <c r="H19">
        <f t="shared" si="3"/>
        <v>0.36349936396813121</v>
      </c>
      <c r="I19">
        <f t="shared" ref="I19:I32" si="11">G19-C19</f>
        <v>0.30940107675850337</v>
      </c>
      <c r="J19">
        <f t="shared" ref="J19:J32" si="12">H19-D19</f>
        <v>6.2469368304150064E-2</v>
      </c>
      <c r="K19">
        <f t="shared" si="10"/>
        <v>2.8867513459481291</v>
      </c>
      <c r="L19">
        <f t="shared" si="4"/>
        <v>0.46040937697618761</v>
      </c>
      <c r="M19">
        <f t="shared" si="5"/>
        <v>0.15937938131220647</v>
      </c>
    </row>
    <row r="20" spans="1:26" x14ac:dyDescent="0.25">
      <c r="A20">
        <v>13</v>
      </c>
      <c r="B20">
        <f t="shared" si="6"/>
        <v>1.1139433523068367</v>
      </c>
      <c r="C20" s="17">
        <f t="shared" si="0"/>
        <v>2</v>
      </c>
      <c r="D20">
        <f t="shared" si="7"/>
        <v>0.30102999566398114</v>
      </c>
      <c r="E20">
        <f t="shared" si="1"/>
        <v>2.773500981126146</v>
      </c>
      <c r="F20">
        <f t="shared" si="8"/>
        <v>0.44302832384658164</v>
      </c>
      <c r="G20">
        <f t="shared" si="2"/>
        <v>2.2188007849009166</v>
      </c>
      <c r="H20">
        <f t="shared" si="3"/>
        <v>0.34611831083852518</v>
      </c>
      <c r="I20">
        <f t="shared" si="11"/>
        <v>0.21880078490091659</v>
      </c>
      <c r="J20">
        <f t="shared" si="12"/>
        <v>4.5088315174544036E-2</v>
      </c>
      <c r="K20">
        <f t="shared" si="10"/>
        <v>2.773500981126146</v>
      </c>
      <c r="L20">
        <f t="shared" si="4"/>
        <v>0.44302832384658164</v>
      </c>
      <c r="M20">
        <f t="shared" si="5"/>
        <v>0.1419983281826005</v>
      </c>
    </row>
    <row r="21" spans="1:26" x14ac:dyDescent="0.25">
      <c r="A21">
        <v>14</v>
      </c>
      <c r="B21">
        <f t="shared" si="6"/>
        <v>1.1461280356782377</v>
      </c>
      <c r="C21" s="17">
        <f t="shared" si="0"/>
        <v>2</v>
      </c>
      <c r="D21">
        <f t="shared" si="7"/>
        <v>0.30102999566398114</v>
      </c>
      <c r="E21">
        <f t="shared" si="1"/>
        <v>2.6726124191242437</v>
      </c>
      <c r="F21">
        <f t="shared" si="8"/>
        <v>0.42693598216088097</v>
      </c>
      <c r="G21">
        <f t="shared" si="2"/>
        <v>2.1380899352993952</v>
      </c>
      <c r="H21">
        <f t="shared" si="3"/>
        <v>0.33002596915282456</v>
      </c>
      <c r="I21">
        <f t="shared" si="11"/>
        <v>0.13808993529939517</v>
      </c>
      <c r="J21">
        <f t="shared" si="12"/>
        <v>2.8995973488843418E-2</v>
      </c>
      <c r="K21">
        <f t="shared" si="10"/>
        <v>2.6726124191242437</v>
      </c>
      <c r="L21">
        <f t="shared" si="4"/>
        <v>0.42693598216088097</v>
      </c>
      <c r="M21">
        <f t="shared" si="5"/>
        <v>0.12590598649689982</v>
      </c>
    </row>
    <row r="22" spans="1:26" x14ac:dyDescent="0.25">
      <c r="A22">
        <v>15</v>
      </c>
      <c r="B22">
        <f t="shared" si="6"/>
        <v>1.1760912590556811</v>
      </c>
      <c r="C22" s="17">
        <f t="shared" si="0"/>
        <v>2</v>
      </c>
      <c r="D22">
        <f t="shared" si="7"/>
        <v>0.30102999566398114</v>
      </c>
      <c r="E22">
        <f t="shared" si="1"/>
        <v>2.5819888974716108</v>
      </c>
      <c r="F22">
        <f t="shared" si="8"/>
        <v>0.41195437047215921</v>
      </c>
      <c r="G22">
        <f t="shared" si="2"/>
        <v>2.0655911179772888</v>
      </c>
      <c r="H22">
        <f t="shared" si="3"/>
        <v>0.31504435746410292</v>
      </c>
      <c r="I22">
        <f t="shared" si="11"/>
        <v>6.5591117977288782E-2</v>
      </c>
      <c r="J22">
        <f t="shared" si="12"/>
        <v>1.4014361800121777E-2</v>
      </c>
      <c r="K22">
        <f t="shared" si="10"/>
        <v>2.5819888974716108</v>
      </c>
      <c r="L22">
        <f t="shared" si="4"/>
        <v>0.41195437047215921</v>
      </c>
      <c r="M22">
        <f t="shared" si="5"/>
        <v>0.11092437480817807</v>
      </c>
    </row>
    <row r="23" spans="1:26" x14ac:dyDescent="0.25">
      <c r="A23">
        <v>16</v>
      </c>
      <c r="B23">
        <f t="shared" si="6"/>
        <v>1.2041199826559246</v>
      </c>
      <c r="C23" s="17">
        <f t="shared" si="0"/>
        <v>2</v>
      </c>
      <c r="D23">
        <f t="shared" si="7"/>
        <v>0.30102999566398114</v>
      </c>
      <c r="E23">
        <f t="shared" si="1"/>
        <v>2.5</v>
      </c>
      <c r="F23">
        <f t="shared" si="8"/>
        <v>0.3979400086720376</v>
      </c>
      <c r="G23">
        <f t="shared" si="2"/>
        <v>2</v>
      </c>
      <c r="H23">
        <f t="shared" si="3"/>
        <v>0.30102999566398114</v>
      </c>
      <c r="I23">
        <f t="shared" si="11"/>
        <v>0</v>
      </c>
      <c r="J23">
        <f t="shared" si="12"/>
        <v>0</v>
      </c>
      <c r="K23">
        <f t="shared" si="10"/>
        <v>2.5</v>
      </c>
      <c r="L23">
        <f t="shared" si="4"/>
        <v>0.3979400086720376</v>
      </c>
      <c r="M23">
        <f t="shared" si="5"/>
        <v>9.6910013008056461E-2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x14ac:dyDescent="0.25">
      <c r="A24">
        <v>17</v>
      </c>
      <c r="B24">
        <f t="shared" si="6"/>
        <v>1.2304489213782739</v>
      </c>
      <c r="C24" s="17">
        <f t="shared" si="0"/>
        <v>2</v>
      </c>
      <c r="D24">
        <f t="shared" si="7"/>
        <v>0.30102999566398114</v>
      </c>
      <c r="E24">
        <f t="shared" si="1"/>
        <v>2.4253562503633299</v>
      </c>
      <c r="F24">
        <f t="shared" si="8"/>
        <v>0.384775539310863</v>
      </c>
      <c r="G24">
        <f t="shared" si="2"/>
        <v>1.9402850002906638</v>
      </c>
      <c r="H24">
        <f t="shared" si="3"/>
        <v>0.2878655263028066</v>
      </c>
      <c r="I24">
        <f t="shared" si="11"/>
        <v>-5.9714999709336247E-2</v>
      </c>
      <c r="J24">
        <f t="shared" si="12"/>
        <v>-1.3164469361174547E-2</v>
      </c>
      <c r="K24">
        <f t="shared" si="10"/>
        <v>2.4253562503633299</v>
      </c>
      <c r="L24">
        <f t="shared" si="4"/>
        <v>0.384775539310863</v>
      </c>
      <c r="M24">
        <f t="shared" si="5"/>
        <v>8.3745543646881859E-2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5">
      <c r="A25">
        <v>18</v>
      </c>
      <c r="B25">
        <f t="shared" si="6"/>
        <v>1.2552725051033058</v>
      </c>
      <c r="C25" s="17">
        <f t="shared" si="0"/>
        <v>2</v>
      </c>
      <c r="D25">
        <f t="shared" si="7"/>
        <v>0.30102999566398114</v>
      </c>
      <c r="E25">
        <f t="shared" si="1"/>
        <v>2.3570226039551585</v>
      </c>
      <c r="F25">
        <f t="shared" si="8"/>
        <v>0.37236374744834699</v>
      </c>
      <c r="G25">
        <f t="shared" si="2"/>
        <v>1.8856180831641269</v>
      </c>
      <c r="H25">
        <f t="shared" si="3"/>
        <v>0.27545373444029059</v>
      </c>
      <c r="I25">
        <f t="shared" si="11"/>
        <v>-0.11438191683587307</v>
      </c>
      <c r="J25">
        <f t="shared" si="12"/>
        <v>-2.5576261223690555E-2</v>
      </c>
      <c r="K25">
        <f t="shared" si="10"/>
        <v>2.3570226039551585</v>
      </c>
      <c r="L25">
        <f t="shared" si="4"/>
        <v>0.37236374744834699</v>
      </c>
      <c r="M25">
        <f t="shared" si="5"/>
        <v>7.1333751784365851E-2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5">
      <c r="A26">
        <v>19</v>
      </c>
      <c r="B26">
        <f t="shared" ref="B26:B32" si="13">LOG(A26,10)</f>
        <v>1.2787536009528289</v>
      </c>
      <c r="C26" s="17">
        <f t="shared" si="0"/>
        <v>2</v>
      </c>
      <c r="D26">
        <f t="shared" si="7"/>
        <v>0.30102999566398114</v>
      </c>
      <c r="E26">
        <f t="shared" si="1"/>
        <v>2.2941573387056176</v>
      </c>
      <c r="F26">
        <f t="shared" si="8"/>
        <v>0.36062319952358546</v>
      </c>
      <c r="G26">
        <f t="shared" si="2"/>
        <v>1.835325870964494</v>
      </c>
      <c r="H26">
        <f t="shared" si="3"/>
        <v>0.26371318651552905</v>
      </c>
      <c r="I26">
        <f t="shared" si="11"/>
        <v>-0.16467412903550604</v>
      </c>
      <c r="J26">
        <f t="shared" si="12"/>
        <v>-3.731680914845209E-2</v>
      </c>
      <c r="K26">
        <f t="shared" si="10"/>
        <v>2.2941573387056176</v>
      </c>
      <c r="L26">
        <f t="shared" si="4"/>
        <v>0.36062319952358546</v>
      </c>
      <c r="M26">
        <f t="shared" si="5"/>
        <v>5.9593203859604316E-2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5">
      <c r="A27">
        <v>20</v>
      </c>
      <c r="B27">
        <f t="shared" si="13"/>
        <v>1.301029995663981</v>
      </c>
      <c r="C27" s="17">
        <f t="shared" si="0"/>
        <v>2</v>
      </c>
      <c r="D27">
        <f t="shared" si="7"/>
        <v>0.30102999566398114</v>
      </c>
      <c r="E27">
        <f t="shared" si="1"/>
        <v>2.2360679774997898</v>
      </c>
      <c r="F27">
        <f t="shared" si="8"/>
        <v>0.34948500216800937</v>
      </c>
      <c r="G27">
        <f t="shared" si="2"/>
        <v>1.7888543819998317</v>
      </c>
      <c r="H27">
        <f t="shared" si="3"/>
        <v>0.25257498915995297</v>
      </c>
      <c r="I27">
        <f t="shared" si="11"/>
        <v>-0.21114561800016829</v>
      </c>
      <c r="J27">
        <f t="shared" si="12"/>
        <v>-4.8455006504028175E-2</v>
      </c>
      <c r="K27">
        <f t="shared" si="10"/>
        <v>2.2360679774997898</v>
      </c>
      <c r="L27">
        <f t="shared" si="4"/>
        <v>0.34948500216800937</v>
      </c>
      <c r="M27">
        <f t="shared" si="5"/>
        <v>4.8455006504028231E-2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5">
      <c r="A28">
        <v>21</v>
      </c>
      <c r="B28">
        <f t="shared" si="13"/>
        <v>1.3222192947339191</v>
      </c>
      <c r="C28" s="17">
        <f t="shared" si="0"/>
        <v>2</v>
      </c>
      <c r="D28">
        <f t="shared" si="7"/>
        <v>0.30102999566398114</v>
      </c>
      <c r="E28">
        <f t="shared" si="1"/>
        <v>2.1821789023599241</v>
      </c>
      <c r="F28">
        <f t="shared" si="8"/>
        <v>0.3388903526330404</v>
      </c>
      <c r="G28">
        <f t="shared" si="2"/>
        <v>1.7457431218879391</v>
      </c>
      <c r="H28">
        <f t="shared" si="3"/>
        <v>0.24198033962498394</v>
      </c>
      <c r="I28">
        <f t="shared" si="11"/>
        <v>-0.25425687811206088</v>
      </c>
      <c r="J28">
        <f t="shared" si="12"/>
        <v>-5.90496560389972E-2</v>
      </c>
      <c r="K28">
        <f t="shared" si="10"/>
        <v>2.1821789023599241</v>
      </c>
      <c r="L28">
        <f t="shared" si="4"/>
        <v>0.3388903526330404</v>
      </c>
      <c r="M28">
        <f t="shared" si="5"/>
        <v>3.7860356969059261E-2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5">
      <c r="A29">
        <v>22</v>
      </c>
      <c r="B29">
        <f t="shared" si="13"/>
        <v>1.3424226808222062</v>
      </c>
      <c r="C29" s="17">
        <f t="shared" si="0"/>
        <v>2</v>
      </c>
      <c r="D29">
        <f t="shared" si="7"/>
        <v>0.30102999566398114</v>
      </c>
      <c r="E29">
        <f t="shared" si="1"/>
        <v>2.132007163556104</v>
      </c>
      <c r="F29">
        <f t="shared" si="8"/>
        <v>0.32878865958889675</v>
      </c>
      <c r="G29">
        <f t="shared" si="2"/>
        <v>1.7056057308448833</v>
      </c>
      <c r="H29">
        <f t="shared" si="3"/>
        <v>0.23187864658084043</v>
      </c>
      <c r="I29">
        <f t="shared" si="11"/>
        <v>-0.29439426915511668</v>
      </c>
      <c r="J29">
        <f t="shared" si="12"/>
        <v>-6.9151349083140717E-2</v>
      </c>
      <c r="K29">
        <f t="shared" si="10"/>
        <v>2.132007163556104</v>
      </c>
      <c r="L29">
        <f t="shared" si="4"/>
        <v>0.32878865958889675</v>
      </c>
      <c r="M29">
        <f t="shared" si="5"/>
        <v>2.7758663924915605E-2</v>
      </c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5">
      <c r="A30">
        <v>23</v>
      </c>
      <c r="B30">
        <f t="shared" si="13"/>
        <v>1.3617278360175928</v>
      </c>
      <c r="C30" s="17">
        <f t="shared" si="0"/>
        <v>2</v>
      </c>
      <c r="D30">
        <f t="shared" si="7"/>
        <v>0.30102999566398114</v>
      </c>
      <c r="E30">
        <f t="shared" si="1"/>
        <v>2.0851441405707476</v>
      </c>
      <c r="F30">
        <f t="shared" si="8"/>
        <v>0.31913608199120352</v>
      </c>
      <c r="G30">
        <f t="shared" si="2"/>
        <v>1.6681153124565982</v>
      </c>
      <c r="H30">
        <f t="shared" si="3"/>
        <v>0.22222606898314715</v>
      </c>
      <c r="I30">
        <f t="shared" si="11"/>
        <v>-0.33188468754340184</v>
      </c>
      <c r="J30">
        <f t="shared" si="12"/>
        <v>-7.8803926680833997E-2</v>
      </c>
      <c r="K30">
        <f t="shared" si="10"/>
        <v>2.0851441405707476</v>
      </c>
      <c r="L30">
        <f t="shared" si="4"/>
        <v>0.31913608199120352</v>
      </c>
      <c r="M30">
        <f t="shared" si="5"/>
        <v>1.8106086327222382E-2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5">
      <c r="A31">
        <v>24</v>
      </c>
      <c r="B31">
        <f t="shared" si="13"/>
        <v>1.3802112417116059</v>
      </c>
      <c r="C31" s="17">
        <f t="shared" si="0"/>
        <v>2</v>
      </c>
      <c r="D31">
        <f t="shared" si="7"/>
        <v>0.30102999566398114</v>
      </c>
      <c r="E31">
        <f t="shared" si="1"/>
        <v>2.0412414523193152</v>
      </c>
      <c r="F31">
        <f t="shared" si="8"/>
        <v>0.30989437914419699</v>
      </c>
      <c r="G31">
        <f t="shared" si="2"/>
        <v>1.6329931618554523</v>
      </c>
      <c r="H31">
        <f t="shared" si="3"/>
        <v>0.21298436613614061</v>
      </c>
      <c r="I31">
        <f t="shared" si="11"/>
        <v>-0.36700683814454771</v>
      </c>
      <c r="J31">
        <f t="shared" si="12"/>
        <v>-8.8045629527840535E-2</v>
      </c>
      <c r="K31">
        <f t="shared" si="10"/>
        <v>2.0412414523193152</v>
      </c>
      <c r="L31">
        <f t="shared" si="4"/>
        <v>0.30989437914419699</v>
      </c>
      <c r="M31">
        <f t="shared" si="5"/>
        <v>8.8643834802158428E-3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5">
      <c r="A32">
        <v>25</v>
      </c>
      <c r="B32">
        <f t="shared" si="13"/>
        <v>1.3979400086720375</v>
      </c>
      <c r="C32" s="17">
        <f t="shared" si="0"/>
        <v>2</v>
      </c>
      <c r="D32">
        <f t="shared" si="7"/>
        <v>0.30102999566398114</v>
      </c>
      <c r="E32">
        <f t="shared" si="1"/>
        <v>2</v>
      </c>
      <c r="F32">
        <f t="shared" si="8"/>
        <v>0.30102999566398114</v>
      </c>
      <c r="G32">
        <f t="shared" si="2"/>
        <v>1.6</v>
      </c>
      <c r="H32">
        <f t="shared" si="3"/>
        <v>0.20411998265592479</v>
      </c>
      <c r="I32">
        <f t="shared" si="11"/>
        <v>-0.39999999999999991</v>
      </c>
      <c r="J32">
        <f t="shared" si="12"/>
        <v>-9.691001300805635E-2</v>
      </c>
      <c r="K32">
        <f t="shared" si="10"/>
        <v>2</v>
      </c>
      <c r="L32">
        <f t="shared" si="4"/>
        <v>0.30102999566398114</v>
      </c>
      <c r="M32">
        <f t="shared" si="5"/>
        <v>0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3:26" x14ac:dyDescent="0.25">
      <c r="C33" s="17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3:26" x14ac:dyDescent="0.25">
      <c r="C34" s="17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3:26" x14ac:dyDescent="0.25">
      <c r="C35" s="17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3:26" x14ac:dyDescent="0.25">
      <c r="C36" s="17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3:26" x14ac:dyDescent="0.25">
      <c r="C37" s="17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3:26" x14ac:dyDescent="0.25">
      <c r="C38" s="17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3:26" x14ac:dyDescent="0.25">
      <c r="C39" s="17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3:26" x14ac:dyDescent="0.25">
      <c r="C40" s="17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3:26" x14ac:dyDescent="0.25">
      <c r="C41" s="17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3:26" x14ac:dyDescent="0.25">
      <c r="C42" s="17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3:26" x14ac:dyDescent="0.25">
      <c r="C43" s="17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3:26" x14ac:dyDescent="0.25">
      <c r="C44" s="17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3:26" x14ac:dyDescent="0.25">
      <c r="C45" s="17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3:26" x14ac:dyDescent="0.25"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3:26" x14ac:dyDescent="0.25"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3:26" x14ac:dyDescent="0.25"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4:26" x14ac:dyDescent="0.25"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4:26" x14ac:dyDescent="0.25"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4:26" x14ac:dyDescent="0.25"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4:26" x14ac:dyDescent="0.25"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4:26" x14ac:dyDescent="0.25"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4:26" x14ac:dyDescent="0.25"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4:26" x14ac:dyDescent="0.25"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4:26" x14ac:dyDescent="0.25"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4:26" x14ac:dyDescent="0.25"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4:26" x14ac:dyDescent="0.25"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4:26" x14ac:dyDescent="0.25"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4:26" x14ac:dyDescent="0.25"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4:26" x14ac:dyDescent="0.25"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4:26" x14ac:dyDescent="0.25"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4:26" x14ac:dyDescent="0.25"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4:26" x14ac:dyDescent="0.25"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4:26" x14ac:dyDescent="0.25"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4:26" x14ac:dyDescent="0.25"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4:26" x14ac:dyDescent="0.25"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4:26" x14ac:dyDescent="0.25"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8"/>
  <sheetViews>
    <sheetView zoomScaleNormal="100" workbookViewId="0">
      <selection activeCell="M3" sqref="M3"/>
    </sheetView>
  </sheetViews>
  <sheetFormatPr defaultRowHeight="15" x14ac:dyDescent="0.25"/>
  <cols>
    <col min="1" max="7" width="9.140625" style="58"/>
    <col min="8" max="8" width="12" style="58" bestFit="1" customWidth="1"/>
    <col min="9" max="9" width="12" style="58" customWidth="1"/>
    <col min="10" max="10" width="9.140625" style="58" customWidth="1"/>
    <col min="11" max="13" width="9.140625" style="58"/>
    <col min="14" max="14" width="9.140625" style="72"/>
    <col min="15" max="16384" width="9.140625" style="58"/>
  </cols>
  <sheetData>
    <row r="1" spans="1:27" x14ac:dyDescent="0.25">
      <c r="A1" s="6" t="s">
        <v>46</v>
      </c>
      <c r="B1" s="6" t="s">
        <v>13</v>
      </c>
      <c r="C1" s="6" t="s">
        <v>3</v>
      </c>
      <c r="D1" s="6" t="s">
        <v>17</v>
      </c>
      <c r="E1" s="6" t="s">
        <v>2</v>
      </c>
      <c r="G1" s="3" t="s">
        <v>8</v>
      </c>
      <c r="H1" s="3" t="s">
        <v>113</v>
      </c>
      <c r="I1" s="3" t="s">
        <v>20</v>
      </c>
      <c r="J1" s="43"/>
      <c r="K1" s="43"/>
      <c r="L1" s="1"/>
      <c r="M1" s="1"/>
      <c r="N1" s="1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x14ac:dyDescent="0.25">
      <c r="A2" s="5">
        <v>2</v>
      </c>
      <c r="B2" s="5">
        <v>1</v>
      </c>
      <c r="C2" s="5">
        <v>-0.5</v>
      </c>
      <c r="D2" s="5">
        <v>10</v>
      </c>
      <c r="E2" s="5">
        <f>D2/B2^C2</f>
        <v>10</v>
      </c>
      <c r="G2" s="58">
        <f>B2*(A2/D2)^(1/C2)</f>
        <v>24.999999999999996</v>
      </c>
      <c r="H2" s="58">
        <f>B2*D2*(($C$2+1)^(-1)*(-$C$2*($A$2/D2)^(($C$2+1)/$C$2)-1)+$A$2/D2)</f>
        <v>32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x14ac:dyDescent="0.25">
      <c r="A3" s="50" t="s">
        <v>55</v>
      </c>
      <c r="B3" s="51">
        <f>$B$2*(D3/$D$2)^(1/$C$2)</f>
        <v>4</v>
      </c>
      <c r="C3" s="51"/>
      <c r="D3" s="51">
        <v>5</v>
      </c>
      <c r="E3" s="51">
        <f>D3/(B3)^C2</f>
        <v>10</v>
      </c>
      <c r="G3" s="58">
        <f>G2</f>
        <v>24.999999999999996</v>
      </c>
      <c r="H3" s="58">
        <f>B3*D3*(-($C$2+1)^(-1)*($C$2*($A$2/D3)^(($C$2+1)/$C$2)+1)+$A$2/D3)</f>
        <v>18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x14ac:dyDescent="0.25">
      <c r="A4" s="63" t="s">
        <v>56</v>
      </c>
      <c r="B4" s="64">
        <v>1</v>
      </c>
      <c r="C4" s="64"/>
      <c r="D4" s="64">
        <v>5</v>
      </c>
      <c r="E4" s="64">
        <f>D4/B4^C2</f>
        <v>5</v>
      </c>
      <c r="G4" s="58">
        <f>B4*(A2/D4)^(1/C2)</f>
        <v>6.2499999999999991</v>
      </c>
      <c r="H4" s="58">
        <f>$B$2*$D$4*(-($C$2+1)^(-1)*($C$2*($A$2/D4)^(($C$2+1)/$C$2)+1)+$A$2/D4)</f>
        <v>4.5</v>
      </c>
      <c r="I4" s="58">
        <f>((A2/D2)^((C2+1)/C2)-1)/(-C2*(A2/D2)^((C2+1)/C2)-1+(C2+1)*A2/D2)</f>
        <v>2.5</v>
      </c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x14ac:dyDescent="0.25">
      <c r="A5" s="58" t="s">
        <v>117</v>
      </c>
      <c r="B5" s="58">
        <f>B3-B2</f>
        <v>3</v>
      </c>
      <c r="E5" s="58">
        <f>D3/B2^C2</f>
        <v>5</v>
      </c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x14ac:dyDescent="0.25">
      <c r="A6" s="59"/>
      <c r="B6" s="60"/>
      <c r="C6" s="10"/>
      <c r="D6" s="11" t="s">
        <v>6</v>
      </c>
      <c r="E6" s="54" t="s">
        <v>7</v>
      </c>
      <c r="F6" s="3"/>
      <c r="G6" s="37"/>
      <c r="H6" s="37" t="s">
        <v>128</v>
      </c>
      <c r="I6" s="38"/>
      <c r="J6" s="13"/>
      <c r="K6" s="13" t="s">
        <v>129</v>
      </c>
      <c r="L6" s="13"/>
      <c r="M6" s="14"/>
      <c r="N6" s="14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x14ac:dyDescent="0.25">
      <c r="A7" s="60" t="s">
        <v>118</v>
      </c>
      <c r="B7" s="60" t="s">
        <v>124</v>
      </c>
      <c r="C7" s="10" t="s">
        <v>46</v>
      </c>
      <c r="D7" s="10" t="s">
        <v>123</v>
      </c>
      <c r="E7" s="54" t="s">
        <v>119</v>
      </c>
      <c r="F7" s="54" t="s">
        <v>120</v>
      </c>
      <c r="G7" s="61" t="s">
        <v>125</v>
      </c>
      <c r="H7" s="61" t="s">
        <v>120</v>
      </c>
      <c r="I7" s="61" t="s">
        <v>122</v>
      </c>
      <c r="J7" s="62" t="s">
        <v>119</v>
      </c>
      <c r="K7" s="62" t="s">
        <v>120</v>
      </c>
      <c r="L7" s="62" t="s">
        <v>121</v>
      </c>
      <c r="M7" s="62" t="s">
        <v>122</v>
      </c>
      <c r="N7" s="6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x14ac:dyDescent="0.25">
      <c r="A8" s="58">
        <v>1</v>
      </c>
      <c r="B8" s="58">
        <f>LOG(A8,10)</f>
        <v>0</v>
      </c>
      <c r="C8" s="17">
        <f t="shared" ref="C8:C32" si="0">$A$2</f>
        <v>2</v>
      </c>
      <c r="D8" s="58">
        <f>LOG($A$2,10)</f>
        <v>0.30102999566398114</v>
      </c>
      <c r="E8" s="58">
        <f t="shared" ref="E8:E32" si="1">E$2*$A8^C$2</f>
        <v>10</v>
      </c>
      <c r="F8" s="58">
        <f>LOG(E8,10)</f>
        <v>1</v>
      </c>
      <c r="G8" s="58">
        <f t="shared" ref="G8:G32" si="2">E$3*($A8+$B$5)^C$2</f>
        <v>5</v>
      </c>
      <c r="H8" s="58">
        <f t="shared" ref="H8:H32" si="3">LOG(E$3*$A8^C$2,10)</f>
        <v>1</v>
      </c>
      <c r="I8" s="58">
        <f t="shared" ref="I8:I32" si="4">H8-D8</f>
        <v>0.69897000433601886</v>
      </c>
      <c r="J8" s="58">
        <f t="shared" ref="J8:J32" si="5">E$4*$A8^C$2</f>
        <v>5</v>
      </c>
      <c r="K8" s="58">
        <f t="shared" ref="K8:K32" si="6">LOG(E$4*$A8^C$2,10)</f>
        <v>0.69897000433601875</v>
      </c>
      <c r="L8" s="58">
        <f t="shared" ref="L8:L32" si="7">J8-C8</f>
        <v>3</v>
      </c>
      <c r="M8" s="58">
        <f t="shared" ref="M8:M32" si="8">K8-D8</f>
        <v>0.3979400086720376</v>
      </c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x14ac:dyDescent="0.25">
      <c r="A9" s="58">
        <f>A8+$B$5/3</f>
        <v>2</v>
      </c>
      <c r="B9" s="58">
        <f t="shared" ref="B9:B32" si="9">LOG(A9,10)</f>
        <v>0.30102999566398114</v>
      </c>
      <c r="C9" s="17">
        <f t="shared" si="0"/>
        <v>2</v>
      </c>
      <c r="D9" s="58">
        <f t="shared" ref="D9:D32" si="10">LOG($A$2,10)</f>
        <v>0.30102999566398114</v>
      </c>
      <c r="E9" s="58">
        <f t="shared" si="1"/>
        <v>7.0710678118654746</v>
      </c>
      <c r="F9" s="58">
        <f t="shared" ref="F9:F32" si="11">LOG(E9,10)</f>
        <v>0.84948500216800926</v>
      </c>
      <c r="G9" s="58">
        <f t="shared" si="2"/>
        <v>4.4721359549995796</v>
      </c>
      <c r="H9" s="58">
        <f t="shared" si="3"/>
        <v>0.84948500216800926</v>
      </c>
      <c r="I9" s="58">
        <f t="shared" si="4"/>
        <v>0.54845500650402812</v>
      </c>
      <c r="J9" s="58">
        <f t="shared" si="5"/>
        <v>3.5355339059327373</v>
      </c>
      <c r="K9" s="58">
        <f t="shared" si="6"/>
        <v>0.54845500650402812</v>
      </c>
      <c r="L9" s="58">
        <f t="shared" si="7"/>
        <v>1.5355339059327373</v>
      </c>
      <c r="M9" s="58">
        <f t="shared" si="8"/>
        <v>0.24742501084004698</v>
      </c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x14ac:dyDescent="0.25">
      <c r="A10" s="71">
        <f t="shared" ref="A10:A32" si="12">A9+$B$5/3</f>
        <v>3</v>
      </c>
      <c r="B10" s="58">
        <f t="shared" si="9"/>
        <v>0.47712125471966244</v>
      </c>
      <c r="C10" s="17">
        <f t="shared" si="0"/>
        <v>2</v>
      </c>
      <c r="D10" s="58">
        <f t="shared" si="10"/>
        <v>0.30102999566398114</v>
      </c>
      <c r="E10" s="58">
        <f t="shared" si="1"/>
        <v>5.7735026918962582</v>
      </c>
      <c r="F10" s="58">
        <f t="shared" si="11"/>
        <v>0.7614393726401687</v>
      </c>
      <c r="G10" s="58">
        <f t="shared" si="2"/>
        <v>4.0824829046386304</v>
      </c>
      <c r="H10" s="58">
        <f t="shared" si="3"/>
        <v>0.7614393726401687</v>
      </c>
      <c r="I10" s="58">
        <f t="shared" si="4"/>
        <v>0.46040937697618756</v>
      </c>
      <c r="J10" s="58">
        <f t="shared" si="5"/>
        <v>2.8867513459481291</v>
      </c>
      <c r="K10" s="58">
        <f t="shared" si="6"/>
        <v>0.46040937697618761</v>
      </c>
      <c r="L10" s="58">
        <f t="shared" si="7"/>
        <v>0.8867513459481291</v>
      </c>
      <c r="M10" s="58">
        <f t="shared" si="8"/>
        <v>0.15937938131220647</v>
      </c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x14ac:dyDescent="0.25">
      <c r="A11" s="71">
        <f t="shared" si="12"/>
        <v>4</v>
      </c>
      <c r="B11" s="58">
        <f t="shared" si="9"/>
        <v>0.60205999132796229</v>
      </c>
      <c r="C11" s="17">
        <f t="shared" si="0"/>
        <v>2</v>
      </c>
      <c r="D11" s="58">
        <f t="shared" si="10"/>
        <v>0.30102999566398114</v>
      </c>
      <c r="E11" s="58">
        <f t="shared" si="1"/>
        <v>5</v>
      </c>
      <c r="F11" s="58">
        <f t="shared" si="11"/>
        <v>0.69897000433601875</v>
      </c>
      <c r="G11" s="58">
        <f t="shared" si="2"/>
        <v>3.7796447300922722</v>
      </c>
      <c r="H11" s="58">
        <f t="shared" si="3"/>
        <v>0.69897000433601875</v>
      </c>
      <c r="I11" s="58">
        <f t="shared" si="4"/>
        <v>0.3979400086720376</v>
      </c>
      <c r="J11" s="58">
        <f t="shared" si="5"/>
        <v>2.5</v>
      </c>
      <c r="K11" s="58">
        <f t="shared" si="6"/>
        <v>0.3979400086720376</v>
      </c>
      <c r="L11" s="58">
        <f t="shared" si="7"/>
        <v>0.5</v>
      </c>
      <c r="M11" s="58">
        <f t="shared" si="8"/>
        <v>9.6910013008056461E-2</v>
      </c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x14ac:dyDescent="0.25">
      <c r="A12" s="71">
        <f t="shared" si="12"/>
        <v>5</v>
      </c>
      <c r="B12" s="58">
        <f t="shared" si="9"/>
        <v>0.69897000433601875</v>
      </c>
      <c r="C12" s="17">
        <f t="shared" si="0"/>
        <v>2</v>
      </c>
      <c r="D12" s="58">
        <f t="shared" si="10"/>
        <v>0.30102999566398114</v>
      </c>
      <c r="E12" s="58">
        <f t="shared" si="1"/>
        <v>4.4721359549995796</v>
      </c>
      <c r="F12" s="58">
        <f t="shared" si="11"/>
        <v>0.65051499783199063</v>
      </c>
      <c r="G12" s="58">
        <f t="shared" si="2"/>
        <v>3.5355339059327373</v>
      </c>
      <c r="H12" s="58">
        <f t="shared" si="3"/>
        <v>0.65051499783199063</v>
      </c>
      <c r="I12" s="58">
        <f t="shared" si="4"/>
        <v>0.34948500216800948</v>
      </c>
      <c r="J12" s="58">
        <f t="shared" si="5"/>
        <v>2.2360679774997898</v>
      </c>
      <c r="K12" s="58">
        <f t="shared" si="6"/>
        <v>0.34948500216800937</v>
      </c>
      <c r="L12" s="58">
        <f t="shared" si="7"/>
        <v>0.23606797749978981</v>
      </c>
      <c r="M12" s="58">
        <f t="shared" si="8"/>
        <v>4.8455006504028231E-2</v>
      </c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x14ac:dyDescent="0.25">
      <c r="A13" s="71">
        <f t="shared" si="12"/>
        <v>6</v>
      </c>
      <c r="B13" s="58">
        <f t="shared" si="9"/>
        <v>0.77815125038364352</v>
      </c>
      <c r="C13" s="17">
        <f t="shared" si="0"/>
        <v>2</v>
      </c>
      <c r="D13" s="58">
        <f t="shared" si="10"/>
        <v>0.30102999566398114</v>
      </c>
      <c r="E13" s="58">
        <f t="shared" si="1"/>
        <v>4.0824829046386304</v>
      </c>
      <c r="F13" s="58">
        <f t="shared" si="11"/>
        <v>0.61092437480817818</v>
      </c>
      <c r="G13" s="58">
        <f t="shared" si="2"/>
        <v>3.333333333333333</v>
      </c>
      <c r="H13" s="58">
        <f t="shared" si="3"/>
        <v>0.61092437480817818</v>
      </c>
      <c r="I13" s="58">
        <f t="shared" si="4"/>
        <v>0.30989437914419704</v>
      </c>
      <c r="J13" s="58">
        <f t="shared" si="5"/>
        <v>2.0412414523193152</v>
      </c>
      <c r="K13" s="58">
        <f t="shared" si="6"/>
        <v>0.30989437914419699</v>
      </c>
      <c r="L13" s="58">
        <f t="shared" si="7"/>
        <v>4.1241452319315197E-2</v>
      </c>
      <c r="M13" s="58">
        <f t="shared" si="8"/>
        <v>8.8643834802158428E-3</v>
      </c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x14ac:dyDescent="0.25">
      <c r="A14" s="71">
        <f t="shared" si="12"/>
        <v>7</v>
      </c>
      <c r="B14" s="58">
        <f t="shared" si="9"/>
        <v>0.8450980400142567</v>
      </c>
      <c r="C14" s="17">
        <f t="shared" si="0"/>
        <v>2</v>
      </c>
      <c r="D14" s="58">
        <f t="shared" si="10"/>
        <v>0.30102999566398114</v>
      </c>
      <c r="E14" s="58">
        <f t="shared" si="1"/>
        <v>3.7796447300922722</v>
      </c>
      <c r="F14" s="58">
        <f t="shared" si="11"/>
        <v>0.57745097999287154</v>
      </c>
      <c r="G14" s="58">
        <f t="shared" si="2"/>
        <v>3.1622776601683795</v>
      </c>
      <c r="H14" s="58">
        <f t="shared" si="3"/>
        <v>0.57745097999287154</v>
      </c>
      <c r="I14" s="58">
        <f t="shared" si="4"/>
        <v>0.2764209843288904</v>
      </c>
      <c r="J14" s="58">
        <f t="shared" si="5"/>
        <v>1.8898223650461361</v>
      </c>
      <c r="K14" s="58">
        <f t="shared" si="6"/>
        <v>0.27642098432889034</v>
      </c>
      <c r="L14" s="58">
        <f t="shared" si="7"/>
        <v>-0.1101776349538639</v>
      </c>
      <c r="M14" s="58">
        <f t="shared" si="8"/>
        <v>-2.4609011335090802E-2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x14ac:dyDescent="0.25">
      <c r="A15" s="71">
        <f t="shared" si="12"/>
        <v>8</v>
      </c>
      <c r="B15" s="58">
        <f t="shared" si="9"/>
        <v>0.90308998699194343</v>
      </c>
      <c r="C15" s="17">
        <f t="shared" si="0"/>
        <v>2</v>
      </c>
      <c r="D15" s="58">
        <f t="shared" si="10"/>
        <v>0.30102999566398114</v>
      </c>
      <c r="E15" s="58">
        <f t="shared" si="1"/>
        <v>3.5355339059327373</v>
      </c>
      <c r="F15" s="58">
        <f t="shared" si="11"/>
        <v>0.54845500650402812</v>
      </c>
      <c r="G15" s="58">
        <f t="shared" si="2"/>
        <v>3.0151134457776365</v>
      </c>
      <c r="H15" s="58">
        <f t="shared" si="3"/>
        <v>0.54845500650402812</v>
      </c>
      <c r="I15" s="58">
        <f t="shared" si="4"/>
        <v>0.24742501084004698</v>
      </c>
      <c r="J15" s="58">
        <f t="shared" si="5"/>
        <v>1.7677669529663687</v>
      </c>
      <c r="K15" s="58">
        <f t="shared" si="6"/>
        <v>0.24742501084004695</v>
      </c>
      <c r="L15" s="58">
        <f t="shared" si="7"/>
        <v>-0.23223304703363135</v>
      </c>
      <c r="M15" s="58">
        <f t="shared" si="8"/>
        <v>-5.3604984823934193E-2</v>
      </c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x14ac:dyDescent="0.25">
      <c r="A16" s="71">
        <f t="shared" si="12"/>
        <v>9</v>
      </c>
      <c r="B16" s="58">
        <f t="shared" si="9"/>
        <v>0.95424250943932487</v>
      </c>
      <c r="C16" s="17">
        <f t="shared" si="0"/>
        <v>2</v>
      </c>
      <c r="D16" s="58">
        <f t="shared" si="10"/>
        <v>0.30102999566398114</v>
      </c>
      <c r="E16" s="58">
        <f t="shared" si="1"/>
        <v>3.333333333333333</v>
      </c>
      <c r="F16" s="58">
        <f t="shared" si="11"/>
        <v>0.52287874528033751</v>
      </c>
      <c r="G16" s="58">
        <f t="shared" si="2"/>
        <v>2.8867513459481291</v>
      </c>
      <c r="H16" s="58">
        <f t="shared" si="3"/>
        <v>0.52287874528033751</v>
      </c>
      <c r="I16" s="58">
        <f t="shared" si="4"/>
        <v>0.22184874961635637</v>
      </c>
      <c r="J16" s="58">
        <f t="shared" si="5"/>
        <v>1.6666666666666665</v>
      </c>
      <c r="K16" s="58">
        <f t="shared" si="6"/>
        <v>0.22184874961635631</v>
      </c>
      <c r="L16" s="58">
        <f t="shared" si="7"/>
        <v>-0.33333333333333348</v>
      </c>
      <c r="M16" s="58">
        <f t="shared" si="8"/>
        <v>-7.9181246047624831E-2</v>
      </c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x14ac:dyDescent="0.25">
      <c r="A17" s="71">
        <f t="shared" si="12"/>
        <v>10</v>
      </c>
      <c r="B17" s="58">
        <f t="shared" si="9"/>
        <v>1</v>
      </c>
      <c r="C17" s="17">
        <f t="shared" si="0"/>
        <v>2</v>
      </c>
      <c r="D17" s="58">
        <f t="shared" si="10"/>
        <v>0.30102999566398114</v>
      </c>
      <c r="E17" s="58">
        <f t="shared" si="1"/>
        <v>3.1622776601683795</v>
      </c>
      <c r="F17" s="58">
        <f t="shared" si="11"/>
        <v>0.5</v>
      </c>
      <c r="G17" s="58">
        <f t="shared" si="2"/>
        <v>2.773500981126146</v>
      </c>
      <c r="H17" s="58">
        <f t="shared" si="3"/>
        <v>0.5</v>
      </c>
      <c r="I17" s="58">
        <f t="shared" si="4"/>
        <v>0.19897000433601886</v>
      </c>
      <c r="J17" s="58">
        <f t="shared" si="5"/>
        <v>1.5811388300841898</v>
      </c>
      <c r="K17" s="58">
        <f t="shared" si="6"/>
        <v>0.19897000433601883</v>
      </c>
      <c r="L17" s="58">
        <f t="shared" si="7"/>
        <v>-0.41886116991581024</v>
      </c>
      <c r="M17" s="58">
        <f t="shared" si="8"/>
        <v>-0.10205999132796231</v>
      </c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x14ac:dyDescent="0.25">
      <c r="A18" s="71">
        <f t="shared" si="12"/>
        <v>11</v>
      </c>
      <c r="B18" s="58">
        <f t="shared" si="9"/>
        <v>1.0413926851582249</v>
      </c>
      <c r="C18" s="17">
        <f t="shared" si="0"/>
        <v>2</v>
      </c>
      <c r="D18" s="58">
        <f t="shared" si="10"/>
        <v>0.30102999566398114</v>
      </c>
      <c r="E18" s="58">
        <f t="shared" si="1"/>
        <v>3.0151134457776365</v>
      </c>
      <c r="F18" s="58">
        <f t="shared" si="11"/>
        <v>0.47930365742088749</v>
      </c>
      <c r="G18" s="58">
        <f t="shared" si="2"/>
        <v>2.6726124191242437</v>
      </c>
      <c r="H18" s="58">
        <f t="shared" si="3"/>
        <v>0.47930365742088749</v>
      </c>
      <c r="I18" s="58">
        <f t="shared" si="4"/>
        <v>0.17827366175690634</v>
      </c>
      <c r="J18" s="58">
        <f t="shared" si="5"/>
        <v>1.5075567228888183</v>
      </c>
      <c r="K18" s="58">
        <f t="shared" si="6"/>
        <v>0.17827366175690632</v>
      </c>
      <c r="L18" s="58">
        <f t="shared" si="7"/>
        <v>-0.49244327711118174</v>
      </c>
      <c r="M18" s="58">
        <f t="shared" si="8"/>
        <v>-0.12275633390707483</v>
      </c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x14ac:dyDescent="0.25">
      <c r="A19" s="71">
        <f t="shared" si="12"/>
        <v>12</v>
      </c>
      <c r="B19" s="58">
        <f t="shared" si="9"/>
        <v>1.0791812460476247</v>
      </c>
      <c r="C19" s="17">
        <f t="shared" si="0"/>
        <v>2</v>
      </c>
      <c r="D19" s="58">
        <f t="shared" si="10"/>
        <v>0.30102999566398114</v>
      </c>
      <c r="E19" s="58">
        <f t="shared" si="1"/>
        <v>2.8867513459481291</v>
      </c>
      <c r="F19" s="58">
        <f t="shared" si="11"/>
        <v>0.46040937697618761</v>
      </c>
      <c r="G19" s="58">
        <f t="shared" si="2"/>
        <v>2.5819888974716108</v>
      </c>
      <c r="H19" s="58">
        <f t="shared" si="3"/>
        <v>0.46040937697618761</v>
      </c>
      <c r="I19" s="58">
        <f t="shared" si="4"/>
        <v>0.15937938131220647</v>
      </c>
      <c r="J19" s="58">
        <f t="shared" si="5"/>
        <v>1.4433756729740645</v>
      </c>
      <c r="K19" s="58">
        <f t="shared" si="6"/>
        <v>0.15937938131220641</v>
      </c>
      <c r="L19" s="58">
        <f t="shared" si="7"/>
        <v>-0.55662432702593545</v>
      </c>
      <c r="M19" s="58">
        <f t="shared" si="8"/>
        <v>-0.14165061435177473</v>
      </c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x14ac:dyDescent="0.25">
      <c r="A20" s="71">
        <f t="shared" si="12"/>
        <v>13</v>
      </c>
      <c r="B20" s="58">
        <f t="shared" si="9"/>
        <v>1.1139433523068367</v>
      </c>
      <c r="C20" s="17">
        <f t="shared" si="0"/>
        <v>2</v>
      </c>
      <c r="D20" s="58">
        <f t="shared" si="10"/>
        <v>0.30102999566398114</v>
      </c>
      <c r="E20" s="58">
        <f t="shared" si="1"/>
        <v>2.773500981126146</v>
      </c>
      <c r="F20" s="58">
        <f t="shared" si="11"/>
        <v>0.44302832384658164</v>
      </c>
      <c r="G20" s="58">
        <f t="shared" si="2"/>
        <v>2.5</v>
      </c>
      <c r="H20" s="58">
        <f t="shared" si="3"/>
        <v>0.44302832384658164</v>
      </c>
      <c r="I20" s="58">
        <f t="shared" si="4"/>
        <v>0.1419983281826005</v>
      </c>
      <c r="J20" s="58">
        <f t="shared" si="5"/>
        <v>1.386750490563073</v>
      </c>
      <c r="K20" s="58">
        <f t="shared" si="6"/>
        <v>0.14199832818260047</v>
      </c>
      <c r="L20" s="58">
        <f t="shared" si="7"/>
        <v>-0.61324950943692702</v>
      </c>
      <c r="M20" s="58">
        <f t="shared" si="8"/>
        <v>-0.15903166748138067</v>
      </c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x14ac:dyDescent="0.25">
      <c r="A21" s="71">
        <f t="shared" si="12"/>
        <v>14</v>
      </c>
      <c r="B21" s="58">
        <f t="shared" si="9"/>
        <v>1.1461280356782377</v>
      </c>
      <c r="C21" s="17">
        <f t="shared" si="0"/>
        <v>2</v>
      </c>
      <c r="D21" s="58">
        <f t="shared" si="10"/>
        <v>0.30102999566398114</v>
      </c>
      <c r="E21" s="58">
        <f t="shared" si="1"/>
        <v>2.6726124191242437</v>
      </c>
      <c r="F21" s="58">
        <f t="shared" si="11"/>
        <v>0.42693598216088097</v>
      </c>
      <c r="G21" s="58">
        <f t="shared" si="2"/>
        <v>2.4253562503633299</v>
      </c>
      <c r="H21" s="58">
        <f t="shared" si="3"/>
        <v>0.42693598216088097</v>
      </c>
      <c r="I21" s="58">
        <f t="shared" si="4"/>
        <v>0.12590598649689982</v>
      </c>
      <c r="J21" s="58">
        <f t="shared" si="5"/>
        <v>1.3363062095621219</v>
      </c>
      <c r="K21" s="58">
        <f t="shared" si="6"/>
        <v>0.12590598649689977</v>
      </c>
      <c r="L21" s="58">
        <f t="shared" si="7"/>
        <v>-0.66369379043787813</v>
      </c>
      <c r="M21" s="58">
        <f t="shared" si="8"/>
        <v>-0.17512400916708137</v>
      </c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x14ac:dyDescent="0.25">
      <c r="A22" s="71">
        <f t="shared" si="12"/>
        <v>15</v>
      </c>
      <c r="B22" s="58">
        <f t="shared" si="9"/>
        <v>1.1760912590556811</v>
      </c>
      <c r="C22" s="17">
        <f t="shared" si="0"/>
        <v>2</v>
      </c>
      <c r="D22" s="58">
        <f t="shared" si="10"/>
        <v>0.30102999566398114</v>
      </c>
      <c r="E22" s="58">
        <f t="shared" si="1"/>
        <v>2.5819888974716108</v>
      </c>
      <c r="F22" s="58">
        <f t="shared" si="11"/>
        <v>0.41195437047215921</v>
      </c>
      <c r="G22" s="58">
        <f t="shared" si="2"/>
        <v>2.3570226039551585</v>
      </c>
      <c r="H22" s="58">
        <f t="shared" si="3"/>
        <v>0.41195437047215921</v>
      </c>
      <c r="I22" s="58">
        <f t="shared" si="4"/>
        <v>0.11092437480817807</v>
      </c>
      <c r="J22" s="58">
        <f t="shared" si="5"/>
        <v>1.2909944487358054</v>
      </c>
      <c r="K22" s="58">
        <f t="shared" si="6"/>
        <v>0.11092437480817809</v>
      </c>
      <c r="L22" s="58">
        <f t="shared" si="7"/>
        <v>-0.70900555126419462</v>
      </c>
      <c r="M22" s="58">
        <f t="shared" si="8"/>
        <v>-0.19010562085580307</v>
      </c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5">
      <c r="A23" s="71">
        <f t="shared" si="12"/>
        <v>16</v>
      </c>
      <c r="B23" s="58">
        <f t="shared" si="9"/>
        <v>1.2041199826559246</v>
      </c>
      <c r="C23" s="17">
        <f t="shared" si="0"/>
        <v>2</v>
      </c>
      <c r="D23" s="58">
        <f t="shared" si="10"/>
        <v>0.30102999566398114</v>
      </c>
      <c r="E23" s="58">
        <f t="shared" si="1"/>
        <v>2.5</v>
      </c>
      <c r="F23" s="58">
        <f t="shared" si="11"/>
        <v>0.3979400086720376</v>
      </c>
      <c r="G23" s="58">
        <f t="shared" si="2"/>
        <v>2.2941573387056176</v>
      </c>
      <c r="H23" s="58">
        <f t="shared" si="3"/>
        <v>0.3979400086720376</v>
      </c>
      <c r="I23" s="58">
        <f t="shared" si="4"/>
        <v>9.6910013008056461E-2</v>
      </c>
      <c r="J23" s="58">
        <f t="shared" si="5"/>
        <v>1.25</v>
      </c>
      <c r="K23" s="58">
        <f t="shared" si="6"/>
        <v>9.6910013008056406E-2</v>
      </c>
      <c r="L23" s="58">
        <f t="shared" si="7"/>
        <v>-0.75</v>
      </c>
      <c r="M23" s="58">
        <f t="shared" si="8"/>
        <v>-0.20411998265592474</v>
      </c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x14ac:dyDescent="0.25">
      <c r="A24" s="71">
        <f t="shared" si="12"/>
        <v>17</v>
      </c>
      <c r="B24" s="58">
        <f t="shared" si="9"/>
        <v>1.2304489213782739</v>
      </c>
      <c r="C24" s="17">
        <f t="shared" si="0"/>
        <v>2</v>
      </c>
      <c r="D24" s="58">
        <f t="shared" si="10"/>
        <v>0.30102999566398114</v>
      </c>
      <c r="E24" s="58">
        <f t="shared" si="1"/>
        <v>2.4253562503633299</v>
      </c>
      <c r="F24" s="58">
        <f t="shared" si="11"/>
        <v>0.384775539310863</v>
      </c>
      <c r="G24" s="58">
        <f t="shared" si="2"/>
        <v>2.2360679774997898</v>
      </c>
      <c r="H24" s="58">
        <f t="shared" si="3"/>
        <v>0.384775539310863</v>
      </c>
      <c r="I24" s="58">
        <f t="shared" si="4"/>
        <v>8.3745543646881859E-2</v>
      </c>
      <c r="J24" s="58">
        <f t="shared" si="5"/>
        <v>1.212678125181665</v>
      </c>
      <c r="K24" s="58">
        <f t="shared" si="6"/>
        <v>8.3745543646881873E-2</v>
      </c>
      <c r="L24" s="58">
        <f t="shared" si="7"/>
        <v>-0.78732187481833504</v>
      </c>
      <c r="M24" s="58">
        <f t="shared" si="8"/>
        <v>-0.21728445201709928</v>
      </c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5">
      <c r="A25" s="71">
        <f t="shared" si="12"/>
        <v>18</v>
      </c>
      <c r="B25" s="58">
        <f t="shared" si="9"/>
        <v>1.2552725051033058</v>
      </c>
      <c r="C25" s="17">
        <f t="shared" si="0"/>
        <v>2</v>
      </c>
      <c r="D25" s="58">
        <f t="shared" si="10"/>
        <v>0.30102999566398114</v>
      </c>
      <c r="E25" s="58">
        <f t="shared" si="1"/>
        <v>2.3570226039551585</v>
      </c>
      <c r="F25" s="58">
        <f t="shared" si="11"/>
        <v>0.37236374744834699</v>
      </c>
      <c r="G25" s="58">
        <f t="shared" si="2"/>
        <v>2.1821789023599241</v>
      </c>
      <c r="H25" s="58">
        <f t="shared" si="3"/>
        <v>0.37236374744834699</v>
      </c>
      <c r="I25" s="58">
        <f t="shared" si="4"/>
        <v>7.1333751784365851E-2</v>
      </c>
      <c r="J25" s="58">
        <f t="shared" si="5"/>
        <v>1.1785113019775793</v>
      </c>
      <c r="K25" s="58">
        <f t="shared" si="6"/>
        <v>7.1333751784365781E-2</v>
      </c>
      <c r="L25" s="58">
        <f t="shared" si="7"/>
        <v>-0.82148869802242075</v>
      </c>
      <c r="M25" s="58">
        <f t="shared" si="8"/>
        <v>-0.22969624387961535</v>
      </c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x14ac:dyDescent="0.25">
      <c r="A26" s="71">
        <f t="shared" si="12"/>
        <v>19</v>
      </c>
      <c r="B26" s="58">
        <f t="shared" si="9"/>
        <v>1.2787536009528289</v>
      </c>
      <c r="C26" s="17">
        <f t="shared" si="0"/>
        <v>2</v>
      </c>
      <c r="D26" s="58">
        <f t="shared" si="10"/>
        <v>0.30102999566398114</v>
      </c>
      <c r="E26" s="58">
        <f t="shared" si="1"/>
        <v>2.2941573387056176</v>
      </c>
      <c r="F26" s="58">
        <f t="shared" si="11"/>
        <v>0.36062319952358546</v>
      </c>
      <c r="G26" s="58">
        <f t="shared" si="2"/>
        <v>2.132007163556104</v>
      </c>
      <c r="H26" s="58">
        <f t="shared" si="3"/>
        <v>0.36062319952358546</v>
      </c>
      <c r="I26" s="58">
        <f t="shared" si="4"/>
        <v>5.9593203859604316E-2</v>
      </c>
      <c r="J26" s="58">
        <f t="shared" si="5"/>
        <v>1.1470786693528088</v>
      </c>
      <c r="K26" s="58">
        <f t="shared" si="6"/>
        <v>5.9593203859604295E-2</v>
      </c>
      <c r="L26" s="58">
        <f t="shared" si="7"/>
        <v>-0.85292133064719122</v>
      </c>
      <c r="M26" s="58">
        <f t="shared" si="8"/>
        <v>-0.24143679180437685</v>
      </c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x14ac:dyDescent="0.25">
      <c r="A27" s="71">
        <f t="shared" si="12"/>
        <v>20</v>
      </c>
      <c r="B27" s="58">
        <f t="shared" si="9"/>
        <v>1.301029995663981</v>
      </c>
      <c r="C27" s="17">
        <f t="shared" si="0"/>
        <v>2</v>
      </c>
      <c r="D27" s="58">
        <f t="shared" si="10"/>
        <v>0.30102999566398114</v>
      </c>
      <c r="E27" s="58">
        <f t="shared" si="1"/>
        <v>2.2360679774997898</v>
      </c>
      <c r="F27" s="58">
        <f t="shared" si="11"/>
        <v>0.34948500216800937</v>
      </c>
      <c r="G27" s="58">
        <f t="shared" si="2"/>
        <v>2.0851441405707476</v>
      </c>
      <c r="H27" s="58">
        <f t="shared" si="3"/>
        <v>0.34948500216800937</v>
      </c>
      <c r="I27" s="58">
        <f t="shared" si="4"/>
        <v>4.8455006504028231E-2</v>
      </c>
      <c r="J27" s="58">
        <f t="shared" si="5"/>
        <v>1.1180339887498949</v>
      </c>
      <c r="K27" s="58">
        <f t="shared" si="6"/>
        <v>4.8455006504028224E-2</v>
      </c>
      <c r="L27" s="58">
        <f t="shared" si="7"/>
        <v>-0.8819660112501051</v>
      </c>
      <c r="M27" s="58">
        <f t="shared" si="8"/>
        <v>-0.25257498915995291</v>
      </c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x14ac:dyDescent="0.25">
      <c r="A28" s="71">
        <f t="shared" si="12"/>
        <v>21</v>
      </c>
      <c r="B28" s="58">
        <f t="shared" si="9"/>
        <v>1.3222192947339191</v>
      </c>
      <c r="C28" s="17">
        <f t="shared" si="0"/>
        <v>2</v>
      </c>
      <c r="D28" s="58">
        <f t="shared" si="10"/>
        <v>0.30102999566398114</v>
      </c>
      <c r="E28" s="58">
        <f t="shared" si="1"/>
        <v>2.1821789023599241</v>
      </c>
      <c r="F28" s="58">
        <f t="shared" si="11"/>
        <v>0.3388903526330404</v>
      </c>
      <c r="G28" s="58">
        <f t="shared" si="2"/>
        <v>2.0412414523193152</v>
      </c>
      <c r="H28" s="58">
        <f t="shared" si="3"/>
        <v>0.3388903526330404</v>
      </c>
      <c r="I28" s="58">
        <f t="shared" si="4"/>
        <v>3.7860356969059261E-2</v>
      </c>
      <c r="J28" s="58">
        <f t="shared" si="5"/>
        <v>1.091089451179962</v>
      </c>
      <c r="K28" s="58">
        <f t="shared" si="6"/>
        <v>3.786035696905922E-2</v>
      </c>
      <c r="L28" s="58">
        <f t="shared" si="7"/>
        <v>-0.90891054882003797</v>
      </c>
      <c r="M28" s="58">
        <f t="shared" si="8"/>
        <v>-0.26316963869492194</v>
      </c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x14ac:dyDescent="0.25">
      <c r="A29" s="71">
        <f t="shared" si="12"/>
        <v>22</v>
      </c>
      <c r="B29" s="58">
        <f t="shared" si="9"/>
        <v>1.3424226808222062</v>
      </c>
      <c r="C29" s="17">
        <f t="shared" si="0"/>
        <v>2</v>
      </c>
      <c r="D29" s="58">
        <f t="shared" si="10"/>
        <v>0.30102999566398114</v>
      </c>
      <c r="E29" s="58">
        <f t="shared" si="1"/>
        <v>2.132007163556104</v>
      </c>
      <c r="F29" s="58">
        <f t="shared" si="11"/>
        <v>0.32878865958889675</v>
      </c>
      <c r="G29" s="58">
        <f t="shared" si="2"/>
        <v>2</v>
      </c>
      <c r="H29" s="58">
        <f t="shared" si="3"/>
        <v>0.32878865958889675</v>
      </c>
      <c r="I29" s="58">
        <f t="shared" si="4"/>
        <v>2.7758663924915605E-2</v>
      </c>
      <c r="J29" s="58">
        <f t="shared" si="5"/>
        <v>1.066003581778052</v>
      </c>
      <c r="K29" s="58">
        <f t="shared" si="6"/>
        <v>2.7758663924915609E-2</v>
      </c>
      <c r="L29" s="58">
        <f t="shared" si="7"/>
        <v>-0.93399641822194801</v>
      </c>
      <c r="M29" s="58">
        <f t="shared" si="8"/>
        <v>-0.27327133173906554</v>
      </c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x14ac:dyDescent="0.25">
      <c r="A30" s="71">
        <f t="shared" si="12"/>
        <v>23</v>
      </c>
      <c r="B30" s="58">
        <f t="shared" si="9"/>
        <v>1.3617278360175928</v>
      </c>
      <c r="C30" s="17">
        <f t="shared" si="0"/>
        <v>2</v>
      </c>
      <c r="D30" s="58">
        <f t="shared" si="10"/>
        <v>0.30102999566398114</v>
      </c>
      <c r="E30" s="58">
        <f t="shared" si="1"/>
        <v>2.0851441405707476</v>
      </c>
      <c r="F30" s="58">
        <f t="shared" si="11"/>
        <v>0.31913608199120352</v>
      </c>
      <c r="G30" s="58">
        <f t="shared" si="2"/>
        <v>1.9611613513818404</v>
      </c>
      <c r="H30" s="58">
        <f t="shared" si="3"/>
        <v>0.31913608199120352</v>
      </c>
      <c r="I30" s="58">
        <f t="shared" si="4"/>
        <v>1.8106086327222382E-2</v>
      </c>
      <c r="J30" s="58">
        <f t="shared" si="5"/>
        <v>1.0425720702853738</v>
      </c>
      <c r="K30" s="58">
        <f t="shared" si="6"/>
        <v>1.8106086327222357E-2</v>
      </c>
      <c r="L30" s="58">
        <f t="shared" si="7"/>
        <v>-0.9574279297146262</v>
      </c>
      <c r="M30" s="58">
        <f t="shared" si="8"/>
        <v>-0.28292390933675876</v>
      </c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x14ac:dyDescent="0.25">
      <c r="A31" s="71">
        <f t="shared" si="12"/>
        <v>24</v>
      </c>
      <c r="B31" s="58">
        <f t="shared" si="9"/>
        <v>1.3802112417116059</v>
      </c>
      <c r="C31" s="17">
        <f t="shared" si="0"/>
        <v>2</v>
      </c>
      <c r="D31" s="58">
        <f t="shared" si="10"/>
        <v>0.30102999566398114</v>
      </c>
      <c r="E31" s="58">
        <f t="shared" si="1"/>
        <v>2.0412414523193152</v>
      </c>
      <c r="F31" s="58">
        <f t="shared" si="11"/>
        <v>0.30989437914419699</v>
      </c>
      <c r="G31" s="58">
        <f t="shared" si="2"/>
        <v>1.9245008972987527</v>
      </c>
      <c r="H31" s="58">
        <f t="shared" si="3"/>
        <v>0.30989437914419699</v>
      </c>
      <c r="I31" s="58">
        <f t="shared" si="4"/>
        <v>8.8643834802158428E-3</v>
      </c>
      <c r="J31" s="58">
        <f t="shared" si="5"/>
        <v>1.0206207261596576</v>
      </c>
      <c r="K31" s="58">
        <f t="shared" si="6"/>
        <v>8.8643834802158167E-3</v>
      </c>
      <c r="L31" s="58">
        <f t="shared" si="7"/>
        <v>-0.9793792738403424</v>
      </c>
      <c r="M31" s="58">
        <f t="shared" si="8"/>
        <v>-0.2921656121837653</v>
      </c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x14ac:dyDescent="0.25">
      <c r="A32" s="71">
        <f t="shared" si="12"/>
        <v>25</v>
      </c>
      <c r="B32" s="58">
        <f t="shared" si="9"/>
        <v>1.3979400086720375</v>
      </c>
      <c r="C32" s="17">
        <f t="shared" si="0"/>
        <v>2</v>
      </c>
      <c r="D32" s="58">
        <f t="shared" si="10"/>
        <v>0.30102999566398114</v>
      </c>
      <c r="E32" s="58">
        <f t="shared" si="1"/>
        <v>2</v>
      </c>
      <c r="F32" s="58">
        <f t="shared" si="11"/>
        <v>0.30102999566398114</v>
      </c>
      <c r="G32" s="58">
        <f t="shared" si="2"/>
        <v>1.8898223650461361</v>
      </c>
      <c r="H32" s="58">
        <f t="shared" si="3"/>
        <v>0.30102999566398114</v>
      </c>
      <c r="I32" s="58">
        <f t="shared" si="4"/>
        <v>0</v>
      </c>
      <c r="J32" s="58">
        <f t="shared" si="5"/>
        <v>1</v>
      </c>
      <c r="K32" s="58">
        <f t="shared" si="6"/>
        <v>0</v>
      </c>
      <c r="L32" s="58">
        <f t="shared" si="7"/>
        <v>-1</v>
      </c>
      <c r="M32" s="58">
        <f t="shared" si="8"/>
        <v>-0.30102999566398114</v>
      </c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x14ac:dyDescent="0.25">
      <c r="A33" s="71"/>
      <c r="B33" s="71"/>
      <c r="C33" s="17"/>
      <c r="D33" s="71"/>
      <c r="E33" s="71"/>
      <c r="F33" s="71"/>
      <c r="G33" s="71"/>
      <c r="H33" s="71"/>
      <c r="I33" s="71"/>
      <c r="J33" s="71"/>
      <c r="K33" s="71"/>
      <c r="L33" s="71"/>
      <c r="M33" s="71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x14ac:dyDescent="0.25">
      <c r="A34" s="71"/>
      <c r="B34" s="71"/>
      <c r="C34" s="17"/>
      <c r="D34" s="71"/>
      <c r="E34" s="71"/>
      <c r="F34" s="71"/>
      <c r="G34" s="71"/>
      <c r="H34" s="71"/>
      <c r="I34" s="71"/>
      <c r="J34" s="71"/>
      <c r="K34" s="71"/>
      <c r="L34" s="71"/>
      <c r="M34" s="71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x14ac:dyDescent="0.25">
      <c r="A35" s="71"/>
      <c r="B35" s="71"/>
      <c r="C35" s="17"/>
      <c r="D35" s="71"/>
      <c r="E35" s="71"/>
      <c r="F35" s="71"/>
      <c r="G35" s="71"/>
      <c r="H35" s="71"/>
      <c r="I35" s="71"/>
      <c r="J35" s="71"/>
      <c r="K35" s="71"/>
      <c r="L35" s="71"/>
      <c r="M35" s="71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x14ac:dyDescent="0.25">
      <c r="A36" s="71"/>
      <c r="B36" s="71"/>
      <c r="C36" s="17"/>
      <c r="D36" s="71"/>
      <c r="E36" s="71"/>
      <c r="F36" s="71"/>
      <c r="G36" s="71"/>
      <c r="H36" s="71"/>
      <c r="I36" s="71"/>
      <c r="J36" s="71"/>
      <c r="K36" s="71"/>
      <c r="L36" s="71"/>
      <c r="M36" s="71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x14ac:dyDescent="0.25">
      <c r="A37" s="71"/>
      <c r="B37" s="71"/>
      <c r="C37" s="17"/>
      <c r="D37" s="71"/>
      <c r="E37" s="71"/>
      <c r="F37" s="71"/>
      <c r="G37" s="71"/>
      <c r="H37" s="71"/>
      <c r="I37" s="71"/>
      <c r="J37" s="71"/>
      <c r="K37" s="71"/>
      <c r="L37" s="71"/>
      <c r="M37" s="71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x14ac:dyDescent="0.25">
      <c r="A38" s="71"/>
      <c r="B38" s="71"/>
      <c r="C38" s="17"/>
      <c r="D38" s="71"/>
      <c r="E38" s="71"/>
      <c r="F38" s="71"/>
      <c r="G38" s="71"/>
      <c r="H38" s="71"/>
      <c r="I38" s="71"/>
      <c r="J38" s="71"/>
      <c r="K38" s="71"/>
      <c r="L38" s="71"/>
      <c r="M38" s="71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x14ac:dyDescent="0.25">
      <c r="A39" s="71"/>
      <c r="B39" s="71"/>
      <c r="C39" s="17"/>
      <c r="D39" s="71"/>
      <c r="E39" s="71"/>
      <c r="F39" s="71"/>
      <c r="G39" s="71"/>
      <c r="H39" s="71"/>
      <c r="I39" s="71"/>
      <c r="J39" s="71"/>
      <c r="K39" s="71"/>
      <c r="L39" s="71"/>
      <c r="M39" s="71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x14ac:dyDescent="0.25">
      <c r="A40" s="71"/>
      <c r="B40" s="71"/>
      <c r="C40" s="17"/>
      <c r="D40" s="71"/>
      <c r="E40" s="71"/>
      <c r="F40" s="71"/>
      <c r="G40" s="71"/>
      <c r="H40" s="71"/>
      <c r="I40" s="71"/>
      <c r="J40" s="71"/>
      <c r="K40" s="71"/>
      <c r="L40" s="71"/>
      <c r="M40" s="71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x14ac:dyDescent="0.25">
      <c r="A41" s="71"/>
      <c r="B41" s="71"/>
      <c r="C41" s="17"/>
      <c r="D41" s="71"/>
      <c r="E41" s="71"/>
      <c r="F41" s="71"/>
      <c r="G41" s="71"/>
      <c r="H41" s="71"/>
      <c r="I41" s="71"/>
      <c r="J41" s="71"/>
      <c r="K41" s="71"/>
      <c r="L41" s="71"/>
      <c r="M41" s="71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x14ac:dyDescent="0.25">
      <c r="A42" s="71"/>
      <c r="B42" s="71"/>
      <c r="C42" s="17"/>
      <c r="D42" s="71"/>
      <c r="E42" s="71"/>
      <c r="F42" s="71"/>
      <c r="G42" s="71"/>
      <c r="H42" s="71"/>
      <c r="I42" s="71"/>
      <c r="J42" s="71"/>
      <c r="K42" s="71"/>
      <c r="L42" s="71"/>
      <c r="M42" s="71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x14ac:dyDescent="0.25">
      <c r="A43" s="71"/>
      <c r="B43" s="71"/>
      <c r="C43" s="17"/>
      <c r="D43" s="71"/>
      <c r="E43" s="71"/>
      <c r="F43" s="71"/>
      <c r="G43" s="71"/>
      <c r="H43" s="71"/>
      <c r="I43" s="71"/>
      <c r="J43" s="71"/>
      <c r="K43" s="71"/>
      <c r="L43" s="71"/>
      <c r="M43" s="71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x14ac:dyDescent="0.25">
      <c r="A44" s="71"/>
      <c r="B44" s="71"/>
      <c r="C44" s="17"/>
      <c r="D44" s="71"/>
      <c r="E44" s="71"/>
      <c r="F44" s="71"/>
      <c r="G44" s="71"/>
      <c r="H44" s="71"/>
      <c r="I44" s="71"/>
      <c r="J44" s="71"/>
      <c r="K44" s="71"/>
      <c r="L44" s="71"/>
      <c r="M44" s="71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x14ac:dyDescent="0.25">
      <c r="A45" s="71"/>
      <c r="B45" s="71"/>
      <c r="C45" s="17"/>
      <c r="D45" s="71"/>
      <c r="E45" s="71"/>
      <c r="F45" s="71"/>
      <c r="G45" s="71"/>
      <c r="H45" s="71"/>
      <c r="I45" s="71"/>
      <c r="J45" s="71"/>
      <c r="K45" s="71"/>
      <c r="L45" s="71"/>
      <c r="M45" s="71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x14ac:dyDescent="0.25">
      <c r="A46" s="71"/>
      <c r="B46" s="71"/>
      <c r="C46" s="17"/>
      <c r="D46" s="71"/>
      <c r="E46" s="71"/>
      <c r="F46" s="71"/>
      <c r="G46" s="71"/>
      <c r="H46" s="71"/>
      <c r="I46" s="71"/>
      <c r="J46" s="71"/>
      <c r="K46" s="71"/>
      <c r="L46" s="71"/>
      <c r="M46" s="71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x14ac:dyDescent="0.25">
      <c r="A47" s="71"/>
      <c r="B47" s="71"/>
      <c r="C47" s="17"/>
      <c r="D47" s="71"/>
      <c r="E47" s="71"/>
      <c r="F47" s="71"/>
      <c r="G47" s="71"/>
      <c r="H47" s="71"/>
      <c r="I47" s="71"/>
      <c r="J47" s="71"/>
      <c r="K47" s="71"/>
      <c r="L47" s="71"/>
      <c r="M47" s="71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x14ac:dyDescent="0.25">
      <c r="A48" s="71"/>
      <c r="B48" s="71"/>
      <c r="C48" s="17"/>
      <c r="D48" s="71"/>
      <c r="E48" s="71"/>
      <c r="F48" s="71"/>
      <c r="G48" s="71"/>
      <c r="H48" s="71"/>
      <c r="I48" s="71"/>
      <c r="J48" s="71"/>
      <c r="K48" s="71"/>
      <c r="L48" s="71"/>
      <c r="M48" s="71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x14ac:dyDescent="0.25">
      <c r="A49" s="71"/>
      <c r="B49" s="71"/>
      <c r="C49" s="17"/>
      <c r="D49" s="71"/>
      <c r="E49" s="71"/>
      <c r="F49" s="71"/>
      <c r="G49" s="71"/>
      <c r="H49" s="71"/>
      <c r="I49" s="71"/>
      <c r="J49" s="71"/>
      <c r="K49" s="71"/>
      <c r="L49" s="71"/>
      <c r="M49" s="71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x14ac:dyDescent="0.25">
      <c r="A50" s="71"/>
      <c r="B50" s="71"/>
      <c r="C50" s="17"/>
      <c r="D50" s="71"/>
      <c r="E50" s="71"/>
      <c r="F50" s="71"/>
      <c r="G50" s="71"/>
      <c r="H50" s="71"/>
      <c r="I50" s="71"/>
      <c r="J50" s="71"/>
      <c r="K50" s="71"/>
      <c r="L50" s="71"/>
      <c r="M50" s="71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x14ac:dyDescent="0.25">
      <c r="A51" s="71"/>
      <c r="B51" s="71"/>
      <c r="C51" s="17"/>
      <c r="D51" s="71"/>
      <c r="E51" s="71"/>
      <c r="F51" s="71"/>
      <c r="G51" s="71"/>
      <c r="H51" s="71"/>
      <c r="I51" s="71"/>
      <c r="J51" s="71"/>
      <c r="K51" s="71"/>
      <c r="L51" s="71"/>
      <c r="M51" s="71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x14ac:dyDescent="0.25">
      <c r="A52" s="71"/>
      <c r="B52" s="71"/>
      <c r="C52" s="17"/>
      <c r="D52" s="71"/>
      <c r="E52" s="71"/>
      <c r="F52" s="71"/>
      <c r="G52" s="71"/>
      <c r="H52" s="71"/>
      <c r="I52" s="71"/>
      <c r="J52" s="71"/>
      <c r="K52" s="71"/>
      <c r="L52" s="71"/>
      <c r="M52" s="71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x14ac:dyDescent="0.25">
      <c r="A53" s="71"/>
      <c r="B53" s="71"/>
      <c r="C53" s="17"/>
      <c r="D53" s="71"/>
      <c r="E53" s="71"/>
      <c r="F53" s="71"/>
      <c r="G53" s="71"/>
      <c r="H53" s="71"/>
      <c r="I53" s="71"/>
      <c r="J53" s="71"/>
      <c r="K53" s="71"/>
      <c r="L53" s="71"/>
      <c r="M53" s="71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x14ac:dyDescent="0.25">
      <c r="A54" s="71"/>
      <c r="B54" s="71"/>
      <c r="C54" s="17"/>
      <c r="D54" s="71"/>
      <c r="E54" s="71"/>
      <c r="F54" s="71"/>
      <c r="G54" s="71"/>
      <c r="H54" s="71"/>
      <c r="I54" s="71"/>
      <c r="J54" s="71"/>
      <c r="K54" s="71"/>
      <c r="L54" s="71"/>
      <c r="M54" s="71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x14ac:dyDescent="0.25">
      <c r="A55" s="71"/>
      <c r="B55" s="71"/>
      <c r="C55" s="17"/>
      <c r="D55" s="71"/>
      <c r="E55" s="71"/>
      <c r="F55" s="71"/>
      <c r="G55" s="71"/>
      <c r="H55" s="71"/>
      <c r="I55" s="71"/>
      <c r="J55" s="71"/>
      <c r="K55" s="71"/>
      <c r="L55" s="71"/>
      <c r="M55" s="71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x14ac:dyDescent="0.25">
      <c r="A56" s="71"/>
      <c r="B56" s="71"/>
      <c r="C56" s="17"/>
      <c r="D56" s="71"/>
      <c r="E56" s="71"/>
      <c r="F56" s="71"/>
      <c r="G56" s="71"/>
      <c r="H56" s="71"/>
      <c r="I56" s="71"/>
      <c r="J56" s="71"/>
      <c r="K56" s="71"/>
      <c r="L56" s="71"/>
      <c r="M56" s="71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x14ac:dyDescent="0.25">
      <c r="A57" s="71"/>
      <c r="B57" s="71"/>
      <c r="C57" s="17"/>
      <c r="D57" s="71"/>
      <c r="E57" s="71"/>
      <c r="F57" s="71"/>
      <c r="G57" s="71"/>
      <c r="H57" s="71"/>
      <c r="I57" s="71"/>
      <c r="J57" s="71"/>
      <c r="K57" s="71"/>
      <c r="L57" s="71"/>
      <c r="M57" s="71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x14ac:dyDescent="0.25">
      <c r="A58" s="71"/>
      <c r="B58" s="71"/>
      <c r="C58" s="17"/>
      <c r="D58" s="71"/>
      <c r="E58" s="71"/>
      <c r="F58" s="71"/>
      <c r="G58" s="71"/>
      <c r="H58" s="71"/>
      <c r="I58" s="71"/>
      <c r="J58" s="71"/>
      <c r="K58" s="71"/>
      <c r="L58" s="71"/>
      <c r="M58" s="71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x14ac:dyDescent="0.25">
      <c r="A59" s="71"/>
      <c r="B59" s="71"/>
      <c r="C59" s="17"/>
      <c r="D59" s="71"/>
      <c r="E59" s="71"/>
      <c r="F59" s="71"/>
      <c r="G59" s="71"/>
      <c r="H59" s="71"/>
      <c r="I59" s="71"/>
      <c r="J59" s="71"/>
      <c r="K59" s="71"/>
      <c r="L59" s="71"/>
      <c r="M59" s="71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x14ac:dyDescent="0.25">
      <c r="A60" s="71"/>
      <c r="B60" s="71"/>
      <c r="C60" s="17"/>
      <c r="D60" s="71"/>
      <c r="E60" s="71"/>
      <c r="F60" s="71"/>
      <c r="G60" s="71"/>
      <c r="H60" s="71"/>
      <c r="I60" s="71"/>
      <c r="J60" s="71"/>
      <c r="K60" s="71"/>
      <c r="L60" s="71"/>
      <c r="M60" s="71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x14ac:dyDescent="0.25">
      <c r="A61" s="71"/>
      <c r="B61" s="71"/>
      <c r="C61" s="17"/>
      <c r="D61" s="71"/>
      <c r="E61" s="71"/>
      <c r="F61" s="71"/>
      <c r="G61" s="71"/>
      <c r="H61" s="71"/>
      <c r="I61" s="71"/>
      <c r="J61" s="71"/>
      <c r="K61" s="71"/>
      <c r="L61" s="71"/>
      <c r="M61" s="71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x14ac:dyDescent="0.25">
      <c r="A62" s="71"/>
      <c r="B62" s="71"/>
      <c r="C62" s="17"/>
      <c r="D62" s="71"/>
      <c r="E62" s="71"/>
      <c r="F62" s="71"/>
      <c r="G62" s="71"/>
      <c r="H62" s="71"/>
      <c r="I62" s="71"/>
      <c r="J62" s="71"/>
      <c r="K62" s="71"/>
      <c r="L62" s="71"/>
      <c r="M62" s="71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x14ac:dyDescent="0.25">
      <c r="A63" s="71"/>
      <c r="B63" s="71"/>
      <c r="C63" s="17"/>
      <c r="D63" s="71"/>
      <c r="E63" s="71"/>
      <c r="F63" s="71"/>
      <c r="G63" s="71"/>
      <c r="H63" s="71"/>
      <c r="I63" s="71"/>
      <c r="J63" s="71"/>
      <c r="K63" s="71"/>
      <c r="L63" s="71"/>
      <c r="M63" s="71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x14ac:dyDescent="0.25">
      <c r="A64" s="71"/>
      <c r="B64" s="71"/>
      <c r="C64" s="17"/>
      <c r="D64" s="71"/>
      <c r="E64" s="71"/>
      <c r="F64" s="71"/>
      <c r="G64" s="71"/>
      <c r="H64" s="71"/>
      <c r="I64" s="71"/>
      <c r="J64" s="71"/>
      <c r="K64" s="71"/>
      <c r="L64" s="71"/>
      <c r="M64" s="71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x14ac:dyDescent="0.25">
      <c r="A65" s="71"/>
      <c r="B65" s="71"/>
      <c r="C65" s="17"/>
      <c r="D65" s="71"/>
      <c r="E65" s="71"/>
      <c r="F65" s="71"/>
      <c r="G65" s="71"/>
      <c r="H65" s="71"/>
      <c r="I65" s="71"/>
      <c r="J65" s="71"/>
      <c r="K65" s="71"/>
      <c r="L65" s="71"/>
      <c r="M65" s="71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x14ac:dyDescent="0.25">
      <c r="A66" s="71"/>
      <c r="B66" s="71"/>
      <c r="C66" s="17"/>
      <c r="D66" s="71"/>
      <c r="E66" s="71"/>
      <c r="F66" s="71"/>
      <c r="G66" s="71"/>
      <c r="H66" s="71"/>
      <c r="I66" s="71"/>
      <c r="J66" s="71"/>
      <c r="K66" s="71"/>
      <c r="L66" s="71"/>
      <c r="M66" s="71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x14ac:dyDescent="0.25">
      <c r="A67" s="71"/>
      <c r="B67" s="71"/>
      <c r="C67" s="17"/>
      <c r="D67" s="71"/>
      <c r="E67" s="71"/>
      <c r="F67" s="71"/>
      <c r="G67" s="71"/>
      <c r="H67" s="71"/>
      <c r="I67" s="71"/>
      <c r="J67" s="71"/>
      <c r="K67" s="71"/>
      <c r="L67" s="71"/>
      <c r="M67" s="71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x14ac:dyDescent="0.25">
      <c r="A68" s="71"/>
      <c r="B68" s="71"/>
      <c r="C68" s="17"/>
      <c r="D68" s="71"/>
      <c r="E68" s="71"/>
      <c r="F68" s="71"/>
      <c r="G68" s="71"/>
      <c r="H68" s="71"/>
      <c r="I68" s="71"/>
      <c r="J68" s="71"/>
      <c r="K68" s="71"/>
      <c r="L68" s="71"/>
      <c r="M68" s="71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x14ac:dyDescent="0.25">
      <c r="A69" s="71"/>
      <c r="B69" s="71"/>
      <c r="C69" s="17"/>
      <c r="D69" s="71"/>
      <c r="E69" s="71"/>
      <c r="F69" s="71"/>
      <c r="G69" s="71"/>
      <c r="H69" s="71"/>
      <c r="I69" s="71"/>
      <c r="J69" s="71"/>
      <c r="K69" s="71"/>
      <c r="L69" s="71"/>
      <c r="M69" s="71"/>
    </row>
    <row r="70" spans="1:27" x14ac:dyDescent="0.25">
      <c r="A70" s="71"/>
      <c r="B70" s="71"/>
      <c r="C70" s="17"/>
      <c r="D70" s="71"/>
      <c r="E70" s="71"/>
      <c r="F70" s="71"/>
      <c r="G70" s="71"/>
      <c r="H70" s="71"/>
      <c r="I70" s="71"/>
      <c r="J70" s="71"/>
      <c r="K70" s="71"/>
      <c r="L70" s="71"/>
      <c r="M70" s="71"/>
    </row>
    <row r="71" spans="1:27" x14ac:dyDescent="0.25">
      <c r="A71" s="71"/>
      <c r="B71" s="71"/>
      <c r="C71" s="17"/>
      <c r="D71" s="71"/>
      <c r="E71" s="71"/>
      <c r="F71" s="71"/>
      <c r="G71" s="71"/>
      <c r="H71" s="71"/>
      <c r="I71" s="71"/>
      <c r="J71" s="71"/>
      <c r="K71" s="71"/>
      <c r="L71" s="71"/>
      <c r="M71" s="71"/>
    </row>
    <row r="72" spans="1:27" x14ac:dyDescent="0.25">
      <c r="A72" s="71"/>
      <c r="B72" s="71"/>
      <c r="C72" s="17"/>
      <c r="D72" s="71"/>
      <c r="E72" s="71"/>
      <c r="F72" s="71"/>
      <c r="G72" s="71"/>
      <c r="H72" s="71"/>
      <c r="I72" s="71"/>
      <c r="J72" s="71"/>
      <c r="K72" s="71"/>
      <c r="L72" s="71"/>
      <c r="M72" s="71"/>
    </row>
    <row r="73" spans="1:27" x14ac:dyDescent="0.25">
      <c r="A73" s="71"/>
      <c r="B73" s="71"/>
      <c r="C73" s="17"/>
      <c r="D73" s="71"/>
      <c r="E73" s="71"/>
      <c r="F73" s="71"/>
      <c r="G73" s="71"/>
      <c r="H73" s="71"/>
      <c r="I73" s="71"/>
      <c r="J73" s="71"/>
      <c r="K73" s="71"/>
      <c r="L73" s="71"/>
      <c r="M73" s="71"/>
    </row>
    <row r="74" spans="1:27" x14ac:dyDescent="0.25">
      <c r="A74" s="71"/>
      <c r="B74" s="71"/>
      <c r="C74" s="17"/>
      <c r="D74" s="71"/>
      <c r="E74" s="71"/>
      <c r="F74" s="71"/>
      <c r="G74" s="71"/>
      <c r="H74" s="71"/>
      <c r="I74" s="71"/>
      <c r="J74" s="71"/>
      <c r="K74" s="71"/>
      <c r="L74" s="71"/>
      <c r="M74" s="71"/>
    </row>
    <row r="75" spans="1:27" x14ac:dyDescent="0.25">
      <c r="A75" s="71"/>
      <c r="B75" s="71"/>
      <c r="C75" s="17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27" x14ac:dyDescent="0.25">
      <c r="A76" s="71"/>
      <c r="B76" s="71"/>
      <c r="C76" s="17"/>
      <c r="D76" s="71"/>
      <c r="E76" s="71"/>
      <c r="F76" s="71"/>
      <c r="G76" s="71"/>
      <c r="H76" s="71"/>
      <c r="I76" s="71"/>
      <c r="J76" s="71"/>
      <c r="K76" s="71"/>
      <c r="L76" s="71"/>
      <c r="M76" s="71"/>
    </row>
    <row r="77" spans="1:27" x14ac:dyDescent="0.25">
      <c r="A77" s="71"/>
      <c r="B77" s="71"/>
      <c r="C77" s="17"/>
      <c r="D77" s="71"/>
      <c r="E77" s="71"/>
      <c r="F77" s="71"/>
      <c r="G77" s="71"/>
      <c r="H77" s="71"/>
      <c r="I77" s="71"/>
      <c r="J77" s="71"/>
      <c r="K77" s="71"/>
      <c r="L77" s="71"/>
      <c r="M77" s="71"/>
    </row>
    <row r="78" spans="1:27" x14ac:dyDescent="0.25">
      <c r="A78" s="71"/>
      <c r="B78" s="71"/>
      <c r="C78" s="17"/>
      <c r="D78" s="71"/>
      <c r="E78" s="71"/>
      <c r="F78" s="71"/>
      <c r="G78" s="71"/>
      <c r="H78" s="71"/>
      <c r="I78" s="71"/>
      <c r="J78" s="71"/>
      <c r="K78" s="71"/>
      <c r="L78" s="71"/>
      <c r="M78" s="71"/>
    </row>
  </sheetData>
  <pageMargins left="0" right="0" top="0" bottom="0" header="0" footer="0"/>
  <pageSetup paperSize="0" scale="24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abSelected="1" topLeftCell="B1" zoomScale="70" zoomScaleNormal="70" workbookViewId="0">
      <selection activeCell="G36" sqref="G36"/>
    </sheetView>
  </sheetViews>
  <sheetFormatPr defaultRowHeight="15" x14ac:dyDescent="0.25"/>
  <cols>
    <col min="2" max="2" width="29.140625" bestFit="1" customWidth="1"/>
    <col min="3" max="3" width="10.42578125" bestFit="1" customWidth="1"/>
  </cols>
  <sheetData>
    <row r="1" spans="1:37" x14ac:dyDescent="0.25">
      <c r="A1" t="s">
        <v>21</v>
      </c>
    </row>
    <row r="2" spans="1:37" x14ac:dyDescent="0.25">
      <c r="A2" t="s">
        <v>22</v>
      </c>
    </row>
    <row r="3" spans="1:37" x14ac:dyDescent="0.25">
      <c r="A3" t="s">
        <v>23</v>
      </c>
    </row>
    <row r="4" spans="1:37" x14ac:dyDescent="0.25">
      <c r="A4" t="s">
        <v>24</v>
      </c>
    </row>
    <row r="5" spans="1:37" x14ac:dyDescent="0.25">
      <c r="D5">
        <v>1980</v>
      </c>
      <c r="E5">
        <v>1981</v>
      </c>
      <c r="F5">
        <v>1982</v>
      </c>
      <c r="G5">
        <v>1983</v>
      </c>
      <c r="H5">
        <v>1984</v>
      </c>
      <c r="I5">
        <v>1985</v>
      </c>
      <c r="J5">
        <v>1986</v>
      </c>
      <c r="K5">
        <v>1987</v>
      </c>
      <c r="L5">
        <v>1988</v>
      </c>
      <c r="M5">
        <v>1989</v>
      </c>
      <c r="N5">
        <v>1990</v>
      </c>
      <c r="O5">
        <v>1991</v>
      </c>
      <c r="P5">
        <v>1992</v>
      </c>
      <c r="Q5">
        <v>1993</v>
      </c>
      <c r="R5">
        <v>1994</v>
      </c>
      <c r="S5">
        <v>1995</v>
      </c>
      <c r="T5">
        <v>1996</v>
      </c>
      <c r="U5">
        <v>1997</v>
      </c>
      <c r="V5">
        <v>1998</v>
      </c>
      <c r="W5">
        <v>1999</v>
      </c>
      <c r="X5">
        <v>2000</v>
      </c>
      <c r="Y5">
        <v>2001</v>
      </c>
      <c r="Z5">
        <v>2002</v>
      </c>
      <c r="AA5">
        <v>2003</v>
      </c>
      <c r="AB5">
        <v>2004</v>
      </c>
      <c r="AC5">
        <v>2005</v>
      </c>
      <c r="AD5">
        <v>2006</v>
      </c>
      <c r="AE5">
        <v>2007</v>
      </c>
      <c r="AF5">
        <v>2008</v>
      </c>
      <c r="AG5">
        <v>2009</v>
      </c>
      <c r="AH5">
        <v>2010</v>
      </c>
      <c r="AI5">
        <v>2011</v>
      </c>
      <c r="AJ5">
        <v>2012</v>
      </c>
      <c r="AK5">
        <v>2013</v>
      </c>
    </row>
    <row r="6" spans="1:37" x14ac:dyDescent="0.25">
      <c r="B6" t="s">
        <v>25</v>
      </c>
      <c r="C6" t="s">
        <v>26</v>
      </c>
    </row>
    <row r="7" spans="1:37" x14ac:dyDescent="0.25">
      <c r="B7" t="s">
        <v>27</v>
      </c>
    </row>
    <row r="8" spans="1:37" x14ac:dyDescent="0.25">
      <c r="B8" t="s">
        <v>28</v>
      </c>
      <c r="C8" t="s">
        <v>26</v>
      </c>
      <c r="D8">
        <v>1983</v>
      </c>
      <c r="E8">
        <v>2072</v>
      </c>
      <c r="F8">
        <v>2147</v>
      </c>
      <c r="G8">
        <v>2217</v>
      </c>
      <c r="H8">
        <v>2313</v>
      </c>
      <c r="I8">
        <v>2399</v>
      </c>
      <c r="J8">
        <v>2472</v>
      </c>
      <c r="K8">
        <v>2542</v>
      </c>
      <c r="L8">
        <v>2611</v>
      </c>
      <c r="M8">
        <v>2703</v>
      </c>
      <c r="N8">
        <v>2755</v>
      </c>
      <c r="O8">
        <v>2797</v>
      </c>
      <c r="P8">
        <v>2858</v>
      </c>
      <c r="Q8">
        <v>2929</v>
      </c>
      <c r="R8">
        <v>3000</v>
      </c>
      <c r="S8">
        <v>3056</v>
      </c>
      <c r="T8">
        <v>3136</v>
      </c>
      <c r="U8">
        <v>3202</v>
      </c>
      <c r="V8">
        <v>3258</v>
      </c>
      <c r="W8">
        <v>3338</v>
      </c>
      <c r="X8">
        <v>3458</v>
      </c>
      <c r="Y8">
        <v>3560</v>
      </c>
      <c r="Z8">
        <v>3698</v>
      </c>
      <c r="AA8">
        <v>3847</v>
      </c>
      <c r="AB8">
        <v>3984</v>
      </c>
      <c r="AC8">
        <v>4123</v>
      </c>
      <c r="AD8">
        <v>4303</v>
      </c>
      <c r="AE8">
        <v>4479</v>
      </c>
      <c r="AF8">
        <v>4650</v>
      </c>
      <c r="AG8">
        <v>4853</v>
      </c>
      <c r="AH8">
        <v>5081</v>
      </c>
      <c r="AI8">
        <v>5315</v>
      </c>
      <c r="AJ8">
        <v>5550</v>
      </c>
      <c r="AK8">
        <v>2437</v>
      </c>
    </row>
    <row r="9" spans="1:37" x14ac:dyDescent="0.25">
      <c r="B9" t="s">
        <v>29</v>
      </c>
      <c r="C9" t="s">
        <v>26</v>
      </c>
      <c r="D9">
        <v>135</v>
      </c>
      <c r="E9">
        <v>156</v>
      </c>
      <c r="F9">
        <v>170</v>
      </c>
      <c r="G9">
        <v>190</v>
      </c>
      <c r="H9">
        <v>221</v>
      </c>
      <c r="I9">
        <v>253</v>
      </c>
      <c r="J9">
        <v>278</v>
      </c>
      <c r="K9">
        <v>299</v>
      </c>
      <c r="L9">
        <v>312</v>
      </c>
      <c r="M9">
        <v>320</v>
      </c>
      <c r="N9">
        <v>325</v>
      </c>
      <c r="O9">
        <v>325</v>
      </c>
      <c r="P9">
        <v>329</v>
      </c>
      <c r="Q9">
        <v>336</v>
      </c>
      <c r="R9">
        <v>339</v>
      </c>
      <c r="S9">
        <v>342</v>
      </c>
      <c r="T9">
        <v>349</v>
      </c>
      <c r="U9">
        <v>349</v>
      </c>
      <c r="V9">
        <v>346</v>
      </c>
      <c r="W9">
        <v>349</v>
      </c>
      <c r="X9">
        <v>351</v>
      </c>
      <c r="Y9">
        <v>355</v>
      </c>
      <c r="Z9">
        <v>360</v>
      </c>
      <c r="AA9">
        <v>362</v>
      </c>
      <c r="AB9">
        <v>367</v>
      </c>
      <c r="AC9">
        <v>370</v>
      </c>
      <c r="AD9">
        <v>372</v>
      </c>
      <c r="AE9">
        <v>372</v>
      </c>
      <c r="AF9">
        <v>372</v>
      </c>
      <c r="AG9">
        <v>371</v>
      </c>
      <c r="AH9">
        <v>375</v>
      </c>
      <c r="AI9">
        <v>369</v>
      </c>
      <c r="AJ9">
        <v>373</v>
      </c>
      <c r="AK9">
        <v>372</v>
      </c>
    </row>
    <row r="10" spans="1:37" x14ac:dyDescent="0.25">
      <c r="B10" t="s">
        <v>30</v>
      </c>
      <c r="C10" t="s">
        <v>26</v>
      </c>
      <c r="D10">
        <v>467</v>
      </c>
      <c r="E10">
        <v>482</v>
      </c>
      <c r="F10">
        <v>499</v>
      </c>
      <c r="G10">
        <v>512</v>
      </c>
      <c r="H10">
        <v>528</v>
      </c>
      <c r="I10">
        <v>545</v>
      </c>
      <c r="J10">
        <v>559</v>
      </c>
      <c r="K10">
        <v>577</v>
      </c>
      <c r="L10">
        <v>591</v>
      </c>
      <c r="M10">
        <v>591</v>
      </c>
      <c r="N10">
        <v>594</v>
      </c>
      <c r="O10">
        <v>604</v>
      </c>
      <c r="P10">
        <v>615</v>
      </c>
      <c r="Q10">
        <v>629</v>
      </c>
      <c r="R10">
        <v>645</v>
      </c>
      <c r="S10">
        <v>659</v>
      </c>
      <c r="T10">
        <v>672</v>
      </c>
      <c r="U10">
        <v>689</v>
      </c>
      <c r="V10">
        <v>702</v>
      </c>
      <c r="W10">
        <v>725</v>
      </c>
      <c r="X10">
        <v>745</v>
      </c>
      <c r="Y10">
        <v>764</v>
      </c>
      <c r="Z10">
        <v>788</v>
      </c>
      <c r="AA10">
        <v>819</v>
      </c>
      <c r="AB10">
        <v>850</v>
      </c>
      <c r="AC10">
        <v>890</v>
      </c>
      <c r="AD10">
        <v>933</v>
      </c>
      <c r="AE10">
        <v>984</v>
      </c>
      <c r="AF10">
        <v>1054</v>
      </c>
      <c r="AG10">
        <v>1130</v>
      </c>
      <c r="AH10">
        <v>1209</v>
      </c>
      <c r="AI10">
        <v>1327</v>
      </c>
      <c r="AJ10">
        <v>1439</v>
      </c>
      <c r="AK10">
        <v>359</v>
      </c>
    </row>
    <row r="11" spans="1:37" x14ac:dyDescent="0.25">
      <c r="B11" t="s">
        <v>31</v>
      </c>
      <c r="C11" t="s">
        <v>26</v>
      </c>
      <c r="D11">
        <v>462</v>
      </c>
      <c r="E11">
        <v>477</v>
      </c>
      <c r="F11">
        <v>493</v>
      </c>
      <c r="G11">
        <v>506</v>
      </c>
      <c r="H11">
        <v>522</v>
      </c>
      <c r="I11">
        <v>538</v>
      </c>
      <c r="J11">
        <v>552</v>
      </c>
      <c r="K11">
        <v>569</v>
      </c>
      <c r="L11">
        <v>583</v>
      </c>
      <c r="M11">
        <v>573</v>
      </c>
      <c r="N11">
        <v>569</v>
      </c>
      <c r="O11">
        <v>576</v>
      </c>
      <c r="P11">
        <v>586</v>
      </c>
      <c r="Q11">
        <v>599</v>
      </c>
      <c r="R11">
        <v>613</v>
      </c>
      <c r="S11">
        <v>624</v>
      </c>
      <c r="T11">
        <v>634</v>
      </c>
      <c r="U11">
        <v>648</v>
      </c>
      <c r="V11">
        <v>658</v>
      </c>
      <c r="W11">
        <v>675</v>
      </c>
      <c r="X11">
        <v>688</v>
      </c>
      <c r="Y11">
        <v>698</v>
      </c>
      <c r="Z11">
        <v>713</v>
      </c>
      <c r="AA11">
        <v>732</v>
      </c>
      <c r="AB11">
        <v>751</v>
      </c>
      <c r="AC11">
        <v>770</v>
      </c>
      <c r="AD11">
        <v>793</v>
      </c>
      <c r="AE11">
        <v>821</v>
      </c>
      <c r="AF11">
        <v>853</v>
      </c>
      <c r="AG11">
        <v>888</v>
      </c>
      <c r="AH11">
        <v>922</v>
      </c>
      <c r="AI11">
        <v>949</v>
      </c>
      <c r="AJ11">
        <v>979</v>
      </c>
      <c r="AK11">
        <v>359</v>
      </c>
    </row>
    <row r="12" spans="1:37" x14ac:dyDescent="0.25">
      <c r="B12" t="s">
        <v>32</v>
      </c>
      <c r="C12" t="s">
        <v>26</v>
      </c>
      <c r="D12">
        <v>4.7</v>
      </c>
      <c r="E12">
        <v>4.9000000000000004</v>
      </c>
      <c r="F12">
        <v>5.5</v>
      </c>
      <c r="G12">
        <v>6</v>
      </c>
      <c r="H12">
        <v>6.3</v>
      </c>
      <c r="I12">
        <v>7</v>
      </c>
      <c r="J12">
        <v>7.2</v>
      </c>
      <c r="K12">
        <v>7.5</v>
      </c>
      <c r="L12">
        <v>7.9</v>
      </c>
      <c r="M12">
        <v>18</v>
      </c>
      <c r="N12">
        <v>25</v>
      </c>
      <c r="O12">
        <v>28</v>
      </c>
      <c r="P12">
        <v>29</v>
      </c>
      <c r="Q12">
        <v>30</v>
      </c>
      <c r="R12">
        <v>32</v>
      </c>
      <c r="S12">
        <v>35</v>
      </c>
      <c r="T12">
        <v>38</v>
      </c>
      <c r="U12">
        <v>40</v>
      </c>
      <c r="V12">
        <v>44</v>
      </c>
      <c r="W12">
        <v>51</v>
      </c>
      <c r="X12">
        <v>57</v>
      </c>
      <c r="Y12">
        <v>66</v>
      </c>
      <c r="Z12">
        <v>75</v>
      </c>
      <c r="AA12">
        <v>87</v>
      </c>
      <c r="AB12">
        <v>99</v>
      </c>
      <c r="AC12">
        <v>120</v>
      </c>
      <c r="AD12">
        <v>140</v>
      </c>
      <c r="AE12">
        <v>163</v>
      </c>
      <c r="AF12">
        <v>201</v>
      </c>
      <c r="AG12">
        <v>242</v>
      </c>
      <c r="AH12">
        <v>287</v>
      </c>
      <c r="AI12">
        <v>378</v>
      </c>
      <c r="AJ12">
        <v>460</v>
      </c>
    </row>
    <row r="13" spans="1:37" x14ac:dyDescent="0.25">
      <c r="B13" t="s">
        <v>33</v>
      </c>
      <c r="C13" t="s">
        <v>26</v>
      </c>
      <c r="D13">
        <v>2.4</v>
      </c>
      <c r="E13">
        <v>2.6</v>
      </c>
      <c r="F13">
        <v>3</v>
      </c>
      <c r="G13">
        <v>3.4</v>
      </c>
      <c r="H13">
        <v>3.5</v>
      </c>
      <c r="I13">
        <v>4</v>
      </c>
      <c r="J13">
        <v>4.2</v>
      </c>
      <c r="K13">
        <v>4.4000000000000004</v>
      </c>
      <c r="L13">
        <v>4.5999999999999996</v>
      </c>
      <c r="M13">
        <v>5.6</v>
      </c>
      <c r="N13">
        <v>5.8</v>
      </c>
      <c r="O13">
        <v>5.8</v>
      </c>
      <c r="P13">
        <v>6</v>
      </c>
      <c r="Q13">
        <v>6.2</v>
      </c>
      <c r="R13">
        <v>6.6</v>
      </c>
      <c r="S13">
        <v>6.9</v>
      </c>
      <c r="T13">
        <v>7.1</v>
      </c>
      <c r="U13">
        <v>7.7</v>
      </c>
      <c r="V13">
        <v>7.8</v>
      </c>
      <c r="W13">
        <v>8</v>
      </c>
      <c r="X13">
        <v>8.4</v>
      </c>
      <c r="Y13">
        <v>8</v>
      </c>
      <c r="Z13">
        <v>8.1999999999999993</v>
      </c>
      <c r="AA13">
        <v>8.4</v>
      </c>
      <c r="AB13">
        <v>8.4</v>
      </c>
      <c r="AC13">
        <v>8.6</v>
      </c>
      <c r="AD13">
        <v>8.8000000000000007</v>
      </c>
      <c r="AE13">
        <v>9.1</v>
      </c>
      <c r="AF13">
        <v>9.4</v>
      </c>
      <c r="AG13">
        <v>9.9</v>
      </c>
      <c r="AH13">
        <v>10</v>
      </c>
      <c r="AI13">
        <v>10</v>
      </c>
      <c r="AJ13">
        <v>10</v>
      </c>
    </row>
    <row r="14" spans="1:37" x14ac:dyDescent="0.25">
      <c r="B14" t="s">
        <v>34</v>
      </c>
      <c r="C14" t="s">
        <v>26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0.3</v>
      </c>
      <c r="J14">
        <v>0.3</v>
      </c>
      <c r="K14">
        <v>0.3</v>
      </c>
      <c r="L14">
        <v>0.3</v>
      </c>
      <c r="M14">
        <v>0.5</v>
      </c>
      <c r="N14">
        <v>0.6</v>
      </c>
      <c r="O14">
        <v>0.6</v>
      </c>
      <c r="P14">
        <v>0.7</v>
      </c>
      <c r="Q14">
        <v>0.7</v>
      </c>
      <c r="R14">
        <v>0.7</v>
      </c>
      <c r="S14">
        <v>0.7</v>
      </c>
      <c r="T14">
        <v>0.8</v>
      </c>
      <c r="U14">
        <v>0.8</v>
      </c>
      <c r="V14">
        <v>0.9</v>
      </c>
      <c r="W14">
        <v>1.1000000000000001</v>
      </c>
      <c r="X14">
        <v>1.3</v>
      </c>
      <c r="Y14">
        <v>1.5</v>
      </c>
      <c r="Z14">
        <v>1.8</v>
      </c>
      <c r="AA14">
        <v>2.2000000000000002</v>
      </c>
      <c r="AB14">
        <v>2.9</v>
      </c>
      <c r="AC14">
        <v>5.0999999999999996</v>
      </c>
      <c r="AD14">
        <v>7.1</v>
      </c>
      <c r="AE14">
        <v>9</v>
      </c>
      <c r="AF14">
        <v>14</v>
      </c>
      <c r="AG14">
        <v>22</v>
      </c>
      <c r="AH14">
        <v>37</v>
      </c>
      <c r="AI14">
        <v>69</v>
      </c>
      <c r="AJ14">
        <v>94</v>
      </c>
    </row>
    <row r="15" spans="1:37" x14ac:dyDescent="0.25">
      <c r="B15" t="s">
        <v>35</v>
      </c>
    </row>
    <row r="16" spans="1:37" x14ac:dyDescent="0.25">
      <c r="B16" t="s">
        <v>36</v>
      </c>
      <c r="C16" t="s">
        <v>26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1.3</v>
      </c>
      <c r="AD16">
        <v>1.5</v>
      </c>
      <c r="AE16">
        <v>1.3</v>
      </c>
      <c r="AF16">
        <v>1.4</v>
      </c>
      <c r="AG16">
        <v>1.5</v>
      </c>
      <c r="AH16">
        <v>1.4</v>
      </c>
      <c r="AI16">
        <v>2.8</v>
      </c>
      <c r="AJ16">
        <v>2.7</v>
      </c>
    </row>
    <row r="17" spans="2:37" x14ac:dyDescent="0.25">
      <c r="B17" t="s">
        <v>37</v>
      </c>
      <c r="C17" t="s">
        <v>26</v>
      </c>
      <c r="G17" t="s">
        <v>38</v>
      </c>
      <c r="H17" t="s">
        <v>38</v>
      </c>
      <c r="I17" t="s">
        <v>38</v>
      </c>
      <c r="J17" t="s">
        <v>38</v>
      </c>
      <c r="K17" t="s">
        <v>38</v>
      </c>
      <c r="L17" t="s">
        <v>38</v>
      </c>
      <c r="M17">
        <v>0.2</v>
      </c>
      <c r="N17">
        <v>0.3</v>
      </c>
      <c r="O17">
        <v>0.3</v>
      </c>
      <c r="P17">
        <v>0.4</v>
      </c>
      <c r="Q17">
        <v>0.4</v>
      </c>
      <c r="R17">
        <v>0.4</v>
      </c>
      <c r="S17">
        <v>0.5</v>
      </c>
      <c r="T17">
        <v>0.5</v>
      </c>
      <c r="U17">
        <v>0.6</v>
      </c>
      <c r="V17">
        <v>0.6</v>
      </c>
      <c r="W17">
        <v>0.8</v>
      </c>
      <c r="X17">
        <v>1</v>
      </c>
      <c r="Y17">
        <v>1.2</v>
      </c>
      <c r="Z17">
        <v>1.6</v>
      </c>
      <c r="AA17">
        <v>2</v>
      </c>
      <c r="AB17">
        <v>2.6</v>
      </c>
      <c r="AC17">
        <v>3.8</v>
      </c>
      <c r="AD17">
        <v>5.6</v>
      </c>
      <c r="AE17">
        <v>7.7</v>
      </c>
      <c r="AF17">
        <v>13</v>
      </c>
      <c r="AG17">
        <v>21</v>
      </c>
      <c r="AH17">
        <v>35</v>
      </c>
      <c r="AI17">
        <v>66</v>
      </c>
      <c r="AJ17">
        <v>91</v>
      </c>
    </row>
    <row r="18" spans="2:37" x14ac:dyDescent="0.25">
      <c r="B18" t="s">
        <v>15</v>
      </c>
      <c r="C18" t="s">
        <v>26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>
        <v>0.1</v>
      </c>
      <c r="K18">
        <v>0.2</v>
      </c>
      <c r="L18">
        <v>0.2</v>
      </c>
      <c r="M18">
        <v>1.8</v>
      </c>
      <c r="N18">
        <v>2.2999999999999998</v>
      </c>
      <c r="O18">
        <v>2.6</v>
      </c>
      <c r="P18">
        <v>2.7</v>
      </c>
      <c r="Q18">
        <v>3</v>
      </c>
      <c r="R18">
        <v>3.5</v>
      </c>
      <c r="S18">
        <v>4.4000000000000004</v>
      </c>
      <c r="T18">
        <v>5.6</v>
      </c>
      <c r="U18">
        <v>6.5</v>
      </c>
      <c r="V18">
        <v>8.6999999999999993</v>
      </c>
      <c r="W18">
        <v>12</v>
      </c>
      <c r="X18">
        <v>17</v>
      </c>
      <c r="Y18">
        <v>23</v>
      </c>
      <c r="Z18">
        <v>30</v>
      </c>
      <c r="AA18">
        <v>38</v>
      </c>
      <c r="AB18">
        <v>47</v>
      </c>
      <c r="AC18">
        <v>60</v>
      </c>
      <c r="AD18">
        <v>74</v>
      </c>
      <c r="AE18">
        <v>93</v>
      </c>
      <c r="AF18">
        <v>120</v>
      </c>
      <c r="AG18">
        <v>148</v>
      </c>
      <c r="AH18">
        <v>172</v>
      </c>
      <c r="AI18">
        <v>219</v>
      </c>
      <c r="AJ18">
        <v>268</v>
      </c>
    </row>
    <row r="19" spans="2:37" x14ac:dyDescent="0.25">
      <c r="B19" t="s">
        <v>39</v>
      </c>
      <c r="C19" t="s">
        <v>26</v>
      </c>
      <c r="D19">
        <v>2</v>
      </c>
      <c r="E19">
        <v>2.1</v>
      </c>
      <c r="F19">
        <v>2.2000000000000002</v>
      </c>
      <c r="G19">
        <v>2.2999999999999998</v>
      </c>
      <c r="H19">
        <v>2.6</v>
      </c>
      <c r="I19">
        <v>2.6</v>
      </c>
      <c r="J19">
        <v>2.7</v>
      </c>
      <c r="K19">
        <v>2.8</v>
      </c>
      <c r="L19">
        <v>2.8</v>
      </c>
      <c r="M19">
        <v>10</v>
      </c>
      <c r="N19">
        <v>16</v>
      </c>
      <c r="O19">
        <v>19</v>
      </c>
      <c r="P19">
        <v>20</v>
      </c>
      <c r="Q19">
        <v>21</v>
      </c>
      <c r="R19">
        <v>22</v>
      </c>
      <c r="S19">
        <v>23</v>
      </c>
      <c r="T19">
        <v>25</v>
      </c>
      <c r="U19">
        <v>25</v>
      </c>
      <c r="V19">
        <v>27</v>
      </c>
      <c r="W19">
        <v>29</v>
      </c>
      <c r="X19">
        <v>31</v>
      </c>
      <c r="Y19">
        <v>33</v>
      </c>
      <c r="Z19">
        <v>35</v>
      </c>
      <c r="AA19">
        <v>38</v>
      </c>
      <c r="AB19">
        <v>42</v>
      </c>
      <c r="AC19">
        <v>47</v>
      </c>
      <c r="AD19">
        <v>50</v>
      </c>
      <c r="AE19">
        <v>52</v>
      </c>
      <c r="AF19">
        <v>57</v>
      </c>
      <c r="AG19">
        <v>62</v>
      </c>
      <c r="AH19">
        <v>68</v>
      </c>
      <c r="AI19">
        <v>80</v>
      </c>
      <c r="AJ19">
        <v>87</v>
      </c>
    </row>
    <row r="20" spans="2:37" x14ac:dyDescent="0.25">
      <c r="B20" t="s">
        <v>40</v>
      </c>
      <c r="C20" t="s">
        <v>26</v>
      </c>
      <c r="D20">
        <v>1364</v>
      </c>
      <c r="E20">
        <v>1411</v>
      </c>
      <c r="F20">
        <v>1453</v>
      </c>
      <c r="G20">
        <v>1488</v>
      </c>
      <c r="H20">
        <v>1531</v>
      </c>
      <c r="I20">
        <v>1566</v>
      </c>
      <c r="J20">
        <v>1597</v>
      </c>
      <c r="K20">
        <v>1627</v>
      </c>
      <c r="L20">
        <v>1668</v>
      </c>
      <c r="M20">
        <v>1727</v>
      </c>
      <c r="N20">
        <v>1764</v>
      </c>
      <c r="O20">
        <v>1791</v>
      </c>
      <c r="P20">
        <v>1833</v>
      </c>
      <c r="Q20">
        <v>1877</v>
      </c>
      <c r="R20">
        <v>1926</v>
      </c>
      <c r="S20">
        <v>1962</v>
      </c>
      <c r="T20">
        <v>2021</v>
      </c>
      <c r="U20">
        <v>2073</v>
      </c>
      <c r="V20">
        <v>2115</v>
      </c>
      <c r="W20">
        <v>2167</v>
      </c>
      <c r="X20">
        <v>2260</v>
      </c>
      <c r="Y20">
        <v>2338</v>
      </c>
      <c r="Z20">
        <v>2447</v>
      </c>
      <c r="AA20">
        <v>2561</v>
      </c>
      <c r="AB20">
        <v>2660</v>
      </c>
      <c r="AC20">
        <v>2754</v>
      </c>
      <c r="AD20">
        <v>2887</v>
      </c>
      <c r="AE20">
        <v>3007</v>
      </c>
      <c r="AF20">
        <v>3107</v>
      </c>
      <c r="AG20">
        <v>3230</v>
      </c>
      <c r="AH20">
        <v>3374</v>
      </c>
      <c r="AI20">
        <v>3489</v>
      </c>
      <c r="AJ20">
        <v>3606</v>
      </c>
      <c r="AK20">
        <v>1684</v>
      </c>
    </row>
    <row r="21" spans="2:37" x14ac:dyDescent="0.25">
      <c r="B21" t="s">
        <v>41</v>
      </c>
      <c r="C21" t="s">
        <v>26</v>
      </c>
      <c r="D21">
        <v>18</v>
      </c>
      <c r="E21">
        <v>23</v>
      </c>
      <c r="F21">
        <v>25</v>
      </c>
      <c r="G21">
        <v>27</v>
      </c>
      <c r="H21">
        <v>33</v>
      </c>
      <c r="I21">
        <v>35</v>
      </c>
      <c r="J21">
        <v>37</v>
      </c>
      <c r="K21">
        <v>40</v>
      </c>
      <c r="L21">
        <v>41</v>
      </c>
      <c r="M21">
        <v>64</v>
      </c>
      <c r="N21">
        <v>72</v>
      </c>
      <c r="O21">
        <v>77</v>
      </c>
      <c r="P21">
        <v>81</v>
      </c>
      <c r="Q21">
        <v>86</v>
      </c>
      <c r="R21">
        <v>90</v>
      </c>
      <c r="S21">
        <v>92</v>
      </c>
      <c r="T21">
        <v>93</v>
      </c>
      <c r="U21">
        <v>92</v>
      </c>
      <c r="V21">
        <v>95</v>
      </c>
      <c r="W21">
        <v>96</v>
      </c>
      <c r="X21">
        <v>101</v>
      </c>
      <c r="Y21">
        <v>103</v>
      </c>
      <c r="Z21">
        <v>102</v>
      </c>
      <c r="AA21">
        <v>105</v>
      </c>
      <c r="AB21">
        <v>107</v>
      </c>
      <c r="AC21">
        <v>109</v>
      </c>
      <c r="AD21">
        <v>112</v>
      </c>
      <c r="AE21">
        <v>115</v>
      </c>
      <c r="AF21">
        <v>117</v>
      </c>
      <c r="AG21">
        <v>122</v>
      </c>
      <c r="AH21">
        <v>124</v>
      </c>
      <c r="AI21">
        <v>130</v>
      </c>
      <c r="AJ21">
        <v>132</v>
      </c>
      <c r="AK2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topLeftCell="B1" zoomScale="70" zoomScaleNormal="70" workbookViewId="0">
      <selection activeCell="W40" sqref="W40"/>
    </sheetView>
  </sheetViews>
  <sheetFormatPr defaultRowHeight="15" x14ac:dyDescent="0.25"/>
  <cols>
    <col min="2" max="2" width="29.140625" bestFit="1" customWidth="1"/>
    <col min="3" max="3" width="11" bestFit="1" customWidth="1"/>
  </cols>
  <sheetData>
    <row r="1" spans="1:38" x14ac:dyDescent="0.25">
      <c r="A1" t="s">
        <v>21</v>
      </c>
    </row>
    <row r="2" spans="1:38" x14ac:dyDescent="0.25">
      <c r="A2" s="44" t="s">
        <v>42</v>
      </c>
    </row>
    <row r="3" spans="1:38" x14ac:dyDescent="0.25">
      <c r="A3" t="s">
        <v>43</v>
      </c>
    </row>
    <row r="4" spans="1:38" x14ac:dyDescent="0.25">
      <c r="A4" t="s">
        <v>24</v>
      </c>
    </row>
    <row r="5" spans="1:38" x14ac:dyDescent="0.25">
      <c r="D5">
        <v>1980</v>
      </c>
      <c r="E5">
        <v>1981</v>
      </c>
      <c r="F5">
        <v>1982</v>
      </c>
      <c r="G5">
        <v>1983</v>
      </c>
      <c r="H5">
        <v>1984</v>
      </c>
      <c r="I5">
        <v>1985</v>
      </c>
      <c r="J5">
        <v>1986</v>
      </c>
      <c r="K5">
        <v>1987</v>
      </c>
      <c r="L5">
        <v>1988</v>
      </c>
      <c r="M5">
        <v>1989</v>
      </c>
      <c r="N5">
        <v>1990</v>
      </c>
      <c r="O5">
        <v>1991</v>
      </c>
      <c r="P5">
        <v>1992</v>
      </c>
      <c r="Q5">
        <v>1993</v>
      </c>
      <c r="R5">
        <v>1994</v>
      </c>
      <c r="S5">
        <v>1995</v>
      </c>
      <c r="T5">
        <v>1996</v>
      </c>
      <c r="U5">
        <v>1997</v>
      </c>
      <c r="V5">
        <v>1998</v>
      </c>
      <c r="W5">
        <v>1999</v>
      </c>
      <c r="X5">
        <v>2000</v>
      </c>
      <c r="Y5">
        <v>2001</v>
      </c>
      <c r="Z5">
        <v>2002</v>
      </c>
      <c r="AA5">
        <v>2003</v>
      </c>
      <c r="AB5">
        <v>2004</v>
      </c>
      <c r="AC5">
        <v>2005</v>
      </c>
      <c r="AD5">
        <v>2006</v>
      </c>
      <c r="AE5">
        <v>2007</v>
      </c>
      <c r="AF5">
        <v>2008</v>
      </c>
      <c r="AG5">
        <v>2009</v>
      </c>
      <c r="AH5">
        <v>2010</v>
      </c>
      <c r="AI5">
        <v>2011</v>
      </c>
      <c r="AJ5">
        <v>2012</v>
      </c>
      <c r="AK5">
        <v>2013</v>
      </c>
      <c r="AL5">
        <v>2014</v>
      </c>
    </row>
    <row r="6" spans="1:38" x14ac:dyDescent="0.25">
      <c r="B6" t="s">
        <v>25</v>
      </c>
      <c r="C6" t="s">
        <v>44</v>
      </c>
    </row>
    <row r="7" spans="1:38" x14ac:dyDescent="0.25">
      <c r="B7" t="s">
        <v>27</v>
      </c>
    </row>
    <row r="8" spans="1:38" x14ac:dyDescent="0.25">
      <c r="B8" t="s">
        <v>45</v>
      </c>
      <c r="C8" t="s">
        <v>44</v>
      </c>
      <c r="D8">
        <v>8018</v>
      </c>
      <c r="E8">
        <v>8073</v>
      </c>
      <c r="F8">
        <v>8255</v>
      </c>
      <c r="G8">
        <v>8593</v>
      </c>
      <c r="H8">
        <v>9084</v>
      </c>
      <c r="I8">
        <v>9460</v>
      </c>
      <c r="J8">
        <v>9656</v>
      </c>
      <c r="K8">
        <v>10096</v>
      </c>
      <c r="L8">
        <v>10529</v>
      </c>
      <c r="M8">
        <v>11058</v>
      </c>
      <c r="N8">
        <v>11304</v>
      </c>
      <c r="O8">
        <v>11544</v>
      </c>
      <c r="P8">
        <v>11625</v>
      </c>
      <c r="Q8">
        <v>11898</v>
      </c>
      <c r="R8">
        <v>12174</v>
      </c>
      <c r="S8">
        <v>12608</v>
      </c>
      <c r="T8">
        <v>12991</v>
      </c>
      <c r="U8">
        <v>13318</v>
      </c>
      <c r="V8">
        <v>13671</v>
      </c>
      <c r="W8">
        <v>14011</v>
      </c>
      <c r="X8">
        <v>14627</v>
      </c>
      <c r="Y8">
        <v>14879</v>
      </c>
      <c r="Z8">
        <v>15393</v>
      </c>
      <c r="AA8">
        <v>15927</v>
      </c>
      <c r="AB8">
        <v>16692</v>
      </c>
      <c r="AC8">
        <v>17333</v>
      </c>
      <c r="AD8">
        <v>18035</v>
      </c>
      <c r="AE8">
        <v>18886</v>
      </c>
      <c r="AF8">
        <v>19157</v>
      </c>
      <c r="AG8">
        <v>19090</v>
      </c>
      <c r="AH8">
        <v>20337</v>
      </c>
      <c r="AI8">
        <v>21097</v>
      </c>
      <c r="AJ8">
        <v>21505</v>
      </c>
      <c r="AK8">
        <v>22165</v>
      </c>
      <c r="AL8">
        <v>20430</v>
      </c>
    </row>
    <row r="9" spans="1:38" x14ac:dyDescent="0.25">
      <c r="B9" t="s">
        <v>29</v>
      </c>
      <c r="C9" t="s">
        <v>44</v>
      </c>
      <c r="D9">
        <v>684</v>
      </c>
      <c r="E9">
        <v>779</v>
      </c>
      <c r="F9">
        <v>866</v>
      </c>
      <c r="G9">
        <v>982</v>
      </c>
      <c r="H9">
        <v>1197</v>
      </c>
      <c r="I9">
        <v>1426</v>
      </c>
      <c r="J9">
        <v>1518</v>
      </c>
      <c r="K9">
        <v>1654</v>
      </c>
      <c r="L9">
        <v>1795</v>
      </c>
      <c r="M9">
        <v>1843</v>
      </c>
      <c r="N9">
        <v>1909</v>
      </c>
      <c r="O9">
        <v>1996</v>
      </c>
      <c r="P9">
        <v>2016</v>
      </c>
      <c r="Q9">
        <v>2082</v>
      </c>
      <c r="R9">
        <v>2125</v>
      </c>
      <c r="S9">
        <v>2210</v>
      </c>
      <c r="T9">
        <v>2292</v>
      </c>
      <c r="U9">
        <v>2271</v>
      </c>
      <c r="V9">
        <v>2316</v>
      </c>
      <c r="W9">
        <v>2393</v>
      </c>
      <c r="X9">
        <v>2450</v>
      </c>
      <c r="Y9">
        <v>2517</v>
      </c>
      <c r="Z9">
        <v>2546</v>
      </c>
      <c r="AA9">
        <v>2518</v>
      </c>
      <c r="AB9">
        <v>2619</v>
      </c>
      <c r="AC9">
        <v>2625</v>
      </c>
      <c r="AD9">
        <v>2660</v>
      </c>
      <c r="AE9">
        <v>2608</v>
      </c>
      <c r="AF9">
        <v>2597</v>
      </c>
      <c r="AG9">
        <v>2560</v>
      </c>
      <c r="AH9">
        <v>2630</v>
      </c>
      <c r="AI9">
        <v>2518</v>
      </c>
      <c r="AJ9">
        <v>2345</v>
      </c>
      <c r="AK9">
        <v>2364</v>
      </c>
      <c r="AL9">
        <v>2407</v>
      </c>
    </row>
    <row r="10" spans="1:38" x14ac:dyDescent="0.25">
      <c r="B10" t="s">
        <v>30</v>
      </c>
      <c r="C10" t="s">
        <v>44</v>
      </c>
      <c r="D10">
        <v>1754</v>
      </c>
      <c r="E10">
        <v>1779</v>
      </c>
      <c r="F10">
        <v>1833</v>
      </c>
      <c r="G10">
        <v>1918</v>
      </c>
      <c r="H10">
        <v>1985</v>
      </c>
      <c r="I10">
        <v>2006</v>
      </c>
      <c r="J10">
        <v>2051</v>
      </c>
      <c r="K10">
        <v>2061</v>
      </c>
      <c r="L10">
        <v>2141</v>
      </c>
      <c r="M10">
        <v>2177</v>
      </c>
      <c r="N10">
        <v>2279</v>
      </c>
      <c r="O10">
        <v>2328</v>
      </c>
      <c r="P10">
        <v>2346</v>
      </c>
      <c r="Q10">
        <v>2477</v>
      </c>
      <c r="R10">
        <v>2507</v>
      </c>
      <c r="S10">
        <v>2633</v>
      </c>
      <c r="T10">
        <v>2675</v>
      </c>
      <c r="U10">
        <v>2746</v>
      </c>
      <c r="V10">
        <v>2763</v>
      </c>
      <c r="W10">
        <v>2820</v>
      </c>
      <c r="X10">
        <v>2872</v>
      </c>
      <c r="Y10">
        <v>2832</v>
      </c>
      <c r="Z10">
        <v>2901</v>
      </c>
      <c r="AA10">
        <v>2935</v>
      </c>
      <c r="AB10">
        <v>3142</v>
      </c>
      <c r="AC10">
        <v>3297</v>
      </c>
      <c r="AD10">
        <v>3448</v>
      </c>
      <c r="AE10">
        <v>3547</v>
      </c>
      <c r="AF10">
        <v>3736</v>
      </c>
      <c r="AG10">
        <v>3877</v>
      </c>
      <c r="AH10">
        <v>4178</v>
      </c>
      <c r="AI10">
        <v>4411</v>
      </c>
      <c r="AJ10">
        <v>4710</v>
      </c>
      <c r="AK10">
        <v>5034</v>
      </c>
      <c r="AL10">
        <v>3575</v>
      </c>
    </row>
    <row r="11" spans="1:38" x14ac:dyDescent="0.25">
      <c r="B11" t="s">
        <v>31</v>
      </c>
      <c r="C11" t="s">
        <v>44</v>
      </c>
      <c r="D11">
        <v>1723</v>
      </c>
      <c r="E11">
        <v>1747</v>
      </c>
      <c r="F11">
        <v>1790</v>
      </c>
      <c r="G11">
        <v>1872</v>
      </c>
      <c r="H11">
        <v>1934</v>
      </c>
      <c r="I11">
        <v>1952</v>
      </c>
      <c r="J11">
        <v>1992</v>
      </c>
      <c r="K11">
        <v>1996</v>
      </c>
      <c r="L11">
        <v>2073</v>
      </c>
      <c r="M11">
        <v>2060</v>
      </c>
      <c r="N11">
        <v>2144</v>
      </c>
      <c r="O11">
        <v>2183</v>
      </c>
      <c r="P11">
        <v>2188</v>
      </c>
      <c r="Q11">
        <v>2314</v>
      </c>
      <c r="R11">
        <v>2337</v>
      </c>
      <c r="S11">
        <v>2453</v>
      </c>
      <c r="T11">
        <v>2490</v>
      </c>
      <c r="U11">
        <v>2546</v>
      </c>
      <c r="V11">
        <v>2551</v>
      </c>
      <c r="W11">
        <v>2592</v>
      </c>
      <c r="X11">
        <v>2623</v>
      </c>
      <c r="Y11">
        <v>2568</v>
      </c>
      <c r="Z11">
        <v>2606</v>
      </c>
      <c r="AA11">
        <v>2617</v>
      </c>
      <c r="AB11">
        <v>2787</v>
      </c>
      <c r="AC11">
        <v>2906</v>
      </c>
      <c r="AD11">
        <v>3012</v>
      </c>
      <c r="AE11">
        <v>3052</v>
      </c>
      <c r="AF11">
        <v>3180</v>
      </c>
      <c r="AG11">
        <v>3233</v>
      </c>
      <c r="AH11">
        <v>3404</v>
      </c>
      <c r="AI11">
        <v>3466</v>
      </c>
      <c r="AJ11">
        <v>3632</v>
      </c>
      <c r="AK11">
        <v>3761</v>
      </c>
      <c r="AL11">
        <v>3575</v>
      </c>
    </row>
    <row r="12" spans="1:38" x14ac:dyDescent="0.25">
      <c r="B12" t="s">
        <v>32</v>
      </c>
      <c r="C12" t="s">
        <v>44</v>
      </c>
      <c r="D12">
        <v>31</v>
      </c>
      <c r="E12">
        <v>33</v>
      </c>
      <c r="F12">
        <v>43</v>
      </c>
      <c r="G12">
        <v>46</v>
      </c>
      <c r="H12">
        <v>52</v>
      </c>
      <c r="I12">
        <v>54</v>
      </c>
      <c r="J12">
        <v>59</v>
      </c>
      <c r="K12">
        <v>65</v>
      </c>
      <c r="L12">
        <v>68</v>
      </c>
      <c r="M12">
        <v>117</v>
      </c>
      <c r="N12">
        <v>135</v>
      </c>
      <c r="O12">
        <v>145</v>
      </c>
      <c r="P12">
        <v>158</v>
      </c>
      <c r="Q12">
        <v>163</v>
      </c>
      <c r="R12">
        <v>171</v>
      </c>
      <c r="S12">
        <v>179</v>
      </c>
      <c r="T12">
        <v>185</v>
      </c>
      <c r="U12">
        <v>200</v>
      </c>
      <c r="V12">
        <v>212</v>
      </c>
      <c r="W12">
        <v>227</v>
      </c>
      <c r="X12">
        <v>249</v>
      </c>
      <c r="Y12">
        <v>264</v>
      </c>
      <c r="Z12">
        <v>295</v>
      </c>
      <c r="AA12">
        <v>319</v>
      </c>
      <c r="AB12">
        <v>354</v>
      </c>
      <c r="AC12">
        <v>391</v>
      </c>
      <c r="AD12">
        <v>436</v>
      </c>
      <c r="AE12">
        <v>495</v>
      </c>
      <c r="AF12">
        <v>556</v>
      </c>
      <c r="AG12">
        <v>643</v>
      </c>
      <c r="AH12">
        <v>774</v>
      </c>
      <c r="AI12">
        <v>944</v>
      </c>
      <c r="AJ12">
        <v>1078</v>
      </c>
      <c r="AK12">
        <v>1273</v>
      </c>
    </row>
    <row r="13" spans="1:38" x14ac:dyDescent="0.25">
      <c r="B13" t="s">
        <v>33</v>
      </c>
      <c r="C13" t="s">
        <v>44</v>
      </c>
      <c r="D13">
        <v>13</v>
      </c>
      <c r="E13">
        <v>15</v>
      </c>
      <c r="F13">
        <v>16</v>
      </c>
      <c r="G13">
        <v>18</v>
      </c>
      <c r="H13">
        <v>20</v>
      </c>
      <c r="I13">
        <v>22</v>
      </c>
      <c r="J13">
        <v>25</v>
      </c>
      <c r="K13">
        <v>27</v>
      </c>
      <c r="L13">
        <v>27</v>
      </c>
      <c r="M13">
        <v>33</v>
      </c>
      <c r="N13">
        <v>36</v>
      </c>
      <c r="O13">
        <v>37</v>
      </c>
      <c r="P13">
        <v>38</v>
      </c>
      <c r="Q13">
        <v>39</v>
      </c>
      <c r="R13">
        <v>39</v>
      </c>
      <c r="S13">
        <v>38</v>
      </c>
      <c r="T13">
        <v>41</v>
      </c>
      <c r="U13">
        <v>42</v>
      </c>
      <c r="V13">
        <v>45</v>
      </c>
      <c r="W13">
        <v>48</v>
      </c>
      <c r="X13">
        <v>52</v>
      </c>
      <c r="Y13">
        <v>51</v>
      </c>
      <c r="Z13">
        <v>52</v>
      </c>
      <c r="AA13">
        <v>54</v>
      </c>
      <c r="AB13">
        <v>56</v>
      </c>
      <c r="AC13">
        <v>57</v>
      </c>
      <c r="AD13">
        <v>58</v>
      </c>
      <c r="AE13">
        <v>61</v>
      </c>
      <c r="AF13">
        <v>63</v>
      </c>
      <c r="AG13">
        <v>66</v>
      </c>
      <c r="AH13">
        <v>66</v>
      </c>
      <c r="AI13">
        <v>67</v>
      </c>
      <c r="AJ13">
        <v>69</v>
      </c>
      <c r="AK13">
        <v>70</v>
      </c>
    </row>
    <row r="14" spans="1:38" x14ac:dyDescent="0.25">
      <c r="B14" t="s">
        <v>15</v>
      </c>
      <c r="C14" t="s">
        <v>44</v>
      </c>
      <c r="G14" t="s">
        <v>38</v>
      </c>
      <c r="H14" t="s">
        <v>38</v>
      </c>
      <c r="I14" t="s">
        <v>38</v>
      </c>
      <c r="J14">
        <v>0.1</v>
      </c>
      <c r="K14">
        <v>0.2</v>
      </c>
      <c r="L14">
        <v>0.3</v>
      </c>
      <c r="M14">
        <v>2.6</v>
      </c>
      <c r="N14">
        <v>3.5</v>
      </c>
      <c r="O14">
        <v>4.0999999999999996</v>
      </c>
      <c r="P14">
        <v>4.5999999999999996</v>
      </c>
      <c r="Q14">
        <v>5.6</v>
      </c>
      <c r="R14">
        <v>7.3</v>
      </c>
      <c r="S14">
        <v>7.9</v>
      </c>
      <c r="T14">
        <v>9.3000000000000007</v>
      </c>
      <c r="U14">
        <v>12</v>
      </c>
      <c r="V14">
        <v>16</v>
      </c>
      <c r="W14">
        <v>21</v>
      </c>
      <c r="X14">
        <v>31</v>
      </c>
      <c r="Y14">
        <v>38</v>
      </c>
      <c r="Z14">
        <v>53</v>
      </c>
      <c r="AA14">
        <v>64</v>
      </c>
      <c r="AB14">
        <v>84</v>
      </c>
      <c r="AC14">
        <v>104</v>
      </c>
      <c r="AD14">
        <v>132</v>
      </c>
      <c r="AE14">
        <v>171</v>
      </c>
      <c r="AF14">
        <v>220</v>
      </c>
      <c r="AG14">
        <v>276</v>
      </c>
      <c r="AH14">
        <v>342</v>
      </c>
      <c r="AI14">
        <v>446</v>
      </c>
      <c r="AJ14">
        <v>519</v>
      </c>
      <c r="AK14">
        <v>645</v>
      </c>
    </row>
    <row r="15" spans="1:38" x14ac:dyDescent="0.25">
      <c r="B15" t="s">
        <v>34</v>
      </c>
      <c r="C15" t="s">
        <v>44</v>
      </c>
      <c r="D15">
        <v>0.5</v>
      </c>
      <c r="E15">
        <v>0.5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0.8</v>
      </c>
      <c r="N15">
        <v>1</v>
      </c>
      <c r="O15">
        <v>1.1000000000000001</v>
      </c>
      <c r="P15">
        <v>1.1000000000000001</v>
      </c>
      <c r="Q15">
        <v>1.1000000000000001</v>
      </c>
      <c r="R15">
        <v>1.2</v>
      </c>
      <c r="S15">
        <v>1.2</v>
      </c>
      <c r="T15">
        <v>1.3</v>
      </c>
      <c r="U15">
        <v>1.3</v>
      </c>
      <c r="V15">
        <v>1.4</v>
      </c>
      <c r="W15">
        <v>1.5</v>
      </c>
      <c r="X15">
        <v>1.7</v>
      </c>
      <c r="Y15">
        <v>1.9</v>
      </c>
      <c r="Z15">
        <v>2.2999999999999998</v>
      </c>
      <c r="AA15">
        <v>2.7</v>
      </c>
      <c r="AB15">
        <v>3.3</v>
      </c>
      <c r="AC15">
        <v>4.4000000000000004</v>
      </c>
      <c r="AD15">
        <v>5.7</v>
      </c>
      <c r="AE15">
        <v>7.5</v>
      </c>
      <c r="AF15">
        <v>12</v>
      </c>
      <c r="AG15">
        <v>20</v>
      </c>
      <c r="AH15">
        <v>32</v>
      </c>
      <c r="AI15">
        <v>61</v>
      </c>
      <c r="AJ15">
        <v>96</v>
      </c>
      <c r="AK15">
        <v>135</v>
      </c>
    </row>
    <row r="16" spans="1:38" x14ac:dyDescent="0.25">
      <c r="B16" t="s">
        <v>35</v>
      </c>
    </row>
    <row r="17" spans="2:38" x14ac:dyDescent="0.25">
      <c r="B17" t="s">
        <v>36</v>
      </c>
      <c r="C17" t="s">
        <v>44</v>
      </c>
      <c r="D17">
        <v>0.5</v>
      </c>
      <c r="E17">
        <v>0.5</v>
      </c>
      <c r="F17">
        <v>0.6</v>
      </c>
      <c r="G17">
        <v>0.6</v>
      </c>
      <c r="H17">
        <v>0.6</v>
      </c>
      <c r="I17">
        <v>0.6</v>
      </c>
      <c r="J17">
        <v>0.6</v>
      </c>
      <c r="K17">
        <v>0.6</v>
      </c>
      <c r="L17">
        <v>0.6</v>
      </c>
      <c r="M17">
        <v>0.6</v>
      </c>
      <c r="N17">
        <v>0.6</v>
      </c>
      <c r="O17">
        <v>0.6</v>
      </c>
      <c r="P17">
        <v>0.6</v>
      </c>
      <c r="Q17">
        <v>0.6</v>
      </c>
      <c r="R17">
        <v>0.6</v>
      </c>
      <c r="S17">
        <v>0.6</v>
      </c>
      <c r="T17">
        <v>0.6</v>
      </c>
      <c r="U17">
        <v>0.6</v>
      </c>
      <c r="V17">
        <v>0.6</v>
      </c>
      <c r="W17">
        <v>0.6</v>
      </c>
      <c r="X17">
        <v>0.6</v>
      </c>
      <c r="Y17">
        <v>0.6</v>
      </c>
      <c r="Z17">
        <v>0.6</v>
      </c>
      <c r="AA17">
        <v>0.6</v>
      </c>
      <c r="AB17">
        <v>0.5</v>
      </c>
      <c r="AC17">
        <v>0.6</v>
      </c>
      <c r="AD17">
        <v>0.5</v>
      </c>
      <c r="AE17">
        <v>0.5</v>
      </c>
      <c r="AF17">
        <v>0.5</v>
      </c>
      <c r="AG17">
        <v>0.5</v>
      </c>
      <c r="AH17">
        <v>0.6</v>
      </c>
      <c r="AI17">
        <v>0.6</v>
      </c>
      <c r="AJ17">
        <v>0.5</v>
      </c>
      <c r="AK17">
        <v>0.9</v>
      </c>
    </row>
    <row r="18" spans="2:38" x14ac:dyDescent="0.25">
      <c r="B18" t="s">
        <v>37</v>
      </c>
      <c r="C18" t="s">
        <v>44</v>
      </c>
      <c r="G18" t="s">
        <v>38</v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>
        <v>0.3</v>
      </c>
      <c r="N18">
        <v>0.4</v>
      </c>
      <c r="O18">
        <v>0.5</v>
      </c>
      <c r="P18">
        <v>0.5</v>
      </c>
      <c r="Q18">
        <v>0.6</v>
      </c>
      <c r="R18">
        <v>0.6</v>
      </c>
      <c r="S18">
        <v>0.6</v>
      </c>
      <c r="T18">
        <v>0.7</v>
      </c>
      <c r="U18">
        <v>0.7</v>
      </c>
      <c r="V18">
        <v>0.8</v>
      </c>
      <c r="W18">
        <v>0.9</v>
      </c>
      <c r="X18">
        <v>1.1000000000000001</v>
      </c>
      <c r="Y18">
        <v>1.4</v>
      </c>
      <c r="Z18">
        <v>1.7</v>
      </c>
      <c r="AA18">
        <v>2.1</v>
      </c>
      <c r="AB18">
        <v>2.7</v>
      </c>
      <c r="AC18">
        <v>3.8</v>
      </c>
      <c r="AD18">
        <v>5.2</v>
      </c>
      <c r="AE18">
        <v>6.9</v>
      </c>
      <c r="AF18">
        <v>11</v>
      </c>
      <c r="AG18">
        <v>19</v>
      </c>
      <c r="AH18">
        <v>31</v>
      </c>
      <c r="AI18">
        <v>60</v>
      </c>
      <c r="AJ18">
        <v>95</v>
      </c>
      <c r="AK18" s="20">
        <v>134</v>
      </c>
    </row>
    <row r="19" spans="2:38" x14ac:dyDescent="0.25">
      <c r="B19" t="s">
        <v>39</v>
      </c>
      <c r="C19" t="s">
        <v>44</v>
      </c>
      <c r="D19">
        <v>17</v>
      </c>
      <c r="E19">
        <v>17</v>
      </c>
      <c r="F19">
        <v>27</v>
      </c>
      <c r="G19">
        <v>28</v>
      </c>
      <c r="H19">
        <v>31</v>
      </c>
      <c r="I19">
        <v>31</v>
      </c>
      <c r="J19">
        <v>34</v>
      </c>
      <c r="K19">
        <v>38</v>
      </c>
      <c r="L19">
        <v>40</v>
      </c>
      <c r="M19">
        <v>81</v>
      </c>
      <c r="N19">
        <v>94</v>
      </c>
      <c r="O19">
        <v>103</v>
      </c>
      <c r="P19">
        <v>114</v>
      </c>
      <c r="Q19">
        <v>117</v>
      </c>
      <c r="R19">
        <v>123</v>
      </c>
      <c r="S19">
        <v>132</v>
      </c>
      <c r="T19">
        <v>134</v>
      </c>
      <c r="U19">
        <v>144</v>
      </c>
      <c r="V19">
        <v>149</v>
      </c>
      <c r="W19">
        <v>157</v>
      </c>
      <c r="X19">
        <v>164</v>
      </c>
      <c r="Y19">
        <v>173</v>
      </c>
      <c r="Z19">
        <v>188</v>
      </c>
      <c r="AA19">
        <v>198</v>
      </c>
      <c r="AB19">
        <v>211</v>
      </c>
      <c r="AC19">
        <v>226</v>
      </c>
      <c r="AD19">
        <v>241</v>
      </c>
      <c r="AE19">
        <v>257</v>
      </c>
      <c r="AF19">
        <v>260</v>
      </c>
      <c r="AG19">
        <v>282</v>
      </c>
      <c r="AH19">
        <v>335</v>
      </c>
      <c r="AI19">
        <v>369</v>
      </c>
      <c r="AJ19">
        <v>393</v>
      </c>
      <c r="AK19">
        <v>424</v>
      </c>
    </row>
    <row r="20" spans="2:38" x14ac:dyDescent="0.25">
      <c r="B20" t="s">
        <v>40</v>
      </c>
      <c r="C20" t="s">
        <v>44</v>
      </c>
      <c r="D20">
        <v>5589</v>
      </c>
      <c r="E20">
        <v>5526</v>
      </c>
      <c r="F20">
        <v>5564</v>
      </c>
      <c r="G20">
        <v>5703</v>
      </c>
      <c r="H20">
        <v>5913</v>
      </c>
      <c r="I20">
        <v>6041</v>
      </c>
      <c r="J20">
        <v>6101</v>
      </c>
      <c r="K20">
        <v>6396</v>
      </c>
      <c r="L20">
        <v>6610</v>
      </c>
      <c r="M20">
        <v>7052</v>
      </c>
      <c r="N20">
        <v>7136</v>
      </c>
      <c r="O20">
        <v>7238</v>
      </c>
      <c r="P20">
        <v>7281</v>
      </c>
      <c r="Q20">
        <v>7359</v>
      </c>
      <c r="R20">
        <v>7561</v>
      </c>
      <c r="S20">
        <v>7787</v>
      </c>
      <c r="T20">
        <v>8048</v>
      </c>
      <c r="U20">
        <v>8327</v>
      </c>
      <c r="V20">
        <v>8617</v>
      </c>
      <c r="W20">
        <v>8824</v>
      </c>
      <c r="X20">
        <v>9333</v>
      </c>
      <c r="Y20">
        <v>9559</v>
      </c>
      <c r="Z20">
        <v>9979</v>
      </c>
      <c r="AA20">
        <v>10503</v>
      </c>
      <c r="AB20">
        <v>10960</v>
      </c>
      <c r="AC20">
        <v>11440</v>
      </c>
      <c r="AD20">
        <v>11954</v>
      </c>
      <c r="AE20">
        <v>12760</v>
      </c>
      <c r="AF20">
        <v>12848</v>
      </c>
      <c r="AG20">
        <v>12675</v>
      </c>
      <c r="AH20">
        <v>13555</v>
      </c>
      <c r="AI20">
        <v>14196</v>
      </c>
      <c r="AJ20">
        <v>14477</v>
      </c>
      <c r="AK20">
        <v>14793</v>
      </c>
      <c r="AL20">
        <v>14474</v>
      </c>
    </row>
    <row r="21" spans="2:38" x14ac:dyDescent="0.25">
      <c r="B21" t="s">
        <v>41</v>
      </c>
      <c r="C21" t="s">
        <v>44</v>
      </c>
      <c r="D21">
        <v>-9.8000000000000007</v>
      </c>
      <c r="E21">
        <v>-11</v>
      </c>
      <c r="F21">
        <v>-7.9</v>
      </c>
      <c r="G21">
        <v>-9.6999999999999993</v>
      </c>
      <c r="H21">
        <v>-11</v>
      </c>
      <c r="I21">
        <v>-13</v>
      </c>
      <c r="J21">
        <v>-14</v>
      </c>
      <c r="K21">
        <v>-16</v>
      </c>
      <c r="L21">
        <v>-16</v>
      </c>
      <c r="M21">
        <v>-14</v>
      </c>
      <c r="N21">
        <v>-20</v>
      </c>
      <c r="O21">
        <v>-19</v>
      </c>
      <c r="P21">
        <v>-18</v>
      </c>
      <c r="Q21">
        <v>-20</v>
      </c>
      <c r="R21">
        <v>-19</v>
      </c>
      <c r="S21">
        <v>-22</v>
      </c>
      <c r="T21">
        <v>-23</v>
      </c>
      <c r="U21">
        <v>-26</v>
      </c>
      <c r="V21">
        <v>-25</v>
      </c>
      <c r="W21">
        <v>-26</v>
      </c>
      <c r="X21">
        <v>-28</v>
      </c>
      <c r="Y21">
        <v>-29</v>
      </c>
      <c r="Z21">
        <v>-32</v>
      </c>
      <c r="AA21">
        <v>-30</v>
      </c>
      <c r="AB21">
        <v>-29</v>
      </c>
      <c r="AC21">
        <v>-29</v>
      </c>
      <c r="AD21">
        <v>-27</v>
      </c>
      <c r="AE21">
        <v>-29</v>
      </c>
      <c r="AF21">
        <v>-25</v>
      </c>
      <c r="AG21">
        <v>-22</v>
      </c>
      <c r="AH21">
        <v>-26</v>
      </c>
      <c r="AI21">
        <v>-27</v>
      </c>
      <c r="AJ21">
        <v>-26</v>
      </c>
      <c r="AK21">
        <v>-26</v>
      </c>
      <c r="AL21">
        <v>-25</v>
      </c>
    </row>
  </sheetData>
  <hyperlinks>
    <hyperlink ref="A2" r:id="rId1" location="?ord=CR&amp;cy=2014&amp;v=H&amp;vo=0&amp;so=0&amp;io=0&amp;start=1980&amp;end=2014&amp;vs=INTL.2-12-WORL-BKWH.A&amp;c=00000000000000000000000000000000000000000000000001&amp;pa=00000000000000000000000000000fvu&amp;f=A&amp;ug=g&amp;ct=1&amp;tl_type=p&amp;tl_id=2-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zoomScale="55" zoomScaleNormal="55" workbookViewId="0">
      <selection activeCell="C6" sqref="C6"/>
    </sheetView>
  </sheetViews>
  <sheetFormatPr defaultRowHeight="15" x14ac:dyDescent="0.25"/>
  <cols>
    <col min="1" max="1" width="28.28515625" customWidth="1"/>
    <col min="2" max="2" width="15.42578125" customWidth="1"/>
    <col min="3" max="3" width="17.5703125" customWidth="1"/>
    <col min="4" max="4" width="16.140625" customWidth="1"/>
    <col min="5" max="5" width="24.28515625" customWidth="1"/>
    <col min="6" max="6" width="20.7109375" customWidth="1"/>
    <col min="7" max="7" width="15.42578125" customWidth="1"/>
    <col min="8" max="8" width="7.5703125" customWidth="1"/>
    <col min="9" max="9" width="23.28515625" customWidth="1"/>
  </cols>
  <sheetData>
    <row r="2" spans="1:9" x14ac:dyDescent="0.25">
      <c r="A2" s="109" t="s">
        <v>58</v>
      </c>
      <c r="B2" s="110"/>
      <c r="C2" s="110"/>
      <c r="D2" s="110"/>
      <c r="E2" s="110"/>
      <c r="F2" s="110"/>
      <c r="G2" s="110"/>
      <c r="H2" s="110"/>
      <c r="I2" s="110"/>
    </row>
    <row r="3" spans="1:9" ht="15" customHeight="1" x14ac:dyDescent="0.25">
      <c r="A3" s="48"/>
      <c r="B3" s="48"/>
      <c r="C3" s="111" t="s">
        <v>59</v>
      </c>
      <c r="D3" s="111"/>
      <c r="E3" s="111"/>
      <c r="F3" s="111"/>
      <c r="G3" s="111"/>
      <c r="H3" s="111"/>
      <c r="I3" s="111"/>
    </row>
    <row r="4" spans="1:9" x14ac:dyDescent="0.25">
      <c r="A4" s="48" t="s">
        <v>60</v>
      </c>
      <c r="B4" s="48" t="s">
        <v>61</v>
      </c>
      <c r="C4" s="48" t="s">
        <v>62</v>
      </c>
      <c r="D4" s="48" t="s">
        <v>63</v>
      </c>
      <c r="E4" s="48" t="s">
        <v>64</v>
      </c>
      <c r="F4" s="48" t="s">
        <v>65</v>
      </c>
      <c r="G4" s="48" t="s">
        <v>66</v>
      </c>
      <c r="H4" s="48" t="s">
        <v>67</v>
      </c>
      <c r="I4" s="48" t="s">
        <v>68</v>
      </c>
    </row>
    <row r="5" spans="1:9" x14ac:dyDescent="0.25">
      <c r="A5" s="108" t="s">
        <v>69</v>
      </c>
      <c r="B5" s="108"/>
      <c r="C5" s="108"/>
      <c r="D5" s="108"/>
      <c r="E5" s="108"/>
      <c r="F5" s="108"/>
      <c r="G5" s="108"/>
      <c r="H5" s="108"/>
      <c r="I5" s="108"/>
    </row>
    <row r="6" spans="1:9" x14ac:dyDescent="0.25">
      <c r="A6" s="49" t="s">
        <v>70</v>
      </c>
      <c r="B6" s="49">
        <v>85</v>
      </c>
      <c r="C6" s="49">
        <v>60.4</v>
      </c>
      <c r="D6" s="49">
        <v>4.2</v>
      </c>
      <c r="E6" s="49">
        <v>29.4</v>
      </c>
      <c r="F6" s="49">
        <v>1.2</v>
      </c>
      <c r="G6" s="49">
        <v>95.1</v>
      </c>
      <c r="H6" s="49"/>
      <c r="I6" s="49"/>
    </row>
    <row r="7" spans="1:9" x14ac:dyDescent="0.25">
      <c r="A7" s="49" t="s">
        <v>71</v>
      </c>
      <c r="B7" s="49">
        <v>85</v>
      </c>
      <c r="C7" s="49">
        <v>76.900000000000006</v>
      </c>
      <c r="D7" s="49">
        <v>6.9</v>
      </c>
      <c r="E7" s="49">
        <v>30.7</v>
      </c>
      <c r="F7" s="49">
        <v>1.2</v>
      </c>
      <c r="G7" s="49">
        <v>115.7</v>
      </c>
      <c r="H7" s="49"/>
      <c r="I7" s="49"/>
    </row>
    <row r="8" spans="1:9" x14ac:dyDescent="0.25">
      <c r="A8" s="49" t="s">
        <v>72</v>
      </c>
      <c r="B8" s="49">
        <v>85</v>
      </c>
      <c r="C8" s="49">
        <v>97.3</v>
      </c>
      <c r="D8" s="49">
        <v>9.8000000000000007</v>
      </c>
      <c r="E8" s="49">
        <v>36.1</v>
      </c>
      <c r="F8" s="49">
        <v>1.2</v>
      </c>
      <c r="G8" s="49">
        <v>144.4</v>
      </c>
      <c r="H8" s="49"/>
      <c r="I8" s="49"/>
    </row>
    <row r="9" spans="1:9" x14ac:dyDescent="0.25">
      <c r="A9" s="108" t="s">
        <v>73</v>
      </c>
      <c r="B9" s="108"/>
      <c r="C9" s="108"/>
      <c r="D9" s="108"/>
      <c r="E9" s="108"/>
      <c r="F9" s="108"/>
      <c r="G9" s="108"/>
      <c r="H9" s="108"/>
      <c r="I9" s="108"/>
    </row>
    <row r="10" spans="1:9" x14ac:dyDescent="0.25">
      <c r="A10" s="49" t="s">
        <v>74</v>
      </c>
      <c r="B10" s="49">
        <v>87</v>
      </c>
      <c r="C10" s="49">
        <v>14.4</v>
      </c>
      <c r="D10" s="49">
        <v>1.7</v>
      </c>
      <c r="E10" s="49">
        <v>57.8</v>
      </c>
      <c r="F10" s="49">
        <v>1.2</v>
      </c>
      <c r="G10" s="49">
        <v>75.2</v>
      </c>
      <c r="H10" s="49"/>
      <c r="I10" s="49"/>
    </row>
    <row r="11" spans="1:9" x14ac:dyDescent="0.25">
      <c r="A11" s="49" t="s">
        <v>75</v>
      </c>
      <c r="B11" s="49">
        <v>87</v>
      </c>
      <c r="C11" s="49">
        <v>15.9</v>
      </c>
      <c r="D11" s="49">
        <v>2</v>
      </c>
      <c r="E11" s="49">
        <v>53.6</v>
      </c>
      <c r="F11" s="49">
        <v>1.2</v>
      </c>
      <c r="G11" s="49">
        <v>72.599999999999994</v>
      </c>
      <c r="H11" s="49"/>
      <c r="I11" s="49"/>
    </row>
    <row r="12" spans="1:9" x14ac:dyDescent="0.25">
      <c r="A12" s="49" t="s">
        <v>76</v>
      </c>
      <c r="B12" s="49">
        <v>87</v>
      </c>
      <c r="C12" s="49">
        <v>30.1</v>
      </c>
      <c r="D12" s="49">
        <v>4.2</v>
      </c>
      <c r="E12" s="49">
        <v>64.7</v>
      </c>
      <c r="F12" s="49">
        <v>1.2</v>
      </c>
      <c r="G12" s="49">
        <v>100.2</v>
      </c>
      <c r="H12" s="49"/>
      <c r="I12" s="49"/>
    </row>
    <row r="13" spans="1:9" x14ac:dyDescent="0.25">
      <c r="A13" s="49" t="s">
        <v>77</v>
      </c>
      <c r="B13" s="49">
        <v>30</v>
      </c>
      <c r="C13" s="49">
        <v>40.700000000000003</v>
      </c>
      <c r="D13" s="49">
        <v>2.8</v>
      </c>
      <c r="E13" s="49">
        <v>94.6</v>
      </c>
      <c r="F13" s="49">
        <v>3.5</v>
      </c>
      <c r="G13" s="49">
        <v>141.5</v>
      </c>
      <c r="H13" s="49"/>
      <c r="I13" s="49"/>
    </row>
    <row r="14" spans="1:9" x14ac:dyDescent="0.25">
      <c r="A14" s="49" t="s">
        <v>78</v>
      </c>
      <c r="B14" s="49">
        <v>30</v>
      </c>
      <c r="C14" s="49">
        <v>27.8</v>
      </c>
      <c r="D14" s="49">
        <v>2.7</v>
      </c>
      <c r="E14" s="49">
        <v>79.599999999999994</v>
      </c>
      <c r="F14" s="49">
        <v>3.5</v>
      </c>
      <c r="G14" s="49">
        <v>113.5</v>
      </c>
      <c r="H14" s="49"/>
      <c r="I14" s="49"/>
    </row>
    <row r="15" spans="1:9" x14ac:dyDescent="0.25">
      <c r="A15" s="49" t="s">
        <v>79</v>
      </c>
      <c r="B15" s="49">
        <v>90</v>
      </c>
      <c r="C15" s="49">
        <v>70.099999999999994</v>
      </c>
      <c r="D15" s="49">
        <v>11.8</v>
      </c>
      <c r="E15" s="49">
        <v>12.2</v>
      </c>
      <c r="F15" s="49">
        <v>1.1000000000000001</v>
      </c>
      <c r="G15" s="49">
        <v>95.2</v>
      </c>
      <c r="H15" s="49"/>
      <c r="I15" s="49"/>
    </row>
    <row r="16" spans="1:9" x14ac:dyDescent="0.25">
      <c r="A16" s="49" t="s">
        <v>33</v>
      </c>
      <c r="B16" s="49">
        <v>92</v>
      </c>
      <c r="C16" s="49">
        <v>34.1</v>
      </c>
      <c r="D16" s="49">
        <v>12.3</v>
      </c>
      <c r="E16" s="49">
        <v>0</v>
      </c>
      <c r="F16" s="49">
        <v>1.4</v>
      </c>
      <c r="G16" s="49">
        <v>47.8</v>
      </c>
      <c r="H16" s="49">
        <v>-3.4</v>
      </c>
      <c r="I16" s="49">
        <v>44.4</v>
      </c>
    </row>
    <row r="17" spans="1:9" x14ac:dyDescent="0.25">
      <c r="A17" s="49" t="s">
        <v>16</v>
      </c>
      <c r="B17" s="49">
        <v>83</v>
      </c>
      <c r="C17" s="49">
        <v>47.1</v>
      </c>
      <c r="D17" s="49">
        <v>14.5</v>
      </c>
      <c r="E17" s="49">
        <v>37.6</v>
      </c>
      <c r="F17" s="49">
        <v>1.2</v>
      </c>
      <c r="G17" s="49">
        <v>100.5</v>
      </c>
      <c r="H17" s="49"/>
      <c r="I17" s="49"/>
    </row>
    <row r="18" spans="1:9" x14ac:dyDescent="0.25">
      <c r="A18" s="108" t="s">
        <v>80</v>
      </c>
      <c r="B18" s="108"/>
      <c r="C18" s="108"/>
      <c r="D18" s="108"/>
      <c r="E18" s="108"/>
      <c r="F18" s="108"/>
      <c r="G18" s="108"/>
      <c r="H18" s="108"/>
      <c r="I18" s="108"/>
    </row>
    <row r="19" spans="1:9" x14ac:dyDescent="0.25">
      <c r="A19" s="49" t="s">
        <v>15</v>
      </c>
      <c r="B19" s="49">
        <v>36</v>
      </c>
      <c r="C19" s="49">
        <v>57.7</v>
      </c>
      <c r="D19" s="49">
        <v>12.8</v>
      </c>
      <c r="E19" s="49">
        <v>0</v>
      </c>
      <c r="F19" s="49">
        <v>3.1</v>
      </c>
      <c r="G19" s="49">
        <v>73.599999999999994</v>
      </c>
      <c r="H19" s="49"/>
      <c r="I19" s="49"/>
    </row>
    <row r="20" spans="1:9" x14ac:dyDescent="0.25">
      <c r="A20" s="49" t="s">
        <v>81</v>
      </c>
      <c r="B20" s="49">
        <v>38</v>
      </c>
      <c r="C20" s="49">
        <v>168.6</v>
      </c>
      <c r="D20" s="49">
        <v>22.5</v>
      </c>
      <c r="E20" s="49">
        <v>0</v>
      </c>
      <c r="F20" s="49">
        <v>5.8</v>
      </c>
      <c r="G20" s="49">
        <v>196.9</v>
      </c>
      <c r="H20" s="49"/>
      <c r="I20" s="49"/>
    </row>
    <row r="21" spans="1:9" x14ac:dyDescent="0.25">
      <c r="A21" s="49" t="s">
        <v>82</v>
      </c>
      <c r="B21" s="49">
        <v>25</v>
      </c>
      <c r="C21" s="49">
        <v>109.8</v>
      </c>
      <c r="D21" s="49">
        <v>11.4</v>
      </c>
      <c r="E21" s="49">
        <v>0</v>
      </c>
      <c r="F21" s="49">
        <v>4.0999999999999996</v>
      </c>
      <c r="G21" s="49">
        <v>125.3</v>
      </c>
      <c r="H21" s="49">
        <v>-11</v>
      </c>
      <c r="I21" s="49">
        <v>114.3</v>
      </c>
    </row>
    <row r="22" spans="1:9" x14ac:dyDescent="0.25">
      <c r="A22" s="49" t="s">
        <v>83</v>
      </c>
      <c r="B22" s="49">
        <v>20</v>
      </c>
      <c r="C22" s="49">
        <v>191.6</v>
      </c>
      <c r="D22" s="49">
        <v>42.1</v>
      </c>
      <c r="E22" s="49">
        <v>0</v>
      </c>
      <c r="F22" s="49">
        <v>6</v>
      </c>
      <c r="G22" s="49">
        <v>239.7</v>
      </c>
      <c r="H22" s="49">
        <v>-19.2</v>
      </c>
      <c r="I22" s="49">
        <v>220.6</v>
      </c>
    </row>
    <row r="23" spans="1:9" x14ac:dyDescent="0.25">
      <c r="A23" s="49" t="s">
        <v>84</v>
      </c>
      <c r="B23" s="49">
        <v>54</v>
      </c>
      <c r="C23" s="49">
        <v>70.7</v>
      </c>
      <c r="D23" s="49">
        <v>3.9</v>
      </c>
      <c r="E23" s="49">
        <v>7</v>
      </c>
      <c r="F23" s="49">
        <v>2</v>
      </c>
      <c r="G23" s="49">
        <v>83.5</v>
      </c>
      <c r="H23" s="49"/>
      <c r="I23" s="49"/>
    </row>
    <row r="24" spans="1:9" ht="15" customHeight="1" x14ac:dyDescent="0.25">
      <c r="A24" s="107" t="s">
        <v>85</v>
      </c>
      <c r="B24" s="107"/>
      <c r="C24" s="107"/>
      <c r="D24" s="107"/>
      <c r="E24" s="107"/>
      <c r="F24" s="107"/>
      <c r="G24" s="107"/>
      <c r="H24" s="107"/>
      <c r="I24" s="107"/>
    </row>
    <row r="25" spans="1:9" ht="66" customHeight="1" x14ac:dyDescent="0.25">
      <c r="A25" s="107" t="s">
        <v>86</v>
      </c>
      <c r="B25" s="107"/>
      <c r="C25" s="107"/>
      <c r="D25" s="107"/>
      <c r="E25" s="107"/>
      <c r="F25" s="107"/>
      <c r="G25" s="107"/>
      <c r="H25" s="107"/>
      <c r="I25" s="107"/>
    </row>
    <row r="26" spans="1:9" ht="15" customHeight="1" x14ac:dyDescent="0.25">
      <c r="A26" s="107" t="s">
        <v>87</v>
      </c>
      <c r="B26" s="107"/>
      <c r="C26" s="107"/>
      <c r="D26" s="107"/>
      <c r="E26" s="107"/>
      <c r="F26" s="107"/>
      <c r="G26" s="107"/>
      <c r="H26" s="107"/>
      <c r="I26" s="107"/>
    </row>
    <row r="27" spans="1:9" ht="15" customHeight="1" x14ac:dyDescent="0.25">
      <c r="A27" s="107" t="s">
        <v>88</v>
      </c>
      <c r="B27" s="107"/>
      <c r="C27" s="107"/>
      <c r="D27" s="107"/>
      <c r="E27" s="107"/>
      <c r="F27" s="107"/>
      <c r="G27" s="107"/>
      <c r="H27" s="107"/>
      <c r="I27" s="107"/>
    </row>
    <row r="28" spans="1:9" x14ac:dyDescent="0.25">
      <c r="A28" s="108" t="s">
        <v>89</v>
      </c>
      <c r="B28" s="108"/>
      <c r="C28" s="108"/>
      <c r="D28" s="108"/>
      <c r="E28" s="108"/>
      <c r="F28" s="108"/>
      <c r="G28" s="108"/>
      <c r="H28" s="108"/>
      <c r="I28" s="108"/>
    </row>
  </sheetData>
  <mergeCells count="10">
    <mergeCell ref="A25:I25"/>
    <mergeCell ref="A26:I26"/>
    <mergeCell ref="A27:I27"/>
    <mergeCell ref="A28:I28"/>
    <mergeCell ref="A2:I2"/>
    <mergeCell ref="C3:I3"/>
    <mergeCell ref="A5:I5"/>
    <mergeCell ref="A9:I9"/>
    <mergeCell ref="A18:I18"/>
    <mergeCell ref="A2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8" sqref="J18"/>
    </sheetView>
  </sheetViews>
  <sheetFormatPr defaultRowHeight="15" x14ac:dyDescent="0.25"/>
  <sheetData>
    <row r="1" spans="1:11" x14ac:dyDescent="0.25">
      <c r="D1" t="s">
        <v>1</v>
      </c>
      <c r="E1" t="s">
        <v>0</v>
      </c>
      <c r="J1" t="s">
        <v>103</v>
      </c>
      <c r="K1" t="s">
        <v>104</v>
      </c>
    </row>
    <row r="2" spans="1:11" x14ac:dyDescent="0.25">
      <c r="A2" t="s">
        <v>90</v>
      </c>
      <c r="B2" t="s">
        <v>94</v>
      </c>
      <c r="C2" t="s">
        <v>96</v>
      </c>
      <c r="D2">
        <v>1.8759999999999999</v>
      </c>
      <c r="E2">
        <v>1</v>
      </c>
      <c r="J2">
        <v>23309.118999999999</v>
      </c>
      <c r="K2">
        <v>26632.311000000002</v>
      </c>
    </row>
    <row r="3" spans="1:11" x14ac:dyDescent="0.25">
      <c r="A3" t="s">
        <v>91</v>
      </c>
      <c r="B3" t="s">
        <v>95</v>
      </c>
      <c r="C3" t="s">
        <v>97</v>
      </c>
      <c r="D3">
        <v>1273</v>
      </c>
      <c r="I3" t="s">
        <v>111</v>
      </c>
      <c r="J3">
        <v>10838</v>
      </c>
      <c r="K3">
        <v>11530</v>
      </c>
    </row>
    <row r="4" spans="1:11" x14ac:dyDescent="0.25">
      <c r="A4" t="s">
        <v>92</v>
      </c>
      <c r="C4" t="s">
        <v>98</v>
      </c>
      <c r="D4">
        <f>LN(1-0.23)/LN(2)</f>
        <v>-0.37706964907982332</v>
      </c>
      <c r="E4">
        <v>0</v>
      </c>
      <c r="I4" t="s">
        <v>112</v>
      </c>
      <c r="J4">
        <v>12471</v>
      </c>
      <c r="K4">
        <v>15102</v>
      </c>
    </row>
    <row r="5" spans="1:11" x14ac:dyDescent="0.25">
      <c r="A5" t="s">
        <v>93</v>
      </c>
      <c r="B5" t="s">
        <v>94</v>
      </c>
      <c r="C5" t="s">
        <v>99</v>
      </c>
      <c r="D5">
        <v>0</v>
      </c>
      <c r="E5">
        <v>0.45600000000000002</v>
      </c>
    </row>
    <row r="8" spans="1:11" x14ac:dyDescent="0.25">
      <c r="B8" t="s">
        <v>100</v>
      </c>
      <c r="C8" t="s">
        <v>102</v>
      </c>
      <c r="D8" t="s">
        <v>107</v>
      </c>
      <c r="E8" t="s">
        <v>105</v>
      </c>
      <c r="F8" t="s">
        <v>106</v>
      </c>
      <c r="G8" t="s">
        <v>108</v>
      </c>
    </row>
    <row r="10" spans="1:11" x14ac:dyDescent="0.25">
      <c r="A10" t="s">
        <v>101</v>
      </c>
      <c r="B10">
        <f>(D2-1-E5)/E5</f>
        <v>0.92105263157894701</v>
      </c>
      <c r="C10">
        <f>D3*(((1+E5)/(1+E5+E5*B10))^(1/D4)-1)</f>
        <v>1220.1086698217409</v>
      </c>
      <c r="D10">
        <f>D2*((D3+C10)/D3)^D4</f>
        <v>1.4560000000000002</v>
      </c>
      <c r="E10">
        <f>D2*((D3+J2)/D3)^D4</f>
        <v>0.61432771073245895</v>
      </c>
      <c r="F10">
        <f>J2*D2+B10*(K2-J2)*E10</f>
        <v>45608.262840814597</v>
      </c>
      <c r="G10">
        <f>(1+E5-B10)*J2+B10*(1+E5)*K2</f>
        <v>48184.4826208421</v>
      </c>
    </row>
    <row r="11" spans="1:11" x14ac:dyDescent="0.25">
      <c r="A11" t="s">
        <v>109</v>
      </c>
      <c r="B11">
        <v>0.95</v>
      </c>
      <c r="E11">
        <f>E10</f>
        <v>0.61432771073245895</v>
      </c>
      <c r="F11">
        <f>J2*D2+B11*(K2-J2)*E11</f>
        <v>45667.359731000193</v>
      </c>
      <c r="G11">
        <f>(1+E5-B11)*J2+B11*(1+E5)*K2</f>
        <v>48632.226789200009</v>
      </c>
    </row>
    <row r="12" spans="1:11" x14ac:dyDescent="0.25">
      <c r="A12" t="s">
        <v>110</v>
      </c>
      <c r="B12">
        <v>0.9</v>
      </c>
      <c r="E12">
        <f>E11</f>
        <v>0.61432771073245895</v>
      </c>
      <c r="F12">
        <f>J2*D2+B12*(K2-J2)*E12</f>
        <v>45565.283284315978</v>
      </c>
      <c r="G12">
        <f>(1+E5-B12)*J2+B12*(1+E5)*K2</f>
        <v>47858.850498400003</v>
      </c>
    </row>
    <row r="13" spans="1:11" x14ac:dyDescent="0.25">
      <c r="B13">
        <v>0.72916968965596096</v>
      </c>
      <c r="E13">
        <f>E12</f>
        <v>0.61432771073245895</v>
      </c>
      <c r="F13">
        <f>J2*D2+B13*(K2-J2)*E13</f>
        <v>45216.528262998334</v>
      </c>
      <c r="G13">
        <f>(1+E5-B13)*J2+B13*(1+E5)*K2</f>
        <v>45216.528262998283</v>
      </c>
      <c r="H13">
        <f>F13-G13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6"/>
  <sheetViews>
    <sheetView zoomScale="70" zoomScaleNormal="70" workbookViewId="0">
      <selection activeCell="E2" sqref="E2"/>
    </sheetView>
  </sheetViews>
  <sheetFormatPr defaultRowHeight="15" x14ac:dyDescent="0.25"/>
  <cols>
    <col min="2" max="2" width="14.140625" bestFit="1" customWidth="1"/>
    <col min="9" max="9" width="12" bestFit="1" customWidth="1"/>
    <col min="10" max="10" width="12" customWidth="1"/>
    <col min="11" max="11" width="13.140625" bestFit="1" customWidth="1"/>
  </cols>
  <sheetData>
    <row r="1" spans="1:36" x14ac:dyDescent="0.25">
      <c r="A1" s="6" t="s">
        <v>46</v>
      </c>
      <c r="C1" s="6" t="s">
        <v>13</v>
      </c>
      <c r="D1" s="6" t="s">
        <v>3</v>
      </c>
      <c r="E1" s="6" t="s">
        <v>17</v>
      </c>
      <c r="F1" s="6" t="s">
        <v>2</v>
      </c>
      <c r="G1" s="3" t="s">
        <v>8</v>
      </c>
      <c r="H1" s="3" t="s">
        <v>9</v>
      </c>
      <c r="I1" s="74"/>
      <c r="J1" s="36"/>
      <c r="N1" s="1"/>
      <c r="O1" s="1"/>
      <c r="P1" s="1"/>
      <c r="Q1" s="100"/>
      <c r="R1" s="100"/>
      <c r="S1" s="100"/>
      <c r="T1" s="100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36" x14ac:dyDescent="0.25">
      <c r="A2" s="22">
        <f>'Fig3'!F5</f>
        <v>50</v>
      </c>
      <c r="B2" s="79" t="s">
        <v>14</v>
      </c>
      <c r="C2" s="21">
        <f>'Fig3'!E5</f>
        <v>134</v>
      </c>
      <c r="D2" s="21">
        <f>'Fig3'!C5</f>
        <v>-0.37706964907982332</v>
      </c>
      <c r="E2" s="21">
        <f>'Fig3'!D5</f>
        <v>125.3</v>
      </c>
      <c r="F2" s="21">
        <f>E2/C2^D2</f>
        <v>794.36066529484287</v>
      </c>
      <c r="G2">
        <f>C2*($A$2/E2)^(1/D2)</f>
        <v>1531.84397894839</v>
      </c>
      <c r="H2">
        <f>C2*E2*((D2+1)^(-1)*(-D2*($A$2/E2)^((D2+1)/D2)-1)+$A$2/E2)</f>
        <v>26108.901109884697</v>
      </c>
      <c r="J2" s="3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</row>
    <row r="3" spans="1:36" x14ac:dyDescent="0.25">
      <c r="A3" s="9"/>
      <c r="B3" s="81" t="s">
        <v>132</v>
      </c>
      <c r="C3" s="21">
        <f>'Fig3'!E6</f>
        <v>3761</v>
      </c>
      <c r="D3" s="21">
        <f>'Fig3'!C6</f>
        <v>-2.0340448284175534E-2</v>
      </c>
      <c r="E3" s="21">
        <f>'Fig3'!D6</f>
        <v>116.8</v>
      </c>
      <c r="F3" s="21">
        <f t="shared" ref="F3:F6" si="0">E3/C3^D3</f>
        <v>138.09123552338133</v>
      </c>
      <c r="G3" s="74">
        <f>C3*($A$2/E3)^(1/D3)</f>
        <v>4.9043281434961269E+21</v>
      </c>
      <c r="H3" s="74">
        <f t="shared" ref="H3:H6" si="1">C3*E3*((D3+1)^(-1)*(-D3*($A$2/E3)^((D3+1)/D3)-1)+$A$2/E3)</f>
        <v>5.091372446514294E+21</v>
      </c>
      <c r="I3" s="74"/>
      <c r="J3" s="3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</row>
    <row r="4" spans="1:36" s="73" customFormat="1" x14ac:dyDescent="0.25">
      <c r="A4" s="9"/>
      <c r="B4" s="82" t="s">
        <v>131</v>
      </c>
      <c r="C4" s="21">
        <f>'Fig3'!E7</f>
        <v>645</v>
      </c>
      <c r="D4" s="21">
        <f>'Fig3'!C7</f>
        <v>-0.18442457113742744</v>
      </c>
      <c r="E4" s="21">
        <f>'Fig3'!D7</f>
        <v>112.8</v>
      </c>
      <c r="F4" s="21">
        <f t="shared" si="0"/>
        <v>371.92977304694381</v>
      </c>
      <c r="G4" s="74">
        <f t="shared" ref="G4:G6" si="2">C4*($A$2/E4)^(1/D4)</f>
        <v>53144.709456095014</v>
      </c>
      <c r="H4" s="74">
        <f t="shared" si="1"/>
        <v>543917.58795708208</v>
      </c>
      <c r="I4" s="74"/>
      <c r="J4" s="3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s="73" customFormat="1" x14ac:dyDescent="0.25">
      <c r="A5" s="9"/>
      <c r="B5" s="80" t="s">
        <v>49</v>
      </c>
      <c r="C5" s="21">
        <f>'Fig3'!E8</f>
        <v>30</v>
      </c>
      <c r="D5" s="21">
        <f>'Fig3'!C8</f>
        <v>-0.18442457113742744</v>
      </c>
      <c r="E5" s="21">
        <f>'Fig3'!D8</f>
        <v>196.9</v>
      </c>
      <c r="F5" s="21">
        <f t="shared" si="0"/>
        <v>368.69153801612629</v>
      </c>
      <c r="G5" s="74">
        <f t="shared" si="2"/>
        <v>50683.601973439116</v>
      </c>
      <c r="H5" s="74">
        <f t="shared" si="1"/>
        <v>567306.74398950813</v>
      </c>
      <c r="I5" s="74"/>
      <c r="J5" s="3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9"/>
      <c r="B6" s="78" t="s">
        <v>16</v>
      </c>
      <c r="C6" s="21">
        <f>'Fig3'!E9</f>
        <v>424</v>
      </c>
      <c r="D6" s="21">
        <f>'Fig3'!C9</f>
        <v>-0.16812275880832692</v>
      </c>
      <c r="E6" s="21">
        <f>'Fig3'!D9</f>
        <v>100.5</v>
      </c>
      <c r="F6" s="21">
        <f t="shared" si="0"/>
        <v>277.89840744283902</v>
      </c>
      <c r="G6" s="74">
        <f t="shared" si="2"/>
        <v>26964.136759303485</v>
      </c>
      <c r="H6" s="74">
        <f t="shared" si="1"/>
        <v>242449.29488309979</v>
      </c>
      <c r="I6" s="74"/>
      <c r="J6" s="3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ht="15.75" thickBot="1" x14ac:dyDescent="0.3">
      <c r="A7" s="9"/>
      <c r="B7" s="9"/>
      <c r="C7" s="9"/>
      <c r="D7" s="9"/>
      <c r="E7" s="9"/>
      <c r="F7" s="9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B8" s="83"/>
      <c r="C8" s="30" t="s">
        <v>53</v>
      </c>
      <c r="D8" s="30"/>
      <c r="E8" s="31"/>
      <c r="F8" s="92" t="str">
        <f>B2</f>
        <v>PV</v>
      </c>
      <c r="G8" s="93"/>
      <c r="H8" s="94" t="str">
        <f>B3</f>
        <v>Hydro</v>
      </c>
      <c r="I8" s="94"/>
      <c r="J8" s="95" t="str">
        <f>B4</f>
        <v>Wind-onshore</v>
      </c>
      <c r="K8" s="95"/>
      <c r="L8" s="96" t="str">
        <f>B5</f>
        <v>Wind-offshore</v>
      </c>
      <c r="M8" s="96"/>
      <c r="N8" s="97" t="str">
        <f>B6</f>
        <v>Biomass</v>
      </c>
      <c r="O8" s="98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x14ac:dyDescent="0.25">
      <c r="B9" s="84">
        <v>1</v>
      </c>
      <c r="C9" s="32">
        <f>LOG(B9,10)</f>
        <v>0</v>
      </c>
      <c r="D9" s="33">
        <f>$A$2</f>
        <v>50</v>
      </c>
      <c r="E9" s="32">
        <f>LOG($A$2,10)</f>
        <v>1.6989700043360185</v>
      </c>
      <c r="F9" s="23">
        <f>F$2*$B9^D$2</f>
        <v>794.36066529484287</v>
      </c>
      <c r="G9" s="24">
        <f t="shared" ref="G9:G22" si="3">LOG(F9,10)</f>
        <v>2.900017730869576</v>
      </c>
      <c r="H9" s="23">
        <f>F$3*$B9^D$3</f>
        <v>138.09123552338133</v>
      </c>
      <c r="I9" s="24">
        <f t="shared" ref="I9:I13" si="4">LOG(H9,10)</f>
        <v>2.140166115330099</v>
      </c>
      <c r="J9" s="23">
        <f>F$4*$B9^D$4</f>
        <v>371.92977304694381</v>
      </c>
      <c r="K9" s="24">
        <f>LOG(J9,10)</f>
        <v>2.5704609451039255</v>
      </c>
      <c r="L9" s="23">
        <f>F$5*$B9^D$5</f>
        <v>368.69153801612629</v>
      </c>
      <c r="M9" s="24">
        <f>LOG(L9,10)</f>
        <v>2.5666631700577707</v>
      </c>
      <c r="N9" s="23">
        <f>F$6*$B9^D$6</f>
        <v>277.89840744283902</v>
      </c>
      <c r="O9" s="24">
        <f>LOG(N9,10)</f>
        <v>2.4438860579656807</v>
      </c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</row>
    <row r="10" spans="1:36" x14ac:dyDescent="0.25">
      <c r="B10" s="84">
        <v>2</v>
      </c>
      <c r="C10" s="32">
        <f>LOG(B10,10)</f>
        <v>0.30102999566398114</v>
      </c>
      <c r="D10" s="33">
        <f>$A$2</f>
        <v>50</v>
      </c>
      <c r="E10" s="32">
        <f>LOG($A$2,10)</f>
        <v>1.6989700043360185</v>
      </c>
      <c r="F10" s="23">
        <f t="shared" ref="F10:F22" si="5">F$2*$B10^D$2</f>
        <v>611.65771227702908</v>
      </c>
      <c r="G10" s="24">
        <f t="shared" si="3"/>
        <v>2.7865084560420579</v>
      </c>
      <c r="H10" s="23">
        <f t="shared" ref="H10:H13" si="6">F$3*$B10^D$3</f>
        <v>136.15795822605398</v>
      </c>
      <c r="I10" s="24">
        <f t="shared" si="4"/>
        <v>2.13404303027131</v>
      </c>
      <c r="J10" s="23">
        <f t="shared" ref="J10:J28" si="7">F$4*$B10^D$4</f>
        <v>327.29820028131059</v>
      </c>
      <c r="K10" s="24">
        <f t="shared" ref="K10:K20" si="8">LOG(J10,10)</f>
        <v>2.5149436172540942</v>
      </c>
      <c r="L10" s="23">
        <f t="shared" ref="L10:L28" si="9">F$5*$B10^D$5</f>
        <v>324.4485534541912</v>
      </c>
      <c r="M10" s="24">
        <f t="shared" ref="M10:M28" si="10">LOG(L10,10)</f>
        <v>2.5111458422079389</v>
      </c>
      <c r="N10" s="23">
        <f t="shared" ref="N10:N24" si="11">F$6*$B10^D$6</f>
        <v>247.32958262412669</v>
      </c>
      <c r="O10" s="24">
        <f t="shared" ref="O10:O24" si="12">LOG(N10,10)</f>
        <v>2.3932760646105935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</row>
    <row r="11" spans="1:36" x14ac:dyDescent="0.25">
      <c r="B11" s="84">
        <f>B10*2</f>
        <v>4</v>
      </c>
      <c r="C11" s="32">
        <f>LOG(B11,10)</f>
        <v>0.60205999132796229</v>
      </c>
      <c r="D11" s="33">
        <f>$A$2</f>
        <v>50</v>
      </c>
      <c r="E11" s="32">
        <f>LOG($A$2,10)</f>
        <v>1.6989700043360185</v>
      </c>
      <c r="F11" s="23">
        <f t="shared" si="5"/>
        <v>470.97643845331231</v>
      </c>
      <c r="G11" s="24">
        <f t="shared" si="3"/>
        <v>2.6729991812145397</v>
      </c>
      <c r="H11" s="23">
        <f t="shared" si="6"/>
        <v>134.25174681088922</v>
      </c>
      <c r="I11" s="24">
        <f t="shared" si="4"/>
        <v>2.1279199452125215</v>
      </c>
      <c r="J11" s="23">
        <f t="shared" si="7"/>
        <v>288.02241624755328</v>
      </c>
      <c r="K11" s="24">
        <f t="shared" si="8"/>
        <v>2.4594262894042629</v>
      </c>
      <c r="L11" s="23">
        <f t="shared" si="9"/>
        <v>285.51472703968818</v>
      </c>
      <c r="M11" s="24">
        <f t="shared" si="10"/>
        <v>2.4556285143581076</v>
      </c>
      <c r="N11" s="23">
        <f t="shared" si="11"/>
        <v>220.12332853547278</v>
      </c>
      <c r="O11" s="24">
        <f t="shared" si="12"/>
        <v>2.3426660712555063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</row>
    <row r="12" spans="1:36" x14ac:dyDescent="0.25">
      <c r="B12" s="84">
        <f>B11*2</f>
        <v>8</v>
      </c>
      <c r="C12" s="32">
        <f>LOG(B12,10)</f>
        <v>0.90308998699194343</v>
      </c>
      <c r="D12" s="33">
        <f>$A$2</f>
        <v>50</v>
      </c>
      <c r="E12" s="32">
        <f>LOG($A$2,10)</f>
        <v>1.6989700043360185</v>
      </c>
      <c r="F12" s="23">
        <f t="shared" si="5"/>
        <v>362.65185760905058</v>
      </c>
      <c r="G12" s="24">
        <f t="shared" si="3"/>
        <v>2.559489906387022</v>
      </c>
      <c r="H12" s="23">
        <f t="shared" si="6"/>
        <v>132.37222235553676</v>
      </c>
      <c r="I12" s="24">
        <f t="shared" si="4"/>
        <v>2.1217968601537329</v>
      </c>
      <c r="J12" s="23">
        <f t="shared" si="7"/>
        <v>253.45972629784688</v>
      </c>
      <c r="K12" s="24">
        <f t="shared" si="8"/>
        <v>2.4039089615544316</v>
      </c>
      <c r="L12" s="23">
        <f t="shared" si="9"/>
        <v>251.2529597949256</v>
      </c>
      <c r="M12" s="24">
        <f t="shared" si="10"/>
        <v>2.4001111865082763</v>
      </c>
      <c r="N12" s="23">
        <f t="shared" si="11"/>
        <v>195.90976239657078</v>
      </c>
      <c r="O12" s="24">
        <f t="shared" si="12"/>
        <v>2.2920560779004191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</row>
    <row r="13" spans="1:36" x14ac:dyDescent="0.25">
      <c r="B13" s="84">
        <f>B12*2</f>
        <v>16</v>
      </c>
      <c r="C13" s="32">
        <f>LOG(B13,10)</f>
        <v>1.2041199826559246</v>
      </c>
      <c r="D13" s="33">
        <f>$A$2</f>
        <v>50</v>
      </c>
      <c r="E13" s="32">
        <f>LOG($A$2,10)</f>
        <v>1.6989700043360185</v>
      </c>
      <c r="F13" s="23">
        <f t="shared" si="5"/>
        <v>279.24193035896889</v>
      </c>
      <c r="G13" s="24">
        <f t="shared" si="3"/>
        <v>2.4459806315595038</v>
      </c>
      <c r="H13" s="23">
        <f t="shared" si="6"/>
        <v>130.51901124255926</v>
      </c>
      <c r="I13" s="24">
        <f t="shared" si="4"/>
        <v>2.1156737750949439</v>
      </c>
      <c r="J13" s="23">
        <f t="shared" si="7"/>
        <v>223.04455914210527</v>
      </c>
      <c r="K13" s="24">
        <f t="shared" si="8"/>
        <v>2.3483916337046002</v>
      </c>
      <c r="L13" s="23">
        <f t="shared" si="9"/>
        <v>221.10260461953453</v>
      </c>
      <c r="M13" s="24">
        <f t="shared" si="10"/>
        <v>2.3445938586584449</v>
      </c>
      <c r="N13" s="23">
        <f t="shared" si="11"/>
        <v>174.35968853294801</v>
      </c>
      <c r="O13" s="24">
        <f t="shared" si="12"/>
        <v>2.2414460845453319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</row>
    <row r="14" spans="1:36" x14ac:dyDescent="0.25">
      <c r="B14" s="85">
        <f>C5</f>
        <v>30</v>
      </c>
      <c r="C14" s="32">
        <f t="shared" ref="C14:C25" si="13">LOG(B14,10)</f>
        <v>1.4771212547196624</v>
      </c>
      <c r="D14" s="33">
        <f t="shared" ref="D14:D26" si="14">$A$2</f>
        <v>50</v>
      </c>
      <c r="E14" s="32">
        <f t="shared" ref="E14:E26" si="15">LOG($A$2,10)</f>
        <v>1.6989700043360185</v>
      </c>
      <c r="F14" s="23">
        <f>F$2*$B14^D$2</f>
        <v>220.3130067981065</v>
      </c>
      <c r="G14" s="24">
        <f>LOG(F14,10)</f>
        <v>2.3430401377040848</v>
      </c>
      <c r="H14" s="23">
        <f t="shared" ref="H14:H26" si="16">F$3*$B14^D$3</f>
        <v>128.86079513741208</v>
      </c>
      <c r="I14" s="24">
        <f t="shared" ref="I14:I26" si="17">LOG(H14,10)</f>
        <v>2.1101208068390176</v>
      </c>
      <c r="J14" s="23">
        <f t="shared" si="7"/>
        <v>198.62938191366922</v>
      </c>
      <c r="K14" s="24">
        <f t="shared" si="8"/>
        <v>2.2980434911842731</v>
      </c>
      <c r="L14" s="25">
        <f t="shared" si="9"/>
        <v>196.9</v>
      </c>
      <c r="M14" s="26">
        <f t="shared" si="10"/>
        <v>2.2942457161381178</v>
      </c>
      <c r="N14" s="23">
        <f t="shared" si="11"/>
        <v>156.87305619039142</v>
      </c>
      <c r="O14" s="24">
        <f t="shared" si="12"/>
        <v>2.1955483575277936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</row>
    <row r="15" spans="1:36" x14ac:dyDescent="0.25">
      <c r="B15" s="86">
        <f t="shared" ref="B15:B16" si="18">B14*2</f>
        <v>60</v>
      </c>
      <c r="C15" s="32">
        <f t="shared" si="13"/>
        <v>1.7781512503836434</v>
      </c>
      <c r="D15" s="33">
        <f t="shared" si="14"/>
        <v>50</v>
      </c>
      <c r="E15" s="32">
        <f t="shared" si="15"/>
        <v>1.6989700043360185</v>
      </c>
      <c r="F15" s="23">
        <f t="shared" si="5"/>
        <v>169.64101523454201</v>
      </c>
      <c r="G15" s="24">
        <f t="shared" si="3"/>
        <v>2.2295308628765667</v>
      </c>
      <c r="H15" s="23">
        <f t="shared" si="16"/>
        <v>127.05674400548831</v>
      </c>
      <c r="I15" s="24">
        <f t="shared" si="17"/>
        <v>2.1039977217802286</v>
      </c>
      <c r="J15" s="23">
        <f t="shared" si="7"/>
        <v>174.79385608402893</v>
      </c>
      <c r="K15" s="24">
        <f t="shared" si="8"/>
        <v>2.2425261633344418</v>
      </c>
      <c r="L15" s="23">
        <f t="shared" si="9"/>
        <v>173.27200000000005</v>
      </c>
      <c r="M15" s="24">
        <f t="shared" si="10"/>
        <v>2.2387283882882869</v>
      </c>
      <c r="N15" s="23">
        <f t="shared" si="11"/>
        <v>139.61702000944837</v>
      </c>
      <c r="O15" s="24">
        <f t="shared" si="12"/>
        <v>2.1449383641727064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 x14ac:dyDescent="0.25">
      <c r="B16" s="86">
        <f t="shared" si="18"/>
        <v>120</v>
      </c>
      <c r="C16" s="32">
        <f t="shared" si="13"/>
        <v>2.0791812460476247</v>
      </c>
      <c r="D16" s="33">
        <f t="shared" si="14"/>
        <v>50</v>
      </c>
      <c r="E16" s="32">
        <f t="shared" si="15"/>
        <v>1.6989700043360185</v>
      </c>
      <c r="F16" s="23">
        <f t="shared" si="5"/>
        <v>130.62358173059738</v>
      </c>
      <c r="G16" s="24">
        <f t="shared" si="3"/>
        <v>2.1160215880490485</v>
      </c>
      <c r="H16" s="23">
        <f t="shared" si="16"/>
        <v>125.27794958941149</v>
      </c>
      <c r="I16" s="24">
        <f t="shared" si="17"/>
        <v>2.09787463672144</v>
      </c>
      <c r="J16" s="23">
        <f t="shared" si="7"/>
        <v>153.81859335394546</v>
      </c>
      <c r="K16" s="24">
        <f t="shared" si="8"/>
        <v>2.1870088354846104</v>
      </c>
      <c r="L16" s="23">
        <f t="shared" si="9"/>
        <v>152.47936000000004</v>
      </c>
      <c r="M16" s="24">
        <f t="shared" si="10"/>
        <v>2.1832110604384556</v>
      </c>
      <c r="N16" s="23">
        <f t="shared" si="11"/>
        <v>124.25914780840905</v>
      </c>
      <c r="O16" s="24">
        <f t="shared" si="12"/>
        <v>2.0943283708176192</v>
      </c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</row>
    <row r="17" spans="2:36" x14ac:dyDescent="0.25">
      <c r="B17" s="87">
        <f>C2</f>
        <v>134</v>
      </c>
      <c r="C17" s="32">
        <f t="shared" si="13"/>
        <v>2.1271047983648073</v>
      </c>
      <c r="D17" s="33">
        <f t="shared" si="14"/>
        <v>50</v>
      </c>
      <c r="E17" s="32">
        <f t="shared" si="15"/>
        <v>1.6989700043360185</v>
      </c>
      <c r="F17" s="25">
        <f t="shared" si="5"/>
        <v>125.3</v>
      </c>
      <c r="G17" s="26">
        <f t="shared" si="3"/>
        <v>2.0979510709941498</v>
      </c>
      <c r="H17" s="23">
        <f t="shared" si="16"/>
        <v>124.99707493830986</v>
      </c>
      <c r="I17" s="24">
        <f t="shared" si="17"/>
        <v>2.096899850183938</v>
      </c>
      <c r="J17" s="23">
        <f t="shared" si="7"/>
        <v>150.71988528492082</v>
      </c>
      <c r="K17" s="24">
        <f t="shared" si="8"/>
        <v>2.1781705549011319</v>
      </c>
      <c r="L17" s="23">
        <f t="shared" si="9"/>
        <v>149.40763106990579</v>
      </c>
      <c r="M17" s="24">
        <f t="shared" si="10"/>
        <v>2.174372779854977</v>
      </c>
      <c r="N17" s="23">
        <f t="shared" si="11"/>
        <v>121.975141610238</v>
      </c>
      <c r="O17" s="24">
        <f t="shared" si="12"/>
        <v>2.0862713309901593</v>
      </c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2:36" x14ac:dyDescent="0.25">
      <c r="B18" s="84">
        <f>B16*2</f>
        <v>240</v>
      </c>
      <c r="C18" s="32">
        <f t="shared" si="13"/>
        <v>2.3802112417116059</v>
      </c>
      <c r="D18" s="33">
        <f t="shared" si="14"/>
        <v>50</v>
      </c>
      <c r="E18" s="32">
        <f t="shared" si="15"/>
        <v>1.6989700043360185</v>
      </c>
      <c r="F18" s="23">
        <f t="shared" si="5"/>
        <v>100.58015793255997</v>
      </c>
      <c r="G18" s="24">
        <f t="shared" si="3"/>
        <v>2.0025123132215303</v>
      </c>
      <c r="H18" s="23">
        <f t="shared" si="16"/>
        <v>123.52405829515972</v>
      </c>
      <c r="I18" s="24">
        <f t="shared" si="17"/>
        <v>2.091751551662651</v>
      </c>
      <c r="J18" s="23">
        <f t="shared" si="7"/>
        <v>135.36036215147197</v>
      </c>
      <c r="K18" s="24">
        <f t="shared" si="8"/>
        <v>2.1314915076347787</v>
      </c>
      <c r="L18" s="23">
        <f t="shared" si="9"/>
        <v>134.18183680000001</v>
      </c>
      <c r="M18" s="24">
        <f t="shared" si="10"/>
        <v>2.1276937325886238</v>
      </c>
      <c r="N18" s="23">
        <f t="shared" si="11"/>
        <v>110.59064154948408</v>
      </c>
      <c r="O18" s="24">
        <f t="shared" si="12"/>
        <v>2.043718377462532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</row>
    <row r="19" spans="2:36" x14ac:dyDescent="0.25">
      <c r="B19" s="88">
        <f>C6</f>
        <v>424</v>
      </c>
      <c r="C19" s="32">
        <f t="shared" si="13"/>
        <v>2.6273658565927325</v>
      </c>
      <c r="D19" s="33">
        <f t="shared" si="14"/>
        <v>50</v>
      </c>
      <c r="E19" s="32">
        <f t="shared" si="15"/>
        <v>1.6989700043360185</v>
      </c>
      <c r="F19" s="23">
        <f t="shared" si="5"/>
        <v>81.155472256187608</v>
      </c>
      <c r="G19" s="24">
        <f t="shared" si="3"/>
        <v>1.9093178093198451</v>
      </c>
      <c r="H19" s="23">
        <f t="shared" si="16"/>
        <v>122.10243251193346</v>
      </c>
      <c r="I19" s="24">
        <f t="shared" si="17"/>
        <v>2.086724316000466</v>
      </c>
      <c r="J19" s="23">
        <f t="shared" si="7"/>
        <v>121.873735800201</v>
      </c>
      <c r="K19" s="24">
        <f t="shared" si="8"/>
        <v>2.0859101237806912</v>
      </c>
      <c r="L19" s="23">
        <f t="shared" si="9"/>
        <v>120.81263279311531</v>
      </c>
      <c r="M19" s="24">
        <f t="shared" si="10"/>
        <v>2.0821123487345363</v>
      </c>
      <c r="N19" s="25">
        <f t="shared" si="11"/>
        <v>100.5</v>
      </c>
      <c r="O19" s="26">
        <f t="shared" si="12"/>
        <v>2.0021660617565074</v>
      </c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</row>
    <row r="20" spans="2:36" x14ac:dyDescent="0.25">
      <c r="B20" s="89">
        <f>C4</f>
        <v>645</v>
      </c>
      <c r="C20" s="32">
        <f t="shared" si="13"/>
        <v>2.8095597146352675</v>
      </c>
      <c r="D20" s="33">
        <f t="shared" si="14"/>
        <v>50</v>
      </c>
      <c r="E20" s="32">
        <f t="shared" si="15"/>
        <v>1.6989700043360185</v>
      </c>
      <c r="F20" s="23">
        <f t="shared" si="5"/>
        <v>69.281620166440035</v>
      </c>
      <c r="G20" s="24">
        <f t="shared" si="3"/>
        <v>1.8406180352032468</v>
      </c>
      <c r="H20" s="23">
        <f t="shared" si="16"/>
        <v>121.06494561028329</v>
      </c>
      <c r="I20" s="24">
        <f t="shared" si="17"/>
        <v>2.0830184112532577</v>
      </c>
      <c r="J20" s="25">
        <f t="shared" si="7"/>
        <v>112.8</v>
      </c>
      <c r="K20" s="26">
        <f t="shared" si="8"/>
        <v>2.0523090996473234</v>
      </c>
      <c r="L20" s="23">
        <f t="shared" si="9"/>
        <v>111.81789816802294</v>
      </c>
      <c r="M20" s="24">
        <f t="shared" si="10"/>
        <v>2.0485113246011681</v>
      </c>
      <c r="N20" s="23">
        <f t="shared" si="11"/>
        <v>93.655896996161331</v>
      </c>
      <c r="O20" s="24">
        <f t="shared" si="12"/>
        <v>1.9715351277044639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</row>
    <row r="21" spans="2:36" x14ac:dyDescent="0.25">
      <c r="B21" s="84">
        <f>B18*4</f>
        <v>960</v>
      </c>
      <c r="C21" s="32">
        <f>LOG(B21,10)</f>
        <v>2.982271233039568</v>
      </c>
      <c r="D21" s="33">
        <f t="shared" si="14"/>
        <v>50</v>
      </c>
      <c r="E21" s="32">
        <f t="shared" si="15"/>
        <v>1.6989700043360185</v>
      </c>
      <c r="F21" s="23">
        <f t="shared" si="5"/>
        <v>59.633975638214793</v>
      </c>
      <c r="G21" s="24">
        <f t="shared" si="3"/>
        <v>1.7754937635664938</v>
      </c>
      <c r="H21" s="23">
        <f t="shared" si="16"/>
        <v>120.08959537832109</v>
      </c>
      <c r="I21" s="24">
        <f t="shared" si="17"/>
        <v>2.0795053815450735</v>
      </c>
      <c r="J21" s="23">
        <f t="shared" si="7"/>
        <v>104.82306445009989</v>
      </c>
      <c r="K21" s="24">
        <f t="shared" ref="K21:K29" si="19">LOG(J21,10)</f>
        <v>2.020456851935116</v>
      </c>
      <c r="L21" s="23">
        <f t="shared" si="9"/>
        <v>103.91041441791999</v>
      </c>
      <c r="M21" s="24">
        <f t="shared" si="10"/>
        <v>2.0166590768889612</v>
      </c>
      <c r="N21" s="23">
        <f t="shared" si="11"/>
        <v>87.598847171346321</v>
      </c>
      <c r="O21" s="24">
        <f t="shared" si="12"/>
        <v>1.9424983907523579</v>
      </c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</row>
    <row r="22" spans="2:36" s="74" customFormat="1" x14ac:dyDescent="0.25">
      <c r="B22" s="87">
        <f>G2</f>
        <v>1531.84397894839</v>
      </c>
      <c r="C22" s="32">
        <f>LOG(B22,10)</f>
        <v>3.185214533878602</v>
      </c>
      <c r="D22" s="33">
        <f t="shared" si="14"/>
        <v>50</v>
      </c>
      <c r="E22" s="32">
        <f t="shared" si="15"/>
        <v>1.6989700043360185</v>
      </c>
      <c r="F22" s="25">
        <f t="shared" si="5"/>
        <v>49.999999999999986</v>
      </c>
      <c r="G22" s="26">
        <f t="shared" si="3"/>
        <v>1.6989700043360185</v>
      </c>
      <c r="H22" s="23">
        <f t="shared" si="16"/>
        <v>118.9535544810567</v>
      </c>
      <c r="I22" s="24">
        <f t="shared" si="17"/>
        <v>2.0753774238297371</v>
      </c>
      <c r="J22" s="23">
        <f t="shared" si="7"/>
        <v>96.167675945555601</v>
      </c>
      <c r="K22" s="24">
        <f t="shared" si="19"/>
        <v>1.9830291207126636</v>
      </c>
      <c r="L22" s="23">
        <f t="shared" si="9"/>
        <v>95.33038471574082</v>
      </c>
      <c r="M22" s="24">
        <f t="shared" si="10"/>
        <v>1.9792313456665085</v>
      </c>
      <c r="N22" s="23">
        <f t="shared" si="11"/>
        <v>80.980229480989294</v>
      </c>
      <c r="O22" s="24">
        <f t="shared" si="12"/>
        <v>1.908379003133631</v>
      </c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</row>
    <row r="23" spans="2:36" x14ac:dyDescent="0.25">
      <c r="B23" s="84">
        <f>B21*2</f>
        <v>1920</v>
      </c>
      <c r="C23" s="32">
        <f t="shared" si="13"/>
        <v>3.2833012287035492</v>
      </c>
      <c r="D23" s="33">
        <f t="shared" si="14"/>
        <v>50</v>
      </c>
      <c r="E23" s="32">
        <f t="shared" si="15"/>
        <v>1.6989700043360185</v>
      </c>
      <c r="F23" s="23"/>
      <c r="G23" s="27"/>
      <c r="H23" s="23">
        <f t="shared" si="16"/>
        <v>118.40834104302461</v>
      </c>
      <c r="I23" s="24">
        <f t="shared" si="17"/>
        <v>2.0733822964862845</v>
      </c>
      <c r="J23" s="23">
        <f t="shared" si="7"/>
        <v>92.244296716087931</v>
      </c>
      <c r="K23" s="24">
        <f t="shared" si="19"/>
        <v>1.9649395240852847</v>
      </c>
      <c r="L23" s="23">
        <f t="shared" si="9"/>
        <v>91.441164687769614</v>
      </c>
      <c r="M23" s="24">
        <f t="shared" si="10"/>
        <v>1.9611417490391301</v>
      </c>
      <c r="N23" s="23">
        <f t="shared" si="11"/>
        <v>77.962973982498241</v>
      </c>
      <c r="O23" s="24">
        <f t="shared" si="12"/>
        <v>1.8918883973972707</v>
      </c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</row>
    <row r="24" spans="2:36" x14ac:dyDescent="0.25">
      <c r="B24" s="90">
        <f>C3</f>
        <v>3761</v>
      </c>
      <c r="C24" s="32">
        <f>LOG(B24,10)</f>
        <v>3.5753033334223985</v>
      </c>
      <c r="D24" s="33">
        <f t="shared" si="14"/>
        <v>50</v>
      </c>
      <c r="E24" s="32">
        <f t="shared" si="15"/>
        <v>1.6989700043360185</v>
      </c>
      <c r="F24" s="23"/>
      <c r="G24" s="27"/>
      <c r="H24" s="25">
        <f t="shared" si="16"/>
        <v>116.8</v>
      </c>
      <c r="I24" s="26">
        <f t="shared" si="17"/>
        <v>2.0674428427763805</v>
      </c>
      <c r="J24" s="23">
        <f t="shared" si="7"/>
        <v>81.486780829424148</v>
      </c>
      <c r="K24" s="24">
        <f t="shared" si="19"/>
        <v>1.9110871611512847</v>
      </c>
      <c r="L24" s="23">
        <f t="shared" si="9"/>
        <v>80.777309936387894</v>
      </c>
      <c r="M24" s="24">
        <f t="shared" si="10"/>
        <v>1.9072893861051301</v>
      </c>
      <c r="N24" s="23">
        <f t="shared" si="11"/>
        <v>69.629968382891008</v>
      </c>
      <c r="O24" s="24">
        <f t="shared" si="12"/>
        <v>1.8427961979740994</v>
      </c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</row>
    <row r="25" spans="2:36" x14ac:dyDescent="0.25">
      <c r="B25" s="84">
        <f>B23*4</f>
        <v>7680</v>
      </c>
      <c r="C25" s="32">
        <f t="shared" si="13"/>
        <v>3.8853612200315113</v>
      </c>
      <c r="D25" s="33">
        <f t="shared" si="14"/>
        <v>50</v>
      </c>
      <c r="E25" s="32">
        <f t="shared" si="15"/>
        <v>1.6989700043360185</v>
      </c>
      <c r="F25" s="23"/>
      <c r="G25" s="27"/>
      <c r="H25" s="23">
        <f t="shared" si="16"/>
        <v>115.11611552866434</v>
      </c>
      <c r="I25" s="24">
        <f t="shared" si="17"/>
        <v>2.0611361263687069</v>
      </c>
      <c r="J25" s="23">
        <f t="shared" si="7"/>
        <v>71.433983376938514</v>
      </c>
      <c r="K25" s="24">
        <f t="shared" si="19"/>
        <v>1.8539048683856223</v>
      </c>
      <c r="L25" s="23">
        <f t="shared" si="9"/>
        <v>70.812037934208803</v>
      </c>
      <c r="M25" s="24">
        <f t="shared" si="10"/>
        <v>1.8501070933394672</v>
      </c>
      <c r="N25" s="23">
        <f t="shared" ref="N25:N27" si="20">F$6*$B25^D$6</f>
        <v>61.754471691536857</v>
      </c>
      <c r="O25" s="24">
        <f t="shared" ref="O25:O27" si="21">LOG(N25,10)</f>
        <v>1.790668410687096</v>
      </c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</row>
    <row r="26" spans="2:36" x14ac:dyDescent="0.25">
      <c r="B26" s="84">
        <f>B25*2</f>
        <v>15360</v>
      </c>
      <c r="C26" s="32">
        <f>LOG(B26,10)</f>
        <v>4.186391215695493</v>
      </c>
      <c r="D26" s="33">
        <f t="shared" si="14"/>
        <v>50</v>
      </c>
      <c r="E26" s="32">
        <f t="shared" si="15"/>
        <v>1.6989700043360185</v>
      </c>
      <c r="F26" s="23"/>
      <c r="G26" s="27"/>
      <c r="H26" s="23">
        <f t="shared" si="16"/>
        <v>113.50448991126304</v>
      </c>
      <c r="I26" s="24">
        <f t="shared" si="17"/>
        <v>2.0550130413099184</v>
      </c>
      <c r="J26" s="23">
        <f t="shared" si="7"/>
        <v>62.86190537170588</v>
      </c>
      <c r="K26" s="24">
        <f t="shared" si="19"/>
        <v>1.798387540535791</v>
      </c>
      <c r="L26" s="23">
        <f t="shared" si="9"/>
        <v>62.314593382103745</v>
      </c>
      <c r="M26" s="24">
        <f t="shared" si="10"/>
        <v>1.7945897654896359</v>
      </c>
      <c r="N26" s="23">
        <f t="shared" si="20"/>
        <v>54.961479805467796</v>
      </c>
      <c r="O26" s="24">
        <f t="shared" si="21"/>
        <v>1.7400584173320091</v>
      </c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</row>
    <row r="27" spans="2:36" x14ac:dyDescent="0.25">
      <c r="B27" s="88">
        <f>G6</f>
        <v>26964.136759303485</v>
      </c>
      <c r="C27" s="32">
        <f>LOG(B27,10)</f>
        <v>4.4307865211688826</v>
      </c>
      <c r="D27" s="33">
        <f>$A$2</f>
        <v>50</v>
      </c>
      <c r="E27" s="32">
        <f>LOG($A$2,10)</f>
        <v>1.6989700043360185</v>
      </c>
      <c r="F27" s="23"/>
      <c r="G27" s="27"/>
      <c r="H27" s="23">
        <f t="shared" ref="H27:H30" si="22">F$3*$B27^D$3</f>
        <v>112.21267906869691</v>
      </c>
      <c r="I27" s="24">
        <f t="shared" ref="I27:I30" si="23">LOG(H27,10)</f>
        <v>2.0500419312380416</v>
      </c>
      <c r="J27" s="23">
        <f t="shared" si="7"/>
        <v>56.665019314651737</v>
      </c>
      <c r="K27" s="24">
        <f t="shared" si="19"/>
        <v>1.7533150411358602</v>
      </c>
      <c r="L27" s="23">
        <f t="shared" si="9"/>
        <v>56.171660987719683</v>
      </c>
      <c r="M27" s="24">
        <f t="shared" si="10"/>
        <v>1.7495172660897051</v>
      </c>
      <c r="N27" s="25">
        <f t="shared" si="20"/>
        <v>50.000000000000007</v>
      </c>
      <c r="O27" s="26">
        <f t="shared" si="21"/>
        <v>1.6989700043360187</v>
      </c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</row>
    <row r="28" spans="2:36" x14ac:dyDescent="0.25">
      <c r="B28" s="85">
        <f>G5</f>
        <v>50683.601973439116</v>
      </c>
      <c r="C28" s="32">
        <f t="shared" ref="C28:C31" si="24">LOG(B28,10)</f>
        <v>4.7048674716731425</v>
      </c>
      <c r="D28" s="33">
        <f t="shared" ref="D28:D31" si="25">$A$2</f>
        <v>50</v>
      </c>
      <c r="E28" s="32">
        <f t="shared" ref="E28:E31" si="26">LOG($A$2,10)</f>
        <v>1.6989700043360185</v>
      </c>
      <c r="F28" s="23"/>
      <c r="G28" s="27"/>
      <c r="H28" s="23">
        <f t="shared" si="22"/>
        <v>110.78143892488335</v>
      </c>
      <c r="I28" s="24">
        <f t="shared" si="23"/>
        <v>2.0444670018386319</v>
      </c>
      <c r="J28" s="23">
        <f t="shared" si="7"/>
        <v>50.439152339682373</v>
      </c>
      <c r="K28" s="24">
        <f t="shared" si="19"/>
        <v>1.7027677793821736</v>
      </c>
      <c r="L28" s="25">
        <f t="shared" si="9"/>
        <v>49.999999999999993</v>
      </c>
      <c r="M28" s="26">
        <f t="shared" si="10"/>
        <v>1.6989700043360185</v>
      </c>
      <c r="N28" s="23"/>
      <c r="O28" s="27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</row>
    <row r="29" spans="2:36" x14ac:dyDescent="0.25">
      <c r="B29" s="89">
        <f>G4</f>
        <v>53144.709456095014</v>
      </c>
      <c r="C29" s="32">
        <f t="shared" si="24"/>
        <v>4.7254600370928834</v>
      </c>
      <c r="D29" s="33">
        <f t="shared" si="25"/>
        <v>50</v>
      </c>
      <c r="E29" s="32">
        <f t="shared" si="26"/>
        <v>1.6989700043360185</v>
      </c>
      <c r="F29" s="23"/>
      <c r="G29" s="27"/>
      <c r="H29" s="23">
        <f t="shared" si="22"/>
        <v>110.67464556486527</v>
      </c>
      <c r="I29" s="24">
        <f t="shared" si="23"/>
        <v>2.044048139826673</v>
      </c>
      <c r="J29" s="25">
        <f>F$4*$B29^D$4</f>
        <v>50</v>
      </c>
      <c r="K29" s="26">
        <f t="shared" si="19"/>
        <v>1.6989700043360185</v>
      </c>
      <c r="L29" s="23"/>
      <c r="M29" s="27"/>
      <c r="N29" s="23"/>
      <c r="O29" s="27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</row>
    <row r="30" spans="2:36" ht="15.75" thickBot="1" x14ac:dyDescent="0.3">
      <c r="B30" s="91">
        <f>B26*4</f>
        <v>61440</v>
      </c>
      <c r="C30" s="34">
        <f t="shared" si="24"/>
        <v>4.7884512070234546</v>
      </c>
      <c r="D30" s="35">
        <f t="shared" si="25"/>
        <v>50</v>
      </c>
      <c r="E30" s="34">
        <f t="shared" si="26"/>
        <v>1.6989700043360185</v>
      </c>
      <c r="F30" s="28"/>
      <c r="G30" s="29"/>
      <c r="H30" s="28">
        <f t="shared" si="22"/>
        <v>110.34861107377027</v>
      </c>
      <c r="I30" s="99">
        <f t="shared" si="23"/>
        <v>2.0427668711923403</v>
      </c>
      <c r="J30" s="28"/>
      <c r="K30" s="29"/>
      <c r="L30" s="28"/>
      <c r="M30" s="29"/>
      <c r="N30" s="28"/>
      <c r="O30" s="29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2:36" ht="15.75" thickBot="1" x14ac:dyDescent="0.3">
      <c r="B31" s="91">
        <v>100000</v>
      </c>
      <c r="C31" s="34">
        <f t="shared" si="24"/>
        <v>5</v>
      </c>
      <c r="D31" s="35">
        <f t="shared" si="25"/>
        <v>50</v>
      </c>
      <c r="E31" s="34">
        <f t="shared" si="26"/>
        <v>1.6989700043360185</v>
      </c>
      <c r="F31" s="28"/>
      <c r="G31" s="29"/>
      <c r="H31" s="28">
        <f t="shared" ref="H31" si="27">F$3*$B31^D$3</f>
        <v>109.26067366675339</v>
      </c>
      <c r="I31" s="99">
        <f t="shared" ref="I31" si="28">LOG(H31,10)</f>
        <v>2.0384638739092216</v>
      </c>
      <c r="J31" s="28"/>
      <c r="K31" s="29"/>
      <c r="L31" s="28"/>
      <c r="M31" s="29"/>
      <c r="N31" s="28"/>
      <c r="O31" s="29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2:36" x14ac:dyDescent="0.25">
      <c r="B32" s="8"/>
      <c r="C32" s="8"/>
      <c r="D32" s="8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B33" s="8"/>
      <c r="C33" s="8"/>
      <c r="D33" s="8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4" spans="1:36" x14ac:dyDescent="0.25">
      <c r="B34" s="8"/>
      <c r="C34" s="8"/>
      <c r="D34" s="8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 spans="1:36" x14ac:dyDescent="0.25"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6" spans="1:36" x14ac:dyDescent="0.25">
      <c r="A36" s="1"/>
      <c r="L36" s="1"/>
      <c r="M36" s="1"/>
      <c r="N36" s="1"/>
      <c r="O36" s="1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</row>
    <row r="37" spans="1:36" x14ac:dyDescent="0.25">
      <c r="E37">
        <v>1</v>
      </c>
      <c r="F37">
        <f>LOG(E37)</f>
        <v>0</v>
      </c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</row>
    <row r="38" spans="1:36" x14ac:dyDescent="0.25">
      <c r="E38">
        <v>2</v>
      </c>
      <c r="F38">
        <f t="shared" ref="F38:F46" si="29">LOG(E38)</f>
        <v>0.3010299956639812</v>
      </c>
      <c r="I38">
        <f>LOG10(J38)</f>
        <v>1.6989700043360187</v>
      </c>
      <c r="J38">
        <v>50</v>
      </c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</row>
    <row r="39" spans="1:36" x14ac:dyDescent="0.25">
      <c r="E39">
        <v>3</v>
      </c>
      <c r="F39">
        <f t="shared" si="29"/>
        <v>0.47712125471966244</v>
      </c>
      <c r="I39">
        <f>LOG10(J39)</f>
        <v>2</v>
      </c>
      <c r="J39">
        <v>100</v>
      </c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</row>
    <row r="40" spans="1:36" x14ac:dyDescent="0.25">
      <c r="E40">
        <v>4</v>
      </c>
      <c r="F40">
        <f t="shared" si="29"/>
        <v>0.6020599913279624</v>
      </c>
      <c r="I40">
        <f>LOG10(J40)</f>
        <v>2.1760912590556813</v>
      </c>
      <c r="J40">
        <v>150</v>
      </c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</row>
    <row r="41" spans="1:36" x14ac:dyDescent="0.25">
      <c r="E41">
        <v>5</v>
      </c>
      <c r="F41">
        <f t="shared" si="29"/>
        <v>0.69897000433601886</v>
      </c>
      <c r="I41">
        <f t="shared" ref="I41:I46" si="30">LOG10(J41)</f>
        <v>2.3010299956639813</v>
      </c>
      <c r="J41">
        <v>200</v>
      </c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</row>
    <row r="42" spans="1:36" x14ac:dyDescent="0.25">
      <c r="E42">
        <v>6</v>
      </c>
      <c r="F42">
        <f t="shared" si="29"/>
        <v>0.77815125038364363</v>
      </c>
      <c r="I42">
        <f t="shared" si="30"/>
        <v>2.3979400086720375</v>
      </c>
      <c r="J42">
        <v>250</v>
      </c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</row>
    <row r="43" spans="1:36" x14ac:dyDescent="0.25">
      <c r="E43">
        <v>7</v>
      </c>
      <c r="F43">
        <f t="shared" si="29"/>
        <v>0.84509804001425681</v>
      </c>
      <c r="I43">
        <f t="shared" si="30"/>
        <v>2.4771212547196626</v>
      </c>
      <c r="J43">
        <v>300</v>
      </c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</row>
    <row r="44" spans="1:36" x14ac:dyDescent="0.25">
      <c r="E44">
        <v>8</v>
      </c>
      <c r="F44">
        <f t="shared" si="29"/>
        <v>0.90308998699194354</v>
      </c>
      <c r="I44">
        <f t="shared" si="30"/>
        <v>2.5440680443502757</v>
      </c>
      <c r="J44">
        <v>350</v>
      </c>
    </row>
    <row r="45" spans="1:36" x14ac:dyDescent="0.25">
      <c r="E45">
        <v>9</v>
      </c>
      <c r="F45">
        <f t="shared" si="29"/>
        <v>0.95424250943932487</v>
      </c>
      <c r="I45">
        <f t="shared" si="30"/>
        <v>2.6020599913279625</v>
      </c>
      <c r="J45">
        <v>400</v>
      </c>
    </row>
    <row r="46" spans="1:36" x14ac:dyDescent="0.25">
      <c r="E46">
        <v>10</v>
      </c>
      <c r="F46">
        <f t="shared" si="29"/>
        <v>1</v>
      </c>
      <c r="I46">
        <f t="shared" si="30"/>
        <v>2.6532125137753435</v>
      </c>
      <c r="J46">
        <v>450</v>
      </c>
    </row>
  </sheetData>
  <pageMargins left="0" right="0" top="0" bottom="0" header="0" footer="0"/>
  <pageSetup paperSize="193" scale="45" orientation="landscape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8"/>
  <sheetViews>
    <sheetView zoomScale="70" zoomScaleNormal="70" workbookViewId="0">
      <selection activeCell="B2" sqref="B2"/>
    </sheetView>
  </sheetViews>
  <sheetFormatPr defaultRowHeight="15" x14ac:dyDescent="0.25"/>
  <cols>
    <col min="1" max="7" width="9.140625" style="101"/>
    <col min="8" max="8" width="12" style="101" bestFit="1" customWidth="1"/>
    <col min="9" max="9" width="12" style="101" customWidth="1"/>
    <col min="10" max="10" width="9.140625" style="101" customWidth="1"/>
    <col min="11" max="16384" width="9.140625" style="101"/>
  </cols>
  <sheetData>
    <row r="1" spans="1:27" x14ac:dyDescent="0.25">
      <c r="A1" s="6" t="s">
        <v>143</v>
      </c>
      <c r="B1" s="6" t="s">
        <v>13</v>
      </c>
      <c r="C1" s="6" t="s">
        <v>3</v>
      </c>
      <c r="D1" s="6" t="s">
        <v>97</v>
      </c>
      <c r="E1" s="6" t="s">
        <v>2</v>
      </c>
      <c r="G1" s="3" t="s">
        <v>8</v>
      </c>
      <c r="H1" s="3" t="s">
        <v>113</v>
      </c>
      <c r="I1" s="3" t="s">
        <v>20</v>
      </c>
      <c r="J1" s="43"/>
      <c r="K1" s="43"/>
      <c r="L1" s="1"/>
      <c r="M1" s="1"/>
      <c r="N1" s="1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x14ac:dyDescent="0.25">
      <c r="A2" s="5">
        <f>'Fig1'!A2</f>
        <v>50</v>
      </c>
      <c r="B2" s="5">
        <f>'Fig1'!C2</f>
        <v>134</v>
      </c>
      <c r="C2" s="5">
        <f>'Fig1'!D2</f>
        <v>-0.37706964907982332</v>
      </c>
      <c r="D2" s="5">
        <f>'Fig1'!E2</f>
        <v>125.3</v>
      </c>
      <c r="E2" s="5">
        <f>D2/B2^C2</f>
        <v>794.36066529484287</v>
      </c>
      <c r="G2" s="101">
        <f>B2*(A2/D2)^(1/C2)</f>
        <v>1531.84397894839</v>
      </c>
      <c r="H2" s="101">
        <f>B2*D2*(($C$2+1)^(-1)*(-$C$2*($A$2/D2)^(($C$2+1)/$C$2)-1)+$A$2/D2)</f>
        <v>26108.901109884697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x14ac:dyDescent="0.25">
      <c r="A3" s="105" t="str">
        <f>H6</f>
        <v>Private-type R&amp;D</v>
      </c>
      <c r="B3" s="51">
        <f>$B$2*(D3/$D$2)^(1/$C$2)</f>
        <v>345.69857775548633</v>
      </c>
      <c r="C3" s="51"/>
      <c r="D3" s="51">
        <f>D2-(D2-A2)/2</f>
        <v>87.65</v>
      </c>
      <c r="E3" s="51">
        <f>D3/(B3)^C2</f>
        <v>794.36066529484287</v>
      </c>
      <c r="G3" s="101">
        <f>G2</f>
        <v>1531.84397894839</v>
      </c>
      <c r="H3" s="101">
        <f>B3*D3*(-($C$2+1)^(-1)*($C$2*($A$2/D3)^(($C$2+1)/$C$2)+1)+$A$2/D3)</f>
        <v>15005.562087271688</v>
      </c>
      <c r="I3" s="101">
        <f>H4/H3</f>
        <v>0.3876209178239044</v>
      </c>
      <c r="J3" s="101">
        <f>(D3/D2)^(-1/C2)</f>
        <v>0.38762091782390445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x14ac:dyDescent="0.25">
      <c r="A4" s="106" t="str">
        <f>K6</f>
        <v>Public-type R&amp;D</v>
      </c>
      <c r="B4" s="64">
        <f>B2</f>
        <v>134</v>
      </c>
      <c r="C4" s="64"/>
      <c r="D4" s="64">
        <f>D3</f>
        <v>87.65</v>
      </c>
      <c r="E4" s="64">
        <f>D4/B4^C2</f>
        <v>555.67208549954501</v>
      </c>
      <c r="G4" s="101">
        <f>B4*(A2/D4)^(1/C2)</f>
        <v>593.77476908299639</v>
      </c>
      <c r="H4" s="101">
        <f>$B$2*$D$4*(-($C$2+1)^(-1)*($C$2*($A$2/D4)^(($C$2+1)/$C$2)+1)+$A$2/D4)</f>
        <v>5816.4697487318344</v>
      </c>
      <c r="I4" s="101">
        <f>((A2/D2)^((C2+1)/C2)-1)/(-C2*(A2/D2)^((C2+1)/C2)-1+(C2+1)*A2/D2)</f>
        <v>3.6769490854197104</v>
      </c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x14ac:dyDescent="0.25">
      <c r="A5" s="101" t="s">
        <v>117</v>
      </c>
      <c r="B5" s="101">
        <f>B3-B2</f>
        <v>211.69857775548633</v>
      </c>
      <c r="D5" s="104">
        <f>D4/D2</f>
        <v>0.69952114924181974</v>
      </c>
      <c r="E5" s="101">
        <f>D3/B2^C2</f>
        <v>555.67208549954501</v>
      </c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x14ac:dyDescent="0.25">
      <c r="A6" s="59"/>
      <c r="B6" s="60"/>
      <c r="C6" s="10"/>
      <c r="D6" s="11" t="s">
        <v>151</v>
      </c>
      <c r="E6" s="54" t="s">
        <v>150</v>
      </c>
      <c r="F6" s="3"/>
      <c r="G6" s="37"/>
      <c r="H6" s="37" t="s">
        <v>152</v>
      </c>
      <c r="I6" s="38"/>
      <c r="J6" s="13"/>
      <c r="K6" s="13" t="s">
        <v>153</v>
      </c>
      <c r="L6" s="13"/>
      <c r="M6" s="14"/>
      <c r="N6" s="14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x14ac:dyDescent="0.25">
      <c r="A7" s="60" t="s">
        <v>118</v>
      </c>
      <c r="B7" s="60" t="s">
        <v>124</v>
      </c>
      <c r="C7" s="10" t="s">
        <v>143</v>
      </c>
      <c r="D7" s="10" t="s">
        <v>123</v>
      </c>
      <c r="E7" s="54" t="s">
        <v>144</v>
      </c>
      <c r="F7" s="54" t="s">
        <v>120</v>
      </c>
      <c r="G7" s="61" t="s">
        <v>145</v>
      </c>
      <c r="H7" s="61" t="s">
        <v>147</v>
      </c>
      <c r="I7" s="61" t="s">
        <v>148</v>
      </c>
      <c r="J7" s="62" t="s">
        <v>144</v>
      </c>
      <c r="K7" s="62" t="s">
        <v>147</v>
      </c>
      <c r="L7" s="62" t="s">
        <v>146</v>
      </c>
      <c r="M7" s="62" t="s">
        <v>148</v>
      </c>
      <c r="N7" s="6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x14ac:dyDescent="0.25">
      <c r="A8" s="101">
        <f>B2</f>
        <v>134</v>
      </c>
      <c r="B8" s="101">
        <f>LOG(A8,10)</f>
        <v>2.1271047983648073</v>
      </c>
      <c r="C8" s="17">
        <f t="shared" ref="C8:C48" si="0">$A$2</f>
        <v>50</v>
      </c>
      <c r="D8" s="101">
        <f>LOG($A$2,10)</f>
        <v>1.6989700043360185</v>
      </c>
      <c r="E8" s="101">
        <f t="shared" ref="E8:E32" si="1">E$2*$A8^C$2</f>
        <v>125.3</v>
      </c>
      <c r="F8" s="101">
        <f>LOG(E8,10)</f>
        <v>2.0979510709941498</v>
      </c>
      <c r="G8" s="101">
        <f t="shared" ref="G8:G32" si="2">E$3*($A8+$B$5)^C$2</f>
        <v>87.65</v>
      </c>
      <c r="H8" s="101">
        <f t="shared" ref="H8:H32" si="3">LOG(E$3*$A8^C$2,10)</f>
        <v>2.0979510709941498</v>
      </c>
      <c r="I8" s="101">
        <f t="shared" ref="I8:I32" si="4">H8-D8</f>
        <v>0.39898106665813127</v>
      </c>
      <c r="J8" s="101">
        <f t="shared" ref="J8:J32" si="5">E$4*$A8^C$2</f>
        <v>87.65000000000002</v>
      </c>
      <c r="K8" s="101">
        <f t="shared" ref="K8:K32" si="6">LOG(E$4*$A8^C$2,10)</f>
        <v>1.9427519204298138</v>
      </c>
      <c r="L8" s="101">
        <f t="shared" ref="L8:M32" si="7">J8-C8</f>
        <v>37.65000000000002</v>
      </c>
      <c r="M8" s="101">
        <f t="shared" si="7"/>
        <v>0.24378191609379529</v>
      </c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x14ac:dyDescent="0.25">
      <c r="A9" s="101">
        <f>A8+$B$5/6</f>
        <v>169.28309629258106</v>
      </c>
      <c r="B9" s="101">
        <f t="shared" ref="B9:B32" si="8">LOG(A9,10)</f>
        <v>2.2286135939425473</v>
      </c>
      <c r="C9" s="17">
        <f t="shared" si="0"/>
        <v>50</v>
      </c>
      <c r="D9" s="101">
        <f t="shared" ref="D9:D48" si="9">LOG($A$2,10)</f>
        <v>1.6989700043360185</v>
      </c>
      <c r="E9" s="101">
        <f t="shared" si="1"/>
        <v>114.72952223478963</v>
      </c>
      <c r="F9" s="101">
        <f t="shared" ref="F9:F32" si="10">LOG(E9,10)</f>
        <v>2.0596751850671358</v>
      </c>
      <c r="G9" s="101">
        <f t="shared" si="2"/>
        <v>84.49619121154582</v>
      </c>
      <c r="H9" s="101">
        <f t="shared" si="3"/>
        <v>2.0596751850671358</v>
      </c>
      <c r="I9" s="101">
        <f t="shared" si="4"/>
        <v>0.36070518073111724</v>
      </c>
      <c r="J9" s="101">
        <f t="shared" si="5"/>
        <v>80.255727245644962</v>
      </c>
      <c r="K9" s="101">
        <f t="shared" si="6"/>
        <v>1.9044760345027996</v>
      </c>
      <c r="L9" s="101">
        <f t="shared" si="7"/>
        <v>30.255727245644962</v>
      </c>
      <c r="M9" s="101">
        <f t="shared" si="7"/>
        <v>0.20550603016678104</v>
      </c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x14ac:dyDescent="0.25">
      <c r="A10" s="101">
        <f t="shared" ref="A10:A47" si="11">A9+$B$5/6</f>
        <v>204.56619258516213</v>
      </c>
      <c r="B10" s="101">
        <f t="shared" si="8"/>
        <v>2.3108338620893467</v>
      </c>
      <c r="C10" s="17">
        <f t="shared" si="0"/>
        <v>50</v>
      </c>
      <c r="D10" s="101">
        <f t="shared" si="9"/>
        <v>1.6989700043360185</v>
      </c>
      <c r="E10" s="101">
        <f t="shared" si="1"/>
        <v>106.82488092927329</v>
      </c>
      <c r="F10" s="101">
        <f t="shared" si="10"/>
        <v>2.0286724174097732</v>
      </c>
      <c r="G10" s="101">
        <f t="shared" si="2"/>
        <v>81.720860978867378</v>
      </c>
      <c r="H10" s="101">
        <f t="shared" si="3"/>
        <v>2.0286724174097732</v>
      </c>
      <c r="I10" s="101">
        <f t="shared" si="4"/>
        <v>0.3297024130737547</v>
      </c>
      <c r="J10" s="101">
        <f t="shared" si="5"/>
        <v>74.72626347526581</v>
      </c>
      <c r="K10" s="101">
        <f t="shared" si="6"/>
        <v>1.8734732668454372</v>
      </c>
      <c r="L10" s="101">
        <f t="shared" si="7"/>
        <v>24.72626347526581</v>
      </c>
      <c r="M10" s="101">
        <f t="shared" si="7"/>
        <v>0.17450326250941872</v>
      </c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x14ac:dyDescent="0.25">
      <c r="A11" s="101">
        <f t="shared" si="11"/>
        <v>239.84928887774319</v>
      </c>
      <c r="B11" s="101">
        <f t="shared" si="8"/>
        <v>2.3799384351766086</v>
      </c>
      <c r="C11" s="17">
        <f t="shared" si="0"/>
        <v>50</v>
      </c>
      <c r="D11" s="101">
        <f t="shared" si="9"/>
        <v>1.6989700043360185</v>
      </c>
      <c r="E11" s="101">
        <f t="shared" si="1"/>
        <v>100.60398418740887</v>
      </c>
      <c r="F11" s="101">
        <f t="shared" si="10"/>
        <v>2.002615180285948</v>
      </c>
      <c r="G11" s="101">
        <f t="shared" si="2"/>
        <v>79.251867096943386</v>
      </c>
      <c r="H11" s="101">
        <f t="shared" si="3"/>
        <v>2.002615180285948</v>
      </c>
      <c r="I11" s="101">
        <f t="shared" si="4"/>
        <v>0.30364517594992946</v>
      </c>
      <c r="J11" s="101">
        <f t="shared" si="5"/>
        <v>70.374614637082104</v>
      </c>
      <c r="K11" s="101">
        <f t="shared" si="6"/>
        <v>1.8474160297216122</v>
      </c>
      <c r="L11" s="101">
        <f t="shared" si="7"/>
        <v>20.374614637082104</v>
      </c>
      <c r="M11" s="101">
        <f t="shared" si="7"/>
        <v>0.14844602538559371</v>
      </c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x14ac:dyDescent="0.25">
      <c r="A12" s="101">
        <f t="shared" si="11"/>
        <v>275.13238517032426</v>
      </c>
      <c r="B12" s="101">
        <f t="shared" si="8"/>
        <v>2.439541713155855</v>
      </c>
      <c r="C12" s="17">
        <f t="shared" si="0"/>
        <v>50</v>
      </c>
      <c r="D12" s="101">
        <f t="shared" si="9"/>
        <v>1.6989700043360185</v>
      </c>
      <c r="E12" s="101">
        <f t="shared" si="1"/>
        <v>95.530179366687818</v>
      </c>
      <c r="F12" s="101">
        <f t="shared" si="10"/>
        <v>1.9801405931743068</v>
      </c>
      <c r="G12" s="101">
        <f t="shared" si="2"/>
        <v>77.035158252474972</v>
      </c>
      <c r="H12" s="101">
        <f t="shared" si="3"/>
        <v>1.9801405931743068</v>
      </c>
      <c r="I12" s="101">
        <f t="shared" si="4"/>
        <v>0.28117058883828827</v>
      </c>
      <c r="J12" s="101">
        <f t="shared" si="5"/>
        <v>66.82538085786264</v>
      </c>
      <c r="K12" s="101">
        <f t="shared" si="6"/>
        <v>1.8249414426099708</v>
      </c>
      <c r="L12" s="101">
        <f t="shared" si="7"/>
        <v>16.82538085786264</v>
      </c>
      <c r="M12" s="101">
        <f t="shared" si="7"/>
        <v>0.1259714382739523</v>
      </c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x14ac:dyDescent="0.25">
      <c r="A13" s="101">
        <f t="shared" si="11"/>
        <v>310.41548146290529</v>
      </c>
      <c r="B13" s="101">
        <f t="shared" si="8"/>
        <v>2.4919433728511202</v>
      </c>
      <c r="C13" s="17">
        <f t="shared" si="0"/>
        <v>50</v>
      </c>
      <c r="D13" s="101">
        <f t="shared" si="9"/>
        <v>1.6989700043360185</v>
      </c>
      <c r="E13" s="101">
        <f t="shared" si="1"/>
        <v>91.281237197378942</v>
      </c>
      <c r="F13" s="101">
        <f t="shared" si="10"/>
        <v>1.9603815177418125</v>
      </c>
      <c r="G13" s="101">
        <f t="shared" si="2"/>
        <v>75.029299164497289</v>
      </c>
      <c r="H13" s="101">
        <f t="shared" si="3"/>
        <v>1.9603815177418125</v>
      </c>
      <c r="I13" s="101">
        <f t="shared" si="4"/>
        <v>0.26141151340579394</v>
      </c>
      <c r="J13" s="101">
        <f t="shared" si="5"/>
        <v>63.853155948525661</v>
      </c>
      <c r="K13" s="101">
        <f t="shared" si="6"/>
        <v>1.8051823671774765</v>
      </c>
      <c r="L13" s="101">
        <f t="shared" si="7"/>
        <v>13.853155948525661</v>
      </c>
      <c r="M13" s="101">
        <f t="shared" si="7"/>
        <v>0.10621236284145796</v>
      </c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x14ac:dyDescent="0.25">
      <c r="A14" s="101">
        <f t="shared" si="11"/>
        <v>345.69857775548633</v>
      </c>
      <c r="B14" s="101">
        <f t="shared" si="8"/>
        <v>2.5386975928076225</v>
      </c>
      <c r="C14" s="17">
        <f t="shared" si="0"/>
        <v>50</v>
      </c>
      <c r="D14" s="101">
        <f t="shared" si="9"/>
        <v>1.6989700043360185</v>
      </c>
      <c r="E14" s="101">
        <f t="shared" si="1"/>
        <v>87.65</v>
      </c>
      <c r="F14" s="101">
        <f t="shared" si="10"/>
        <v>1.9427519204298134</v>
      </c>
      <c r="G14" s="101">
        <f t="shared" si="2"/>
        <v>73.201899899272803</v>
      </c>
      <c r="H14" s="101">
        <f t="shared" si="3"/>
        <v>1.9427519204298134</v>
      </c>
      <c r="I14" s="101">
        <f t="shared" si="4"/>
        <v>0.24378191609379485</v>
      </c>
      <c r="J14" s="101">
        <f t="shared" si="5"/>
        <v>61.313028731045499</v>
      </c>
      <c r="K14" s="101">
        <f t="shared" si="6"/>
        <v>1.7875527698654774</v>
      </c>
      <c r="L14" s="101">
        <f t="shared" si="7"/>
        <v>11.313028731045499</v>
      </c>
      <c r="M14" s="101">
        <f t="shared" si="7"/>
        <v>8.8582765529458873E-2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x14ac:dyDescent="0.25">
      <c r="A15" s="101">
        <f t="shared" si="11"/>
        <v>380.98167404806736</v>
      </c>
      <c r="B15" s="101">
        <f t="shared" si="8"/>
        <v>2.5809040857774166</v>
      </c>
      <c r="C15" s="17">
        <f t="shared" si="0"/>
        <v>50</v>
      </c>
      <c r="D15" s="101">
        <f t="shared" si="9"/>
        <v>1.6989700043360185</v>
      </c>
      <c r="E15" s="101">
        <f t="shared" si="1"/>
        <v>84.49619121154582</v>
      </c>
      <c r="F15" s="101">
        <f t="shared" si="10"/>
        <v>1.9268371329368033</v>
      </c>
      <c r="G15" s="101">
        <f t="shared" si="2"/>
        <v>71.527211493230638</v>
      </c>
      <c r="H15" s="101">
        <f t="shared" si="3"/>
        <v>1.9268371329368033</v>
      </c>
      <c r="I15" s="101">
        <f t="shared" si="4"/>
        <v>0.22786712860078473</v>
      </c>
      <c r="J15" s="101">
        <f t="shared" si="5"/>
        <v>59.106872782857081</v>
      </c>
      <c r="K15" s="101">
        <f t="shared" si="6"/>
        <v>1.7716379823724671</v>
      </c>
      <c r="L15" s="101">
        <f t="shared" si="7"/>
        <v>9.1068727828570815</v>
      </c>
      <c r="M15" s="101">
        <f t="shared" si="7"/>
        <v>7.2667978036448533E-2</v>
      </c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x14ac:dyDescent="0.25">
      <c r="A16" s="101">
        <f t="shared" si="11"/>
        <v>416.2647703406484</v>
      </c>
      <c r="B16" s="101">
        <f t="shared" si="8"/>
        <v>2.6193696568774558</v>
      </c>
      <c r="C16" s="17">
        <f t="shared" si="0"/>
        <v>50</v>
      </c>
      <c r="D16" s="101">
        <f t="shared" si="9"/>
        <v>1.6989700043360185</v>
      </c>
      <c r="E16" s="101">
        <f t="shared" si="1"/>
        <v>81.720860978867378</v>
      </c>
      <c r="F16" s="101">
        <f t="shared" si="10"/>
        <v>1.9123329335404564</v>
      </c>
      <c r="G16" s="101">
        <f t="shared" si="2"/>
        <v>69.984461881476477</v>
      </c>
      <c r="H16" s="101">
        <f t="shared" si="3"/>
        <v>1.9123329335404564</v>
      </c>
      <c r="I16" s="101">
        <f t="shared" si="4"/>
        <v>0.21336292920443789</v>
      </c>
      <c r="J16" s="101">
        <f t="shared" si="5"/>
        <v>57.165470588968297</v>
      </c>
      <c r="K16" s="101">
        <f t="shared" si="6"/>
        <v>1.75713378297612</v>
      </c>
      <c r="L16" s="101">
        <f t="shared" si="7"/>
        <v>7.1654705889682972</v>
      </c>
      <c r="M16" s="101">
        <f t="shared" si="7"/>
        <v>5.8163778640101471E-2</v>
      </c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x14ac:dyDescent="0.25">
      <c r="A17" s="101">
        <f t="shared" si="11"/>
        <v>451.54786663322943</v>
      </c>
      <c r="B17" s="101">
        <f t="shared" si="8"/>
        <v>2.6547037947664802</v>
      </c>
      <c r="C17" s="17">
        <f t="shared" si="0"/>
        <v>50</v>
      </c>
      <c r="D17" s="101">
        <f t="shared" si="9"/>
        <v>1.6989700043360185</v>
      </c>
      <c r="E17" s="101">
        <f t="shared" si="1"/>
        <v>79.251867096943386</v>
      </c>
      <c r="F17" s="101">
        <f t="shared" si="10"/>
        <v>1.899009502566104</v>
      </c>
      <c r="G17" s="101">
        <f t="shared" si="2"/>
        <v>68.556676404101452</v>
      </c>
      <c r="H17" s="101">
        <f t="shared" si="3"/>
        <v>1.899009502566104</v>
      </c>
      <c r="I17" s="101">
        <f t="shared" si="4"/>
        <v>0.20003949823008549</v>
      </c>
      <c r="J17" s="101">
        <f t="shared" si="5"/>
        <v>55.4383571512138</v>
      </c>
      <c r="K17" s="101">
        <f t="shared" si="6"/>
        <v>1.7438103520017676</v>
      </c>
      <c r="L17" s="101">
        <f t="shared" si="7"/>
        <v>5.4383571512138005</v>
      </c>
      <c r="M17" s="101">
        <f t="shared" si="7"/>
        <v>4.484034766574907E-2</v>
      </c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x14ac:dyDescent="0.25">
      <c r="A18" s="101">
        <f t="shared" si="11"/>
        <v>486.83096292581047</v>
      </c>
      <c r="B18" s="101">
        <f t="shared" si="8"/>
        <v>2.6873781919906317</v>
      </c>
      <c r="C18" s="17">
        <f t="shared" si="0"/>
        <v>50</v>
      </c>
      <c r="D18" s="101">
        <f t="shared" si="9"/>
        <v>1.6989700043360185</v>
      </c>
      <c r="E18" s="101">
        <f t="shared" si="1"/>
        <v>77.035158252474972</v>
      </c>
      <c r="F18" s="101">
        <f t="shared" si="10"/>
        <v>1.8866889790708983</v>
      </c>
      <c r="G18" s="101">
        <f t="shared" si="2"/>
        <v>67.229824114388023</v>
      </c>
      <c r="H18" s="101">
        <f t="shared" si="3"/>
        <v>1.8866889790708983</v>
      </c>
      <c r="I18" s="101">
        <f t="shared" si="4"/>
        <v>0.18771897473487975</v>
      </c>
      <c r="J18" s="101">
        <f t="shared" si="5"/>
        <v>53.887722432796743</v>
      </c>
      <c r="K18" s="101">
        <f t="shared" si="6"/>
        <v>1.7314898285065623</v>
      </c>
      <c r="L18" s="101">
        <f t="shared" si="7"/>
        <v>3.8877224327967426</v>
      </c>
      <c r="M18" s="101">
        <f t="shared" si="7"/>
        <v>3.2519824170543776E-2</v>
      </c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x14ac:dyDescent="0.25">
      <c r="A19" s="101">
        <f t="shared" si="11"/>
        <v>522.1140592183915</v>
      </c>
      <c r="B19" s="101">
        <f t="shared" si="8"/>
        <v>2.717765387826228</v>
      </c>
      <c r="C19" s="17">
        <f t="shared" si="0"/>
        <v>50</v>
      </c>
      <c r="D19" s="101">
        <f t="shared" si="9"/>
        <v>1.6989700043360185</v>
      </c>
      <c r="E19" s="101">
        <f t="shared" si="1"/>
        <v>75.029299164497289</v>
      </c>
      <c r="F19" s="101">
        <f t="shared" si="10"/>
        <v>1.8752308898006502</v>
      </c>
      <c r="G19" s="101">
        <f t="shared" si="2"/>
        <v>65.992188361174783</v>
      </c>
      <c r="H19" s="101">
        <f t="shared" si="3"/>
        <v>1.8752308898006502</v>
      </c>
      <c r="I19" s="101">
        <f t="shared" si="4"/>
        <v>0.1762608854646317</v>
      </c>
      <c r="J19" s="101">
        <f t="shared" si="5"/>
        <v>52.484581578357449</v>
      </c>
      <c r="K19" s="101">
        <f t="shared" si="6"/>
        <v>1.7200317392363142</v>
      </c>
      <c r="L19" s="101">
        <f t="shared" si="7"/>
        <v>2.4845815783574494</v>
      </c>
      <c r="M19" s="101">
        <f t="shared" si="7"/>
        <v>2.1061734900295725E-2</v>
      </c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x14ac:dyDescent="0.25">
      <c r="A20" s="101">
        <f t="shared" si="11"/>
        <v>557.39715551097254</v>
      </c>
      <c r="B20" s="101">
        <f t="shared" si="8"/>
        <v>2.7461647481070295</v>
      </c>
      <c r="C20" s="17">
        <f t="shared" si="0"/>
        <v>50</v>
      </c>
      <c r="D20" s="101">
        <f t="shared" si="9"/>
        <v>1.6989700043360185</v>
      </c>
      <c r="E20" s="101">
        <f t="shared" si="1"/>
        <v>73.201899899272831</v>
      </c>
      <c r="F20" s="101">
        <f t="shared" si="10"/>
        <v>1.8645223529854769</v>
      </c>
      <c r="G20" s="101">
        <f t="shared" si="2"/>
        <v>64.83389501614289</v>
      </c>
      <c r="H20" s="101">
        <f t="shared" si="3"/>
        <v>1.8645223529854769</v>
      </c>
      <c r="I20" s="101">
        <f t="shared" si="4"/>
        <v>0.16555234864945834</v>
      </c>
      <c r="J20" s="101">
        <f t="shared" si="5"/>
        <v>51.206277144223982</v>
      </c>
      <c r="K20" s="101">
        <f t="shared" si="6"/>
        <v>1.7093232024211409</v>
      </c>
      <c r="L20" s="101">
        <f t="shared" si="7"/>
        <v>1.2062771442239821</v>
      </c>
      <c r="M20" s="101">
        <f t="shared" si="7"/>
        <v>1.0353198085122362E-2</v>
      </c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x14ac:dyDescent="0.25">
      <c r="A21" s="20">
        <f>G4</f>
        <v>593.77476908299639</v>
      </c>
      <c r="B21" s="20">
        <f t="shared" si="8"/>
        <v>2.7736217394357867</v>
      </c>
      <c r="C21" s="20">
        <f t="shared" si="0"/>
        <v>50</v>
      </c>
      <c r="D21" s="20">
        <f t="shared" si="9"/>
        <v>1.6989700043360185</v>
      </c>
      <c r="E21" s="20">
        <f t="shared" si="1"/>
        <v>71.477467199087243</v>
      </c>
      <c r="F21" s="20">
        <f t="shared" si="10"/>
        <v>1.8541691549003547</v>
      </c>
      <c r="G21" s="20">
        <f t="shared" si="2"/>
        <v>63.713877240986768</v>
      </c>
      <c r="H21" s="20">
        <f t="shared" si="3"/>
        <v>1.8541691549003547</v>
      </c>
      <c r="I21" s="20">
        <f t="shared" si="4"/>
        <v>0.1551991505643362</v>
      </c>
      <c r="J21" s="20">
        <f t="shared" si="5"/>
        <v>49.999999999999986</v>
      </c>
      <c r="K21" s="101">
        <f t="shared" si="6"/>
        <v>1.6989700043360185</v>
      </c>
      <c r="L21" s="101">
        <f t="shared" si="7"/>
        <v>0</v>
      </c>
      <c r="M21" s="101">
        <f t="shared" si="7"/>
        <v>0</v>
      </c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x14ac:dyDescent="0.25">
      <c r="A22" s="101">
        <f t="shared" si="11"/>
        <v>629.05786537557742</v>
      </c>
      <c r="B22" s="101">
        <f t="shared" si="8"/>
        <v>2.7986905968879103</v>
      </c>
      <c r="C22" s="17">
        <f t="shared" si="0"/>
        <v>50</v>
      </c>
      <c r="D22" s="101">
        <f t="shared" si="9"/>
        <v>1.6989700043360185</v>
      </c>
      <c r="E22" s="101">
        <f t="shared" si="1"/>
        <v>69.938521907589276</v>
      </c>
      <c r="F22" s="101">
        <f t="shared" si="10"/>
        <v>1.8447164496180501</v>
      </c>
      <c r="G22" s="101">
        <f t="shared" si="2"/>
        <v>62.692178763769228</v>
      </c>
      <c r="H22" s="101">
        <f t="shared" si="3"/>
        <v>1.8447164496180501</v>
      </c>
      <c r="I22" s="101">
        <f t="shared" si="4"/>
        <v>0.14574644528203162</v>
      </c>
      <c r="J22" s="101">
        <f t="shared" si="5"/>
        <v>48.923475221071037</v>
      </c>
      <c r="K22" s="101">
        <f t="shared" si="6"/>
        <v>1.6895172990537142</v>
      </c>
      <c r="L22" s="101">
        <f t="shared" si="7"/>
        <v>-1.0765247789289631</v>
      </c>
      <c r="M22" s="101">
        <f t="shared" si="7"/>
        <v>-9.4527052823043523E-3</v>
      </c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5">
      <c r="A23" s="101">
        <f t="shared" si="11"/>
        <v>664.34096166815846</v>
      </c>
      <c r="B23" s="101">
        <f t="shared" si="8"/>
        <v>2.8223910308218185</v>
      </c>
      <c r="C23" s="17">
        <f t="shared" si="0"/>
        <v>50</v>
      </c>
      <c r="D23" s="101">
        <f t="shared" si="9"/>
        <v>1.6989700043360185</v>
      </c>
      <c r="E23" s="101">
        <f t="shared" si="1"/>
        <v>68.514064992505041</v>
      </c>
      <c r="F23" s="101">
        <f t="shared" si="10"/>
        <v>1.8357797353115521</v>
      </c>
      <c r="G23" s="101">
        <f t="shared" si="2"/>
        <v>61.727878170236913</v>
      </c>
      <c r="H23" s="101">
        <f t="shared" si="3"/>
        <v>1.8357797353115521</v>
      </c>
      <c r="I23" s="101">
        <f t="shared" si="4"/>
        <v>0.13680973097553362</v>
      </c>
      <c r="J23" s="101">
        <f t="shared" si="5"/>
        <v>47.927037482785856</v>
      </c>
      <c r="K23" s="101">
        <f t="shared" si="6"/>
        <v>1.6805805847472159</v>
      </c>
      <c r="L23" s="101">
        <f t="shared" si="7"/>
        <v>-2.0729625172141439</v>
      </c>
      <c r="M23" s="101">
        <f t="shared" si="7"/>
        <v>-1.838941958880258E-2</v>
      </c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x14ac:dyDescent="0.25">
      <c r="A24" s="101">
        <f t="shared" si="11"/>
        <v>699.62405796073949</v>
      </c>
      <c r="B24" s="101">
        <f t="shared" si="8"/>
        <v>2.8448647351404737</v>
      </c>
      <c r="C24" s="17">
        <f t="shared" si="0"/>
        <v>50</v>
      </c>
      <c r="D24" s="101">
        <f t="shared" si="9"/>
        <v>1.6989700043360185</v>
      </c>
      <c r="E24" s="101">
        <f t="shared" si="1"/>
        <v>67.190145802741696</v>
      </c>
      <c r="F24" s="101">
        <f t="shared" si="10"/>
        <v>1.8273055835105929</v>
      </c>
      <c r="G24" s="101">
        <f t="shared" si="2"/>
        <v>60.815627058642036</v>
      </c>
      <c r="H24" s="101">
        <f t="shared" si="3"/>
        <v>1.8273055835105929</v>
      </c>
      <c r="I24" s="101">
        <f t="shared" si="4"/>
        <v>0.12833557917457439</v>
      </c>
      <c r="J24" s="101">
        <f t="shared" si="5"/>
        <v>47.000928009659305</v>
      </c>
      <c r="K24" s="101">
        <f t="shared" si="6"/>
        <v>1.6721064329462567</v>
      </c>
      <c r="L24" s="101">
        <f t="shared" si="7"/>
        <v>-2.9990719903406955</v>
      </c>
      <c r="M24" s="101">
        <f t="shared" si="7"/>
        <v>-2.6863571389761809E-2</v>
      </c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5">
      <c r="A25" s="101">
        <f t="shared" si="11"/>
        <v>734.90715425332053</v>
      </c>
      <c r="B25" s="101">
        <f t="shared" si="8"/>
        <v>2.866232475216925</v>
      </c>
      <c r="C25" s="17">
        <f t="shared" si="0"/>
        <v>50</v>
      </c>
      <c r="D25" s="101">
        <f t="shared" si="9"/>
        <v>1.6989700043360185</v>
      </c>
      <c r="E25" s="101">
        <f t="shared" si="1"/>
        <v>65.955111255268477</v>
      </c>
      <c r="F25" s="101">
        <f t="shared" si="10"/>
        <v>1.8192484572583367</v>
      </c>
      <c r="G25" s="101">
        <f t="shared" si="2"/>
        <v>59.950758397480264</v>
      </c>
      <c r="H25" s="101">
        <f t="shared" si="3"/>
        <v>1.8192484572583367</v>
      </c>
      <c r="I25" s="101">
        <f t="shared" si="4"/>
        <v>0.1202784529223182</v>
      </c>
      <c r="J25" s="101">
        <f t="shared" si="5"/>
        <v>46.136995223657486</v>
      </c>
      <c r="K25" s="101">
        <f t="shared" si="6"/>
        <v>1.6640493066940008</v>
      </c>
      <c r="L25" s="101">
        <f t="shared" si="7"/>
        <v>-3.8630047763425139</v>
      </c>
      <c r="M25" s="101">
        <f t="shared" si="7"/>
        <v>-3.4920697642017773E-2</v>
      </c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x14ac:dyDescent="0.25">
      <c r="A26" s="101">
        <f t="shared" si="11"/>
        <v>770.19025054590156</v>
      </c>
      <c r="B26" s="101">
        <f t="shared" si="8"/>
        <v>2.8865980168043501</v>
      </c>
      <c r="C26" s="17">
        <f t="shared" si="0"/>
        <v>50</v>
      </c>
      <c r="D26" s="101">
        <f t="shared" si="9"/>
        <v>1.6989700043360185</v>
      </c>
      <c r="E26" s="101">
        <f t="shared" si="1"/>
        <v>64.799138148522132</v>
      </c>
      <c r="F26" s="101">
        <f t="shared" si="10"/>
        <v>1.8115692296386459</v>
      </c>
      <c r="G26" s="101">
        <f t="shared" si="2"/>
        <v>59.12917809945921</v>
      </c>
      <c r="H26" s="101">
        <f t="shared" si="3"/>
        <v>1.8115692296386459</v>
      </c>
      <c r="I26" s="101">
        <f t="shared" si="4"/>
        <v>0.11259922530262734</v>
      </c>
      <c r="J26" s="101">
        <f t="shared" si="5"/>
        <v>45.328367587533641</v>
      </c>
      <c r="K26" s="101">
        <f t="shared" si="6"/>
        <v>1.6563700790743094</v>
      </c>
      <c r="L26" s="101">
        <f t="shared" si="7"/>
        <v>-4.6716324124663586</v>
      </c>
      <c r="M26" s="101">
        <f t="shared" si="7"/>
        <v>-4.2599925261709082E-2</v>
      </c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x14ac:dyDescent="0.25">
      <c r="A27" s="101">
        <f t="shared" si="11"/>
        <v>805.4733468384826</v>
      </c>
      <c r="B27" s="101">
        <f t="shared" si="8"/>
        <v>2.9060511741624566</v>
      </c>
      <c r="C27" s="17">
        <f t="shared" si="0"/>
        <v>50</v>
      </c>
      <c r="D27" s="101">
        <f t="shared" si="9"/>
        <v>1.6989700043360185</v>
      </c>
      <c r="E27" s="101">
        <f t="shared" si="1"/>
        <v>63.713877240986768</v>
      </c>
      <c r="F27" s="101">
        <f t="shared" si="10"/>
        <v>1.8042340344201298</v>
      </c>
      <c r="G27" s="101">
        <f t="shared" si="2"/>
        <v>58.347277048851694</v>
      </c>
      <c r="H27" s="101">
        <f t="shared" si="3"/>
        <v>1.8042340344201298</v>
      </c>
      <c r="I27" s="101">
        <f t="shared" si="4"/>
        <v>0.10526403008411123</v>
      </c>
      <c r="J27" s="101">
        <f t="shared" si="5"/>
        <v>44.569204630267286</v>
      </c>
      <c r="K27" s="101">
        <f t="shared" si="6"/>
        <v>1.6490348838557936</v>
      </c>
      <c r="L27" s="101">
        <f t="shared" si="7"/>
        <v>-5.4307953697327136</v>
      </c>
      <c r="M27" s="101">
        <f t="shared" si="7"/>
        <v>-4.993512048022497E-2</v>
      </c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x14ac:dyDescent="0.25">
      <c r="A28" s="101">
        <f t="shared" si="11"/>
        <v>840.75644313106363</v>
      </c>
      <c r="B28" s="101">
        <f t="shared" si="8"/>
        <v>2.9246702042121204</v>
      </c>
      <c r="C28" s="17">
        <f t="shared" si="0"/>
        <v>50</v>
      </c>
      <c r="D28" s="101">
        <f t="shared" si="9"/>
        <v>1.6989700043360185</v>
      </c>
      <c r="E28" s="101">
        <f t="shared" si="1"/>
        <v>62.692178763769228</v>
      </c>
      <c r="F28" s="101">
        <f t="shared" si="10"/>
        <v>1.7972133632930964</v>
      </c>
      <c r="G28" s="101">
        <f t="shared" si="2"/>
        <v>57.60185916120502</v>
      </c>
      <c r="H28" s="101">
        <f t="shared" si="3"/>
        <v>1.7972133632930964</v>
      </c>
      <c r="I28" s="101">
        <f t="shared" si="4"/>
        <v>9.824335895707792E-2</v>
      </c>
      <c r="J28" s="101">
        <f t="shared" si="5"/>
        <v>43.854504937305457</v>
      </c>
      <c r="K28" s="101">
        <f t="shared" si="6"/>
        <v>1.6420142127287605</v>
      </c>
      <c r="L28" s="101">
        <f t="shared" si="7"/>
        <v>-6.1454950626945433</v>
      </c>
      <c r="M28" s="101">
        <f t="shared" si="7"/>
        <v>-5.6955791607258055E-2</v>
      </c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x14ac:dyDescent="0.25">
      <c r="A29" s="101">
        <f t="shared" si="11"/>
        <v>876.03953942364467</v>
      </c>
      <c r="B29" s="101">
        <f t="shared" si="8"/>
        <v>2.942523708184043</v>
      </c>
      <c r="C29" s="17">
        <f t="shared" si="0"/>
        <v>50</v>
      </c>
      <c r="D29" s="101">
        <f t="shared" si="9"/>
        <v>1.6989700043360185</v>
      </c>
      <c r="E29" s="101">
        <f t="shared" si="1"/>
        <v>61.727878170236913</v>
      </c>
      <c r="F29" s="101">
        <f t="shared" si="10"/>
        <v>1.7904813488155584</v>
      </c>
      <c r="G29" s="101">
        <f t="shared" si="2"/>
        <v>56.890082123658942</v>
      </c>
      <c r="H29" s="101">
        <f t="shared" si="3"/>
        <v>1.7904813488155584</v>
      </c>
      <c r="I29" s="101">
        <f t="shared" si="4"/>
        <v>9.1511344479539902E-2</v>
      </c>
      <c r="J29" s="101">
        <f t="shared" si="5"/>
        <v>43.179956277903166</v>
      </c>
      <c r="K29" s="101">
        <f t="shared" si="6"/>
        <v>1.6352821982512225</v>
      </c>
      <c r="L29" s="101">
        <f t="shared" si="7"/>
        <v>-6.820043722096834</v>
      </c>
      <c r="M29" s="101">
        <f t="shared" si="7"/>
        <v>-6.3687806084796073E-2</v>
      </c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x14ac:dyDescent="0.25">
      <c r="A30" s="101">
        <f t="shared" si="11"/>
        <v>911.3226357162257</v>
      </c>
      <c r="B30" s="101">
        <f t="shared" si="8"/>
        <v>2.9596721575494334</v>
      </c>
      <c r="C30" s="17">
        <f t="shared" si="0"/>
        <v>50</v>
      </c>
      <c r="D30" s="101">
        <f t="shared" si="9"/>
        <v>1.6989700043360185</v>
      </c>
      <c r="E30" s="101">
        <f t="shared" si="1"/>
        <v>60.815627058642036</v>
      </c>
      <c r="F30" s="101">
        <f t="shared" si="10"/>
        <v>1.7840151890310874</v>
      </c>
      <c r="G30" s="101">
        <f t="shared" si="2"/>
        <v>56.209408249037956</v>
      </c>
      <c r="H30" s="101">
        <f t="shared" si="3"/>
        <v>1.7840151890310874</v>
      </c>
      <c r="I30" s="101">
        <f t="shared" si="4"/>
        <v>8.5045184695068832E-2</v>
      </c>
      <c r="J30" s="101">
        <f t="shared" si="5"/>
        <v>42.541817331923184</v>
      </c>
      <c r="K30" s="101">
        <f t="shared" si="6"/>
        <v>1.6288160384667512</v>
      </c>
      <c r="L30" s="101">
        <f t="shared" si="7"/>
        <v>-7.458182668076816</v>
      </c>
      <c r="M30" s="101">
        <f t="shared" si="7"/>
        <v>-7.0153965869267365E-2</v>
      </c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x14ac:dyDescent="0.25">
      <c r="A31" s="101">
        <f t="shared" si="11"/>
        <v>946.60573200880674</v>
      </c>
      <c r="B31" s="101">
        <f t="shared" si="8"/>
        <v>2.9761691299357547</v>
      </c>
      <c r="C31" s="17">
        <f t="shared" si="0"/>
        <v>50</v>
      </c>
      <c r="D31" s="101">
        <f t="shared" si="9"/>
        <v>1.6989700043360185</v>
      </c>
      <c r="E31" s="101">
        <f t="shared" si="1"/>
        <v>59.950758397480264</v>
      </c>
      <c r="F31" s="101">
        <f t="shared" si="10"/>
        <v>1.7777946814424979</v>
      </c>
      <c r="G31" s="101">
        <f t="shared" si="2"/>
        <v>55.55756345947983</v>
      </c>
      <c r="H31" s="101">
        <f t="shared" si="3"/>
        <v>1.7777946814424979</v>
      </c>
      <c r="I31" s="101">
        <f t="shared" si="4"/>
        <v>7.8824677106479335E-2</v>
      </c>
      <c r="J31" s="101">
        <f t="shared" si="5"/>
        <v>41.93682341212407</v>
      </c>
      <c r="K31" s="101">
        <f t="shared" si="6"/>
        <v>1.6225955308781617</v>
      </c>
      <c r="L31" s="101">
        <f t="shared" si="7"/>
        <v>-8.0631765878759296</v>
      </c>
      <c r="M31" s="101">
        <f t="shared" si="7"/>
        <v>-7.6374473457856862E-2</v>
      </c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x14ac:dyDescent="0.25">
      <c r="A32" s="101">
        <f t="shared" si="11"/>
        <v>981.88882830138778</v>
      </c>
      <c r="B32" s="101">
        <f t="shared" si="8"/>
        <v>2.9920623187559872</v>
      </c>
      <c r="C32" s="17">
        <f t="shared" si="0"/>
        <v>50</v>
      </c>
      <c r="D32" s="101">
        <f t="shared" si="9"/>
        <v>1.6989700043360185</v>
      </c>
      <c r="E32" s="101">
        <f t="shared" si="1"/>
        <v>59.12917809945921</v>
      </c>
      <c r="F32" s="101">
        <f t="shared" si="10"/>
        <v>1.7718018423112936</v>
      </c>
      <c r="G32" s="101">
        <f t="shared" si="2"/>
        <v>54.932502852278596</v>
      </c>
      <c r="H32" s="101">
        <f t="shared" si="3"/>
        <v>1.7718018423112936</v>
      </c>
      <c r="I32" s="101">
        <f t="shared" si="4"/>
        <v>7.2831837975275038E-2</v>
      </c>
      <c r="J32" s="101">
        <f t="shared" si="5"/>
        <v>41.362110617857944</v>
      </c>
      <c r="K32" s="101">
        <f t="shared" si="6"/>
        <v>1.6166026917469571</v>
      </c>
      <c r="L32" s="101">
        <f t="shared" si="7"/>
        <v>-8.6378893821420561</v>
      </c>
      <c r="M32" s="101">
        <f t="shared" si="7"/>
        <v>-8.2367312589061381E-2</v>
      </c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x14ac:dyDescent="0.25">
      <c r="A33" s="101">
        <f t="shared" si="11"/>
        <v>1017.1719245939688</v>
      </c>
      <c r="B33" s="101">
        <f t="shared" ref="B33:B35" si="12">LOG(A33,10)</f>
        <v>3.0073943645176433</v>
      </c>
      <c r="C33" s="17">
        <f t="shared" si="0"/>
        <v>50</v>
      </c>
      <c r="D33" s="101">
        <f t="shared" si="9"/>
        <v>1.6989700043360185</v>
      </c>
      <c r="E33" s="101">
        <f t="shared" ref="E33:E35" si="13">E$2*$A33^C$2</f>
        <v>58.347277048851694</v>
      </c>
      <c r="F33" s="101">
        <f t="shared" ref="F33:F35" si="14">LOG(E33,10)</f>
        <v>1.7660205931962698</v>
      </c>
      <c r="G33" s="101">
        <f t="shared" ref="G33:G35" si="15">E$3*($A33+$B$5)^C$2</f>
        <v>54.33238163144938</v>
      </c>
      <c r="H33" s="101">
        <f t="shared" ref="H33:H35" si="16">LOG(E$3*$A33^C$2,10)</f>
        <v>1.7660205931962698</v>
      </c>
      <c r="I33" s="101">
        <f t="shared" ref="I33:I35" si="17">H33-D33</f>
        <v>6.7050588860251281E-2</v>
      </c>
      <c r="J33" s="101">
        <f t="shared" ref="J33:J35" si="18">E$4*$A33^C$2</f>
        <v>40.815154296343593</v>
      </c>
      <c r="K33" s="101">
        <f t="shared" ref="K33:K35" si="19">LOG(E$4*$A33^C$2,10)</f>
        <v>1.6108214426319336</v>
      </c>
      <c r="L33" s="101">
        <f t="shared" ref="L33:L35" si="20">J33-C33</f>
        <v>-9.1848457036564071</v>
      </c>
      <c r="M33" s="101">
        <f t="shared" ref="M33:M35" si="21">K33-D33</f>
        <v>-8.8148561704084916E-2</v>
      </c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x14ac:dyDescent="0.25">
      <c r="A34" s="101">
        <f t="shared" si="11"/>
        <v>1052.4550208865498</v>
      </c>
      <c r="B34" s="101">
        <f t="shared" si="12"/>
        <v>3.0222035443194053</v>
      </c>
      <c r="C34" s="17">
        <f t="shared" si="0"/>
        <v>50</v>
      </c>
      <c r="D34" s="101">
        <f t="shared" si="9"/>
        <v>1.6989700043360185</v>
      </c>
      <c r="E34" s="101">
        <f t="shared" si="13"/>
        <v>57.60185916120502</v>
      </c>
      <c r="F34" s="101">
        <f t="shared" si="14"/>
        <v>1.7604365009652594</v>
      </c>
      <c r="G34" s="101">
        <f t="shared" si="15"/>
        <v>53.755530441289473</v>
      </c>
      <c r="H34" s="101">
        <f t="shared" si="16"/>
        <v>1.7604365009652594</v>
      </c>
      <c r="I34" s="101">
        <f t="shared" si="17"/>
        <v>6.1466496629240863E-2</v>
      </c>
      <c r="J34" s="101">
        <f t="shared" si="18"/>
        <v>40.293718718911578</v>
      </c>
      <c r="K34" s="101">
        <f t="shared" si="19"/>
        <v>1.6052373504009234</v>
      </c>
      <c r="L34" s="101">
        <f t="shared" si="20"/>
        <v>-9.7062812810884225</v>
      </c>
      <c r="M34" s="101">
        <f t="shared" si="21"/>
        <v>-9.3732653935095112E-2</v>
      </c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x14ac:dyDescent="0.25">
      <c r="A35" s="101">
        <f t="shared" si="11"/>
        <v>1087.738117179131</v>
      </c>
      <c r="B35" s="101">
        <f t="shared" si="12"/>
        <v>3.03652434761015</v>
      </c>
      <c r="C35" s="17">
        <f t="shared" si="0"/>
        <v>50</v>
      </c>
      <c r="D35" s="101">
        <f t="shared" si="9"/>
        <v>1.6989700043360185</v>
      </c>
      <c r="E35" s="101">
        <f t="shared" si="13"/>
        <v>56.890082123658942</v>
      </c>
      <c r="F35" s="101">
        <f t="shared" si="14"/>
        <v>1.7550365606938774</v>
      </c>
      <c r="G35" s="101">
        <f t="shared" si="15"/>
        <v>53.200434332968278</v>
      </c>
      <c r="H35" s="101">
        <f t="shared" si="16"/>
        <v>1.7550365606938774</v>
      </c>
      <c r="I35" s="101">
        <f t="shared" si="17"/>
        <v>5.6066556357858843E-2</v>
      </c>
      <c r="J35" s="101">
        <f t="shared" si="18"/>
        <v>39.79581562760341</v>
      </c>
      <c r="K35" s="101">
        <f t="shared" si="19"/>
        <v>1.5998374101295412</v>
      </c>
      <c r="L35" s="101">
        <f t="shared" si="20"/>
        <v>-10.20418437239659</v>
      </c>
      <c r="M35" s="101">
        <f t="shared" si="21"/>
        <v>-9.9132594206477354E-2</v>
      </c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x14ac:dyDescent="0.25">
      <c r="A36" s="101">
        <f t="shared" si="11"/>
        <v>1123.0212134717121</v>
      </c>
      <c r="B36" s="101">
        <f t="shared" ref="B36:B43" si="22">LOG(A36,10)</f>
        <v>3.0503879600073986</v>
      </c>
      <c r="C36" s="17">
        <f t="shared" si="0"/>
        <v>50</v>
      </c>
      <c r="D36" s="101">
        <f t="shared" si="9"/>
        <v>1.6989700043360185</v>
      </c>
      <c r="E36" s="101">
        <f t="shared" ref="E36:E43" si="23">E$2*$A36^C$2</f>
        <v>56.209408249037956</v>
      </c>
      <c r="F36" s="101">
        <f t="shared" ref="F36:F43" si="24">LOG(E36,10)</f>
        <v>1.7498090132322679</v>
      </c>
      <c r="G36" s="101">
        <f t="shared" ref="G36:G43" si="25">E$3*($A36+$B$5)^C$2</f>
        <v>52.665714746432876</v>
      </c>
      <c r="H36" s="101">
        <f t="shared" ref="H36:H43" si="26">LOG(E$3*$A36^C$2,10)</f>
        <v>1.7498090132322679</v>
      </c>
      <c r="I36" s="101">
        <f t="shared" ref="I36:I43" si="27">H36-D36</f>
        <v>5.0839008896249371E-2</v>
      </c>
      <c r="J36" s="101">
        <f t="shared" ref="J36:J43" si="28">E$4*$A36^C$2</f>
        <v>39.319669856569654</v>
      </c>
      <c r="K36" s="101">
        <f t="shared" ref="K36:K43" si="29">LOG(E$4*$A36^C$2,10)</f>
        <v>1.5946098626679319</v>
      </c>
      <c r="L36" s="101">
        <f t="shared" ref="L36:L43" si="30">J36-C36</f>
        <v>-10.680330143430346</v>
      </c>
      <c r="M36" s="101">
        <f t="shared" ref="M36:M43" si="31">K36-D36</f>
        <v>-0.1043601416680866</v>
      </c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x14ac:dyDescent="0.25">
      <c r="A37" s="101">
        <f t="shared" si="11"/>
        <v>1158.3043097642933</v>
      </c>
      <c r="B37" s="101">
        <f t="shared" si="22"/>
        <v>3.0638226722492354</v>
      </c>
      <c r="C37" s="17">
        <f t="shared" si="0"/>
        <v>50</v>
      </c>
      <c r="D37" s="101">
        <f t="shared" si="9"/>
        <v>1.6989700043360185</v>
      </c>
      <c r="E37" s="101">
        <f t="shared" si="23"/>
        <v>55.55756345947983</v>
      </c>
      <c r="F37" s="101">
        <f t="shared" si="24"/>
        <v>1.7447431910017501</v>
      </c>
      <c r="G37" s="101">
        <f t="shared" si="25"/>
        <v>52.150114008262825</v>
      </c>
      <c r="H37" s="101">
        <f t="shared" si="26"/>
        <v>1.7447431910017501</v>
      </c>
      <c r="I37" s="101">
        <f t="shared" si="27"/>
        <v>4.5773186665731602E-2</v>
      </c>
      <c r="J37" s="101">
        <f t="shared" si="28"/>
        <v>38.86369064025066</v>
      </c>
      <c r="K37" s="101">
        <f t="shared" si="29"/>
        <v>1.5895440404374139</v>
      </c>
      <c r="L37" s="101">
        <f t="shared" si="30"/>
        <v>-11.13630935974934</v>
      </c>
      <c r="M37" s="101">
        <f t="shared" si="31"/>
        <v>-0.10942596389860459</v>
      </c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x14ac:dyDescent="0.25">
      <c r="A38" s="101">
        <f t="shared" si="11"/>
        <v>1193.5874060568744</v>
      </c>
      <c r="B38" s="101">
        <f t="shared" si="22"/>
        <v>3.0768542277652724</v>
      </c>
      <c r="C38" s="17">
        <f t="shared" si="0"/>
        <v>50</v>
      </c>
      <c r="D38" s="101">
        <f t="shared" si="9"/>
        <v>1.6989700043360185</v>
      </c>
      <c r="E38" s="101">
        <f t="shared" si="23"/>
        <v>54.932502852278596</v>
      </c>
      <c r="F38" s="101">
        <f t="shared" si="24"/>
        <v>1.7398293869363541</v>
      </c>
      <c r="G38" s="101">
        <f t="shared" si="25"/>
        <v>51.652481939357642</v>
      </c>
      <c r="H38" s="101">
        <f t="shared" si="26"/>
        <v>1.7398293869363541</v>
      </c>
      <c r="I38" s="101">
        <f t="shared" si="27"/>
        <v>4.0859382600335614E-2</v>
      </c>
      <c r="J38" s="101">
        <f t="shared" si="28"/>
        <v>38.426447525955467</v>
      </c>
      <c r="K38" s="101">
        <f t="shared" si="29"/>
        <v>1.5846302363720177</v>
      </c>
      <c r="L38" s="101">
        <f t="shared" si="30"/>
        <v>-11.573552474044533</v>
      </c>
      <c r="M38" s="101">
        <f t="shared" si="31"/>
        <v>-0.1143397679640008</v>
      </c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x14ac:dyDescent="0.25">
      <c r="A39" s="101">
        <f t="shared" si="11"/>
        <v>1228.8705023494556</v>
      </c>
      <c r="B39" s="101">
        <f t="shared" si="22"/>
        <v>3.0895061196006752</v>
      </c>
      <c r="C39" s="17">
        <f t="shared" si="0"/>
        <v>50</v>
      </c>
      <c r="D39" s="101">
        <f t="shared" si="9"/>
        <v>1.6989700043360185</v>
      </c>
      <c r="E39" s="101">
        <f t="shared" si="23"/>
        <v>54.332381631449344</v>
      </c>
      <c r="F39" s="101">
        <f t="shared" si="24"/>
        <v>1.7350587425217827</v>
      </c>
      <c r="G39" s="101">
        <f t="shared" si="25"/>
        <v>51.171764240304093</v>
      </c>
      <c r="H39" s="101">
        <f t="shared" si="26"/>
        <v>1.7350587425217827</v>
      </c>
      <c r="I39" s="101">
        <f t="shared" si="27"/>
        <v>3.6088738185764191E-2</v>
      </c>
      <c r="J39" s="101">
        <f t="shared" si="28"/>
        <v>38.006650039876583</v>
      </c>
      <c r="K39" s="101">
        <f t="shared" si="29"/>
        <v>1.5798595919574463</v>
      </c>
      <c r="L39" s="101">
        <f t="shared" si="30"/>
        <v>-11.993349960123417</v>
      </c>
      <c r="M39" s="101">
        <f t="shared" si="31"/>
        <v>-0.11911041237857223</v>
      </c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x14ac:dyDescent="0.25">
      <c r="A40" s="101">
        <f t="shared" si="11"/>
        <v>1264.1535986420367</v>
      </c>
      <c r="B40" s="101">
        <f t="shared" si="22"/>
        <v>3.1017998452991686</v>
      </c>
      <c r="C40" s="17">
        <f t="shared" si="0"/>
        <v>50</v>
      </c>
      <c r="D40" s="101">
        <f t="shared" si="9"/>
        <v>1.6989700043360185</v>
      </c>
      <c r="E40" s="101">
        <f t="shared" si="23"/>
        <v>53.755530441289473</v>
      </c>
      <c r="F40" s="101">
        <f t="shared" si="24"/>
        <v>1.7304231516867683</v>
      </c>
      <c r="G40" s="101">
        <f t="shared" si="25"/>
        <v>50.706992381306058</v>
      </c>
      <c r="H40" s="101">
        <f t="shared" si="26"/>
        <v>1.7304231516867683</v>
      </c>
      <c r="I40" s="101">
        <f t="shared" si="27"/>
        <v>3.1453147350749777E-2</v>
      </c>
      <c r="J40" s="101">
        <f t="shared" si="28"/>
        <v>37.603130432394437</v>
      </c>
      <c r="K40" s="101">
        <f t="shared" si="29"/>
        <v>1.5752240011224321</v>
      </c>
      <c r="L40" s="101">
        <f t="shared" si="30"/>
        <v>-12.396869567605563</v>
      </c>
      <c r="M40" s="101">
        <f t="shared" si="31"/>
        <v>-0.12374600321358642</v>
      </c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x14ac:dyDescent="0.25">
      <c r="A41" s="101">
        <f t="shared" si="11"/>
        <v>1299.4366949346179</v>
      </c>
      <c r="B41" s="101">
        <f t="shared" si="22"/>
        <v>3.1137551266917791</v>
      </c>
      <c r="C41" s="17">
        <f t="shared" si="0"/>
        <v>50</v>
      </c>
      <c r="D41" s="101">
        <f t="shared" si="9"/>
        <v>1.6989700043360185</v>
      </c>
      <c r="E41" s="101">
        <f t="shared" si="23"/>
        <v>53.200434332968278</v>
      </c>
      <c r="F41" s="101">
        <f t="shared" si="24"/>
        <v>1.725915177927406</v>
      </c>
      <c r="G41" s="101">
        <f t="shared" si="25"/>
        <v>50.257274770960088</v>
      </c>
      <c r="H41" s="101">
        <f t="shared" si="26"/>
        <v>1.725915177927406</v>
      </c>
      <c r="I41" s="101">
        <f t="shared" si="27"/>
        <v>2.6945173591387483E-2</v>
      </c>
      <c r="J41" s="101">
        <f t="shared" si="28"/>
        <v>37.214828964761935</v>
      </c>
      <c r="K41" s="101">
        <f t="shared" si="29"/>
        <v>1.5707160273630698</v>
      </c>
      <c r="L41" s="101">
        <f t="shared" si="30"/>
        <v>-12.785171035238065</v>
      </c>
      <c r="M41" s="101">
        <f t="shared" si="31"/>
        <v>-0.12825397697294871</v>
      </c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x14ac:dyDescent="0.25">
      <c r="A42" s="20">
        <f>A48-B5</f>
        <v>1320.1454011929036</v>
      </c>
      <c r="B42" s="20">
        <f t="shared" si="22"/>
        <v>3.1206217671589567</v>
      </c>
      <c r="C42" s="20">
        <f t="shared" si="0"/>
        <v>50</v>
      </c>
      <c r="D42" s="20">
        <f t="shared" si="9"/>
        <v>1.6989700043360185</v>
      </c>
      <c r="E42" s="20">
        <f t="shared" si="23"/>
        <v>52.884204532265635</v>
      </c>
      <c r="F42" s="20">
        <f t="shared" si="24"/>
        <v>1.72332597621609</v>
      </c>
      <c r="G42" s="20">
        <f t="shared" si="25"/>
        <v>49.999999999999986</v>
      </c>
      <c r="H42" s="101">
        <f t="shared" si="26"/>
        <v>1.72332597621609</v>
      </c>
      <c r="I42" s="101">
        <f t="shared" si="27"/>
        <v>2.4355971880071436E-2</v>
      </c>
      <c r="J42" s="101">
        <f t="shared" si="28"/>
        <v>36.993619531149911</v>
      </c>
      <c r="K42" s="101">
        <f t="shared" si="29"/>
        <v>1.5681268256517538</v>
      </c>
      <c r="L42" s="101">
        <f t="shared" si="30"/>
        <v>-13.006380468850089</v>
      </c>
      <c r="M42" s="101">
        <f t="shared" si="31"/>
        <v>-0.13084317868426476</v>
      </c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x14ac:dyDescent="0.25">
      <c r="A43" s="101">
        <f t="shared" si="11"/>
        <v>1355.4284974854847</v>
      </c>
      <c r="B43" s="101">
        <f t="shared" si="22"/>
        <v>3.1320766123137371</v>
      </c>
      <c r="C43" s="17">
        <f t="shared" si="0"/>
        <v>50</v>
      </c>
      <c r="D43" s="101">
        <f t="shared" si="9"/>
        <v>1.6989700043360185</v>
      </c>
      <c r="E43" s="101">
        <f t="shared" si="23"/>
        <v>52.36085165376123</v>
      </c>
      <c r="F43" s="101">
        <f t="shared" si="24"/>
        <v>1.7190067017733133</v>
      </c>
      <c r="G43" s="101">
        <f t="shared" si="25"/>
        <v>49.572509666664018</v>
      </c>
      <c r="H43" s="101">
        <f t="shared" si="26"/>
        <v>1.7190067017733133</v>
      </c>
      <c r="I43" s="101">
        <f t="shared" si="27"/>
        <v>2.0036697437294748E-2</v>
      </c>
      <c r="J43" s="101">
        <f t="shared" si="28"/>
        <v>36.627523124119492</v>
      </c>
      <c r="K43" s="101">
        <f t="shared" si="29"/>
        <v>1.5638075512089769</v>
      </c>
      <c r="L43" s="101">
        <f t="shared" si="30"/>
        <v>-13.372476875880508</v>
      </c>
      <c r="M43" s="101">
        <f t="shared" si="31"/>
        <v>-0.13516245312704167</v>
      </c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x14ac:dyDescent="0.25">
      <c r="A44" s="101">
        <f t="shared" si="11"/>
        <v>1390.7115937780659</v>
      </c>
      <c r="B44" s="101">
        <f t="shared" ref="B44:B47" si="32">LOG(A44,10)</f>
        <v>3.1432370751988308</v>
      </c>
      <c r="C44" s="17">
        <f t="shared" si="0"/>
        <v>50</v>
      </c>
      <c r="D44" s="101">
        <f t="shared" si="9"/>
        <v>1.6989700043360185</v>
      </c>
      <c r="E44" s="101">
        <f t="shared" ref="E44:E47" si="33">E$2*$A44^C$2</f>
        <v>51.855930300008126</v>
      </c>
      <c r="F44" s="101">
        <f t="shared" ref="F44:F47" si="34">LOG(E44,10)</f>
        <v>1.7147984299496626</v>
      </c>
      <c r="G44" s="101">
        <f t="shared" ref="G44:G47" si="35">E$3*($A44+$B$5)^C$2</f>
        <v>49.158071741407937</v>
      </c>
      <c r="H44" s="101">
        <f t="shared" ref="H44:H47" si="36">LOG(E$3*$A44^C$2,10)</f>
        <v>1.7147984299496626</v>
      </c>
      <c r="I44" s="101">
        <f t="shared" ref="I44:I47" si="37">H44-D44</f>
        <v>1.5828425613644059E-2</v>
      </c>
      <c r="J44" s="101">
        <f t="shared" ref="J44:J47" si="38">E$4*$A44^C$2</f>
        <v>36.274319958465391</v>
      </c>
      <c r="K44" s="101">
        <f t="shared" ref="K44:K47" si="39">LOG(E$4*$A44^C$2,10)</f>
        <v>1.5595992793853266</v>
      </c>
      <c r="L44" s="101">
        <f t="shared" ref="L44:L47" si="40">J44-C44</f>
        <v>-13.725680041534609</v>
      </c>
      <c r="M44" s="101">
        <f t="shared" ref="M44:M47" si="41">K44-D44</f>
        <v>-0.13937072495069192</v>
      </c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x14ac:dyDescent="0.25">
      <c r="A45" s="101">
        <f t="shared" si="11"/>
        <v>1425.994690070647</v>
      </c>
      <c r="B45" s="101">
        <f t="shared" si="32"/>
        <v>3.1541179083508317</v>
      </c>
      <c r="C45" s="17">
        <f t="shared" si="0"/>
        <v>50</v>
      </c>
      <c r="D45" s="101">
        <f t="shared" si="9"/>
        <v>1.6989700043360185</v>
      </c>
      <c r="E45" s="101">
        <f t="shared" si="33"/>
        <v>51.368347872450165</v>
      </c>
      <c r="F45" s="101">
        <f t="shared" si="34"/>
        <v>1.7106955980113416</v>
      </c>
      <c r="G45" s="101">
        <f t="shared" si="35"/>
        <v>48.756013204904995</v>
      </c>
      <c r="H45" s="101">
        <f t="shared" si="36"/>
        <v>1.7106955980113416</v>
      </c>
      <c r="I45" s="101">
        <f t="shared" si="37"/>
        <v>1.1725593675323109E-2</v>
      </c>
      <c r="J45" s="101">
        <f t="shared" si="38"/>
        <v>35.933245738389921</v>
      </c>
      <c r="K45" s="101">
        <f t="shared" si="39"/>
        <v>1.5554964474470052</v>
      </c>
      <c r="L45" s="101">
        <f t="shared" si="40"/>
        <v>-14.066754261610079</v>
      </c>
      <c r="M45" s="101">
        <f t="shared" si="41"/>
        <v>-0.14347355688901331</v>
      </c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x14ac:dyDescent="0.25">
      <c r="A46" s="101">
        <f t="shared" si="11"/>
        <v>1461.2777863632282</v>
      </c>
      <c r="B46" s="101">
        <f t="shared" si="32"/>
        <v>3.1647327824073566</v>
      </c>
      <c r="C46" s="17">
        <f t="shared" si="0"/>
        <v>50</v>
      </c>
      <c r="D46" s="101">
        <f t="shared" si="9"/>
        <v>1.6989700043360185</v>
      </c>
      <c r="E46" s="101">
        <f t="shared" si="33"/>
        <v>50.89710155136013</v>
      </c>
      <c r="F46" s="101">
        <f t="shared" si="34"/>
        <v>1.7066930511758212</v>
      </c>
      <c r="G46" s="101">
        <f t="shared" si="35"/>
        <v>48.365709293993071</v>
      </c>
      <c r="H46" s="101">
        <f t="shared" si="36"/>
        <v>1.7066930511758212</v>
      </c>
      <c r="I46" s="101">
        <f t="shared" si="37"/>
        <v>7.7230468398026275E-3</v>
      </c>
      <c r="J46" s="101">
        <f t="shared" si="38"/>
        <v>35.603598970285049</v>
      </c>
      <c r="K46" s="101">
        <f t="shared" si="39"/>
        <v>1.551493900611485</v>
      </c>
      <c r="L46" s="101">
        <f t="shared" si="40"/>
        <v>-14.396401029714951</v>
      </c>
      <c r="M46" s="101">
        <f t="shared" si="41"/>
        <v>-0.14747610372453357</v>
      </c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x14ac:dyDescent="0.25">
      <c r="A47" s="101">
        <f t="shared" si="11"/>
        <v>1496.5608826558093</v>
      </c>
      <c r="B47" s="101">
        <f t="shared" si="32"/>
        <v>3.1750943893777612</v>
      </c>
      <c r="C47" s="17">
        <f t="shared" si="0"/>
        <v>50</v>
      </c>
      <c r="D47" s="101">
        <f t="shared" si="9"/>
        <v>1.6989700043360185</v>
      </c>
      <c r="E47" s="101">
        <f t="shared" si="33"/>
        <v>50.441268961088277</v>
      </c>
      <c r="F47" s="101">
        <f t="shared" si="34"/>
        <v>1.7027860036715876</v>
      </c>
      <c r="G47" s="101">
        <f t="shared" si="35"/>
        <v>47.986579110234821</v>
      </c>
      <c r="H47" s="101">
        <f t="shared" si="36"/>
        <v>1.7027860036715876</v>
      </c>
      <c r="I47" s="101">
        <f t="shared" si="37"/>
        <v>3.8159993355690869E-3</v>
      </c>
      <c r="J47" s="101">
        <f t="shared" si="38"/>
        <v>35.284734432876199</v>
      </c>
      <c r="K47" s="101">
        <f t="shared" si="39"/>
        <v>1.5475868531072514</v>
      </c>
      <c r="L47" s="101">
        <f t="shared" si="40"/>
        <v>-14.715265567123801</v>
      </c>
      <c r="M47" s="101">
        <f t="shared" si="41"/>
        <v>-0.15138315122876711</v>
      </c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x14ac:dyDescent="0.25">
      <c r="A48" s="102">
        <f>G2</f>
        <v>1531.84397894839</v>
      </c>
      <c r="B48" s="102">
        <f t="shared" ref="B48" si="42">LOG(A48,10)</f>
        <v>3.185214533878602</v>
      </c>
      <c r="C48" s="17">
        <f t="shared" si="0"/>
        <v>50</v>
      </c>
      <c r="D48" s="102">
        <f t="shared" si="9"/>
        <v>1.6989700043360185</v>
      </c>
      <c r="E48" s="102">
        <f t="shared" ref="E48" si="43">E$2*$A48^C$2</f>
        <v>49.999999999999986</v>
      </c>
      <c r="F48" s="102">
        <f t="shared" ref="F48" si="44">LOG(E48,10)</f>
        <v>1.6989700043360185</v>
      </c>
      <c r="G48" s="102">
        <f t="shared" ref="G48" si="45">E$3*($A48+$B$5)^C$2</f>
        <v>47.618081709423272</v>
      </c>
      <c r="H48" s="102">
        <f t="shared" ref="H48" si="46">LOG(E$3*$A48^C$2,10)</f>
        <v>1.6989700043360185</v>
      </c>
      <c r="I48" s="102">
        <f t="shared" ref="I48" si="47">H48-D48</f>
        <v>0</v>
      </c>
      <c r="J48" s="102">
        <f t="shared" ref="J48" si="48">E$4*$A48^C$2</f>
        <v>34.976057462090978</v>
      </c>
      <c r="K48" s="102">
        <f t="shared" ref="K48" si="49">LOG(E$4*$A48^C$2,10)</f>
        <v>1.5437708537716825</v>
      </c>
      <c r="L48" s="102">
        <f t="shared" ref="L48" si="50">J48-C48</f>
        <v>-15.023942537909022</v>
      </c>
      <c r="M48" s="102">
        <f t="shared" ref="M48" si="51">K48-D48</f>
        <v>-0.15519915056433597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3:27" x14ac:dyDescent="0.25">
      <c r="C49" s="17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3:27" x14ac:dyDescent="0.25">
      <c r="C50" s="17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3:27" x14ac:dyDescent="0.25">
      <c r="C51" s="17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3:27" x14ac:dyDescent="0.25">
      <c r="C52" s="17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3:27" x14ac:dyDescent="0.25">
      <c r="C53" s="17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3:27" x14ac:dyDescent="0.25">
      <c r="C54" s="17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3:27" x14ac:dyDescent="0.25">
      <c r="C55" s="17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3:27" x14ac:dyDescent="0.25">
      <c r="C56" s="17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3:27" x14ac:dyDescent="0.25">
      <c r="C57" s="17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3:27" x14ac:dyDescent="0.25">
      <c r="C58" s="17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3:27" x14ac:dyDescent="0.25">
      <c r="C59" s="17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3:27" x14ac:dyDescent="0.25">
      <c r="C60" s="17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3:27" x14ac:dyDescent="0.25">
      <c r="C61" s="17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3:27" x14ac:dyDescent="0.25">
      <c r="C62" s="17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3:27" x14ac:dyDescent="0.25">
      <c r="C63" s="17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3:27" x14ac:dyDescent="0.25">
      <c r="C64" s="17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3:27" x14ac:dyDescent="0.25">
      <c r="C65" s="17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3:27" x14ac:dyDescent="0.25">
      <c r="C66" s="17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3:27" x14ac:dyDescent="0.25">
      <c r="C67" s="17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3:27" x14ac:dyDescent="0.25">
      <c r="C68" s="17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3:27" x14ac:dyDescent="0.25">
      <c r="C69" s="17"/>
    </row>
    <row r="70" spans="3:27" x14ac:dyDescent="0.25">
      <c r="C70" s="17"/>
    </row>
    <row r="71" spans="3:27" x14ac:dyDescent="0.25">
      <c r="C71" s="17"/>
    </row>
    <row r="72" spans="3:27" x14ac:dyDescent="0.25">
      <c r="C72" s="17"/>
    </row>
    <row r="73" spans="3:27" x14ac:dyDescent="0.25">
      <c r="C73" s="17"/>
    </row>
    <row r="74" spans="3:27" x14ac:dyDescent="0.25">
      <c r="C74" s="17"/>
    </row>
    <row r="75" spans="3:27" x14ac:dyDescent="0.25">
      <c r="C75" s="17"/>
    </row>
    <row r="76" spans="3:27" x14ac:dyDescent="0.25">
      <c r="C76" s="17"/>
    </row>
    <row r="77" spans="3:27" x14ac:dyDescent="0.25">
      <c r="C77" s="17"/>
    </row>
    <row r="78" spans="3:27" x14ac:dyDescent="0.25">
      <c r="C78" s="17"/>
    </row>
  </sheetData>
  <printOptions horizontalCentered="1" verticalCentered="1"/>
  <pageMargins left="0" right="0" top="0" bottom="0" header="0" footer="0"/>
  <pageSetup paperSize="195" scale="42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Sheet1 (4)</vt:lpstr>
      <vt:lpstr>Sheet1 (5)</vt:lpstr>
      <vt:lpstr>Sheet1 (6)</vt:lpstr>
      <vt:lpstr>Capacity</vt:lpstr>
      <vt:lpstr>Generation</vt:lpstr>
      <vt:lpstr>LCOE</vt:lpstr>
      <vt:lpstr>example</vt:lpstr>
      <vt:lpstr>Fig1</vt:lpstr>
      <vt:lpstr>Fig2</vt:lpstr>
      <vt:lpstr>Fig3</vt:lpstr>
      <vt:lpstr>LCOE!electricity_generation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</dc:creator>
  <cp:lastModifiedBy>Soheil Shayegh</cp:lastModifiedBy>
  <cp:lastPrinted>2017-04-09T14:49:37Z</cp:lastPrinted>
  <dcterms:created xsi:type="dcterms:W3CDTF">2016-03-10T00:06:08Z</dcterms:created>
  <dcterms:modified xsi:type="dcterms:W3CDTF">2020-10-12T09:26:39Z</dcterms:modified>
</cp:coreProperties>
</file>