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13.xml" ContentType="application/vnd.openxmlformats-officedocument.drawingml.chart+xml"/>
  <Override PartName="/xl/charts/chart7.xml" ContentType="application/vnd.openxmlformats-officedocument.drawingml.chart+xml"/>
  <Override PartName="/xl/charts/chart12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charts/chart11.xml" ContentType="application/vnd.openxmlformats-officedocument.drawingml.chart+xml"/>
  <Override PartName="/xl/charts/chart6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Deviation" sheetId="2" state="hidden" r:id="rId3"/>
    <sheet name="Sheet2" sheetId="3" state="visible" r:id="rId4"/>
    <sheet name="Dash" sheetId="4" state="hidden" r:id="rId5"/>
    <sheet name="Sheet5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<sst xmlns="http://schemas.openxmlformats.org/spreadsheetml/2006/main" count="518" uniqueCount="140">
  <si>
    <t xml:space="preserve">Dom. Hotel Channels</t>
  </si>
  <si>
    <t xml:space="preserve">Hotel</t>
  </si>
  <si>
    <t xml:space="preserve">Plan</t>
  </si>
  <si>
    <t xml:space="preserve">Actual</t>
  </si>
  <si>
    <t xml:space="preserve">Forecast</t>
  </si>
  <si>
    <t xml:space="preserve">BDG (IRR)</t>
  </si>
  <si>
    <t xml:space="preserve">Orders</t>
  </si>
  <si>
    <t xml:space="preserve">RNs</t>
  </si>
  <si>
    <t xml:space="preserve">CPO</t>
  </si>
  <si>
    <t xml:space="preserve">CPRN</t>
  </si>
  <si>
    <t xml:space="preserve">OS (%)</t>
  </si>
  <si>
    <t xml:space="preserve">Deviation CPO</t>
  </si>
  <si>
    <t xml:space="preserve">Deviation CPN</t>
  </si>
  <si>
    <t xml:space="preserve">Prog. (RNs %)</t>
  </si>
  <si>
    <t xml:space="preserve">Budget Performance</t>
  </si>
  <si>
    <t xml:space="preserve">AdWords</t>
  </si>
  <si>
    <t xml:space="preserve">Loyalty Voucher</t>
  </si>
  <si>
    <t xml:space="preserve">CRM Voucher</t>
  </si>
  <si>
    <t xml:space="preserve">Campaign Voucher</t>
  </si>
  <si>
    <t xml:space="preserve">Affiliate Voucher</t>
  </si>
  <si>
    <t xml:space="preserve">Cross Sell Voucher</t>
  </si>
  <si>
    <t xml:space="preserve">Other Vouchers</t>
  </si>
  <si>
    <t xml:space="preserve">Other Order</t>
  </si>
  <si>
    <t xml:space="preserve">-</t>
  </si>
  <si>
    <t xml:space="preserve">PR/Backlink</t>
  </si>
  <si>
    <t xml:space="preserve">SMS</t>
  </si>
  <si>
    <t xml:space="preserve">Social &amp; Content</t>
  </si>
  <si>
    <t xml:space="preserve">Content (SEO)</t>
  </si>
  <si>
    <t xml:space="preserve">Offline</t>
  </si>
  <si>
    <t xml:space="preserve">Deduplicated</t>
  </si>
  <si>
    <t xml:space="preserve">Total</t>
  </si>
  <si>
    <t xml:space="preserve">Dom. Flight Channels</t>
  </si>
  <si>
    <t xml:space="preserve">Domestic Flight</t>
  </si>
  <si>
    <t xml:space="preserve">TCs</t>
  </si>
  <si>
    <t xml:space="preserve">CPT</t>
  </si>
  <si>
    <t xml:space="preserve">Deviation CPT</t>
  </si>
  <si>
    <t xml:space="preserve">Prog. (TCs%)</t>
  </si>
  <si>
    <t xml:space="preserve">Adwords</t>
  </si>
  <si>
    <t xml:space="preserve">Other Voucher</t>
  </si>
  <si>
    <t xml:space="preserve">Social</t>
  </si>
  <si>
    <t xml:space="preserve">Bus Channels</t>
  </si>
  <si>
    <t xml:space="preserve">Bus</t>
  </si>
  <si>
    <t xml:space="preserve">MTD Actual</t>
  </si>
  <si>
    <t xml:space="preserve">Int. Flight Channels</t>
  </si>
  <si>
    <t xml:space="preserve">International Flight</t>
  </si>
  <si>
    <t xml:space="preserve">Loyalty</t>
  </si>
  <si>
    <t xml:space="preserve">Campaign Voucher (ST)</t>
  </si>
  <si>
    <t xml:space="preserve">Affiliate voucher</t>
  </si>
  <si>
    <t xml:space="preserve">Int. Hotel Channels</t>
  </si>
  <si>
    <t xml:space="preserve">International Hotel</t>
  </si>
  <si>
    <t xml:space="preserve">Prog. (RNs%)</t>
  </si>
  <si>
    <t xml:space="preserve">Voucher</t>
  </si>
  <si>
    <t xml:space="preserve">Display</t>
  </si>
  <si>
    <t xml:space="preserve">Direct &amp; Organic</t>
  </si>
  <si>
    <t xml:space="preserve">Train</t>
  </si>
  <si>
    <t xml:space="preserve">Brand</t>
  </si>
  <si>
    <t xml:space="preserve">Budget</t>
  </si>
  <si>
    <t xml:space="preserve">BP</t>
  </si>
  <si>
    <t xml:space="preserve">Hotel – Social</t>
  </si>
  <si>
    <t xml:space="preserve">Hotel – Tools</t>
  </si>
  <si>
    <t xml:space="preserve">Hotel – HR Gift for Video</t>
  </si>
  <si>
    <t xml:space="preserve">Ticket – Social Media</t>
  </si>
  <si>
    <t xml:space="preserve">Ticket – Tools</t>
  </si>
  <si>
    <t xml:space="preserve">Ticket – HR Gift for Video</t>
  </si>
  <si>
    <t xml:space="preserve">Ticket – Brand Recall</t>
  </si>
  <si>
    <t xml:space="preserve">Ticket – PR</t>
  </si>
  <si>
    <t xml:space="preserve">Month Total Days</t>
  </si>
  <si>
    <t xml:space="preserve">Actual Days</t>
  </si>
  <si>
    <t xml:space="preserve">Dom. Hotel</t>
  </si>
  <si>
    <t xml:space="preserve">Order Deviation</t>
  </si>
  <si>
    <t xml:space="preserve">Room Night Deviation</t>
  </si>
  <si>
    <t xml:space="preserve">CPO Deviation (IRR)</t>
  </si>
  <si>
    <t xml:space="preserve">CPN Deviation (IRR)</t>
  </si>
  <si>
    <t xml:space="preserve">JEK Loyalty</t>
  </si>
  <si>
    <t xml:space="preserve">Cross Sell</t>
  </si>
  <si>
    <t xml:space="preserve">Dom. Flight</t>
  </si>
  <si>
    <t xml:space="preserve">Tickets Deviation</t>
  </si>
  <si>
    <t xml:space="preserve">CPT Deviation (IRR)</t>
  </si>
  <si>
    <t xml:space="preserve">Int. Flight</t>
  </si>
  <si>
    <t xml:space="preserve">Other</t>
  </si>
  <si>
    <t xml:space="preserve">Int. Hotel</t>
  </si>
  <si>
    <t xml:space="preserve">Number of days of Month</t>
  </si>
  <si>
    <t xml:space="preserve">date</t>
  </si>
  <si>
    <t xml:space="preserve">invoiceID</t>
  </si>
  <si>
    <t xml:space="preserve">item</t>
  </si>
  <si>
    <t xml:space="preserve">Seasonality Hotel</t>
  </si>
  <si>
    <t xml:space="preserve">Seasonality Flight</t>
  </si>
  <si>
    <t xml:space="preserve">Seasonlaity Bus</t>
  </si>
  <si>
    <t xml:space="preserve">Seasonlaity Int Flight</t>
  </si>
  <si>
    <t xml:space="preserve">Seasonality Int. Hotel</t>
  </si>
  <si>
    <t xml:space="preserve">actual days</t>
  </si>
  <si>
    <t xml:space="preserve">day/month</t>
  </si>
  <si>
    <t xml:space="preserve">Remaining Days</t>
  </si>
  <si>
    <t xml:space="preserve">Adwords Ticket/Order</t>
  </si>
  <si>
    <t xml:space="preserve">Dom Hotel ratios</t>
  </si>
  <si>
    <t xml:space="preserve">by formula</t>
  </si>
  <si>
    <t xml:space="preserve">by season</t>
  </si>
  <si>
    <t xml:space="preserve">Dom Flight Ratios</t>
  </si>
  <si>
    <t xml:space="preserve">Discount Amount</t>
  </si>
  <si>
    <t xml:space="preserve">B2B Hotel</t>
  </si>
  <si>
    <t xml:space="preserve">B2B Flight</t>
  </si>
  <si>
    <t xml:space="preserve">Staff Vouchers</t>
  </si>
  <si>
    <t xml:space="preserve">sum b2b</t>
  </si>
  <si>
    <t xml:space="preserve">Guarantee direct organic</t>
  </si>
  <si>
    <t xml:space="preserve">Guarantee adwords</t>
  </si>
  <si>
    <t xml:space="preserve">Flight</t>
  </si>
  <si>
    <t xml:space="preserve">Amount</t>
  </si>
  <si>
    <t xml:space="preserve">Tickets</t>
  </si>
  <si>
    <t xml:space="preserve">Backlink</t>
  </si>
  <si>
    <t xml:space="preserve">Offline (Mehrabad) from savings</t>
  </si>
  <si>
    <t xml:space="preserve">Offline (Mashhad)</t>
  </si>
  <si>
    <t xml:space="preserve">Affiliate Cost</t>
  </si>
  <si>
    <t xml:space="preserve">Affiliate</t>
  </si>
  <si>
    <t xml:space="preserve">Goes to Other Voucher</t>
  </si>
  <si>
    <t xml:space="preserve">Goes to Voucher</t>
  </si>
  <si>
    <t xml:space="preserve">Adwords seats to ticket</t>
  </si>
  <si>
    <t xml:space="preserve">Int Flight</t>
  </si>
  <si>
    <t xml:space="preserve">Cost</t>
  </si>
  <si>
    <t xml:space="preserve">Loyalty Daily</t>
  </si>
  <si>
    <t xml:space="preserve">SnappTrip CRM</t>
  </si>
  <si>
    <t xml:space="preserve">Total Order</t>
  </si>
  <si>
    <t xml:space="preserve">Total Ticket</t>
  </si>
  <si>
    <t xml:space="preserve">Flight CPO and CPT</t>
  </si>
  <si>
    <t xml:space="preserve">Flight Orders and Tickets</t>
  </si>
  <si>
    <t xml:space="preserve">Hotel CPO and CPRN</t>
  </si>
  <si>
    <t xml:space="preserve">Hotel Orders and Room Nights</t>
  </si>
  <si>
    <t xml:space="preserve">Hotel Budget</t>
  </si>
  <si>
    <t xml:space="preserve">Flight Budget</t>
  </si>
  <si>
    <t xml:space="preserve">Progress</t>
  </si>
  <si>
    <t xml:space="preserve">Baseline</t>
  </si>
  <si>
    <t xml:space="preserve">Flight CPO</t>
  </si>
  <si>
    <t xml:space="preserve">Flight CPT</t>
  </si>
  <si>
    <t xml:space="preserve">Flight Orders</t>
  </si>
  <si>
    <t xml:space="preserve">Flight Tickets</t>
  </si>
  <si>
    <t xml:space="preserve">Actual Progress</t>
  </si>
  <si>
    <t xml:space="preserve">Forecast Progress</t>
  </si>
  <si>
    <t xml:space="preserve">Hotel CPO</t>
  </si>
  <si>
    <t xml:space="preserve">Hotel CPT</t>
  </si>
  <si>
    <t xml:space="preserve">Hotel Orders</t>
  </si>
  <si>
    <t xml:space="preserve">Hotel Room Nights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</si>
</sst>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\ * #,##0.00\ ;\ * \(#,##0.00\);\ * \-#\ ;\ @\ "/>
    <numFmt numFmtId="166" formatCode="\ * #,##0\ ;\ * \(#,##0\);\ * \-#\ ;\ @\ "/>
    <numFmt numFmtId="167" formatCode="#,##0"/>
    <numFmt numFmtId="168" formatCode="0%"/>
    <numFmt numFmtId="169" formatCode="0.0%"/>
    <numFmt numFmtId="170" formatCode="0.00%"/>
    <numFmt numFmtId="171" formatCode="#,##0.0"/>
    <numFmt numFmtId="172" formatCode="\ * #,##0.0\ ;\ * \(#,##0.0\);\ * \-#\ ;\ @\ "/>
    <numFmt numFmtId="173" formatCode="0.00"/>
    <numFmt numFmtId="174" formatCode="#,##0.00"/>
    <numFmt numFmtId="175" formatCode="0.0"/>
    <numFmt numFmtId="176" formatCode="0"/>
    <numFmt numFmtId="177" formatCode="m/d/yyyy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sz val="9"/>
      <color rgb="FFFFFFFF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Verdana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9"/>
      <color rgb="FF40404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35855"/>
        <bgColor rgb="FFED7D31"/>
      </patternFill>
    </fill>
    <fill>
      <patternFill patternType="solid">
        <fgColor rgb="FF767171"/>
        <bgColor rgb="FF7F7F7F"/>
      </patternFill>
    </fill>
    <fill>
      <patternFill patternType="solid">
        <fgColor rgb="FFAFABAB"/>
        <bgColor rgb="FFA5A5A5"/>
      </patternFill>
    </fill>
    <fill>
      <patternFill patternType="solid">
        <fgColor rgb="FFADB9CA"/>
        <bgColor rgb="FFAFABAB"/>
      </patternFill>
    </fill>
    <fill>
      <patternFill patternType="solid">
        <fgColor rgb="FFD0CECE"/>
        <bgColor rgb="FFD9D9D9"/>
      </patternFill>
    </fill>
    <fill>
      <patternFill patternType="solid">
        <fgColor rgb="FFD6DCE5"/>
        <bgColor rgb="FFD9D9D9"/>
      </patternFill>
    </fill>
    <fill>
      <patternFill patternType="solid">
        <fgColor rgb="FFDAE3F3"/>
        <bgColor rgb="FFD6DCE5"/>
      </patternFill>
    </fill>
    <fill>
      <patternFill patternType="solid">
        <fgColor rgb="FF7F7F7F"/>
        <bgColor rgb="FF767171"/>
      </patternFill>
    </fill>
    <fill>
      <patternFill patternType="solid">
        <fgColor rgb="FFF2F2F2"/>
        <bgColor rgb="FFE7E6E6"/>
      </patternFill>
    </fill>
    <fill>
      <patternFill patternType="solid">
        <fgColor rgb="FFE7E6E6"/>
        <bgColor rgb="FFDAE3F3"/>
      </patternFill>
    </fill>
  </fills>
  <borders count="32">
    <border diagonalUp="false" diagonalDown="false">
      <left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6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6" fillId="0" borderId="5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6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9" fontId="6" fillId="0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6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7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7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7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7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7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6" fillId="7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7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7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6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6" fillId="0" borderId="1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6" fillId="0" borderId="1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1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6" fillId="8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8" borderId="1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8" borderId="2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2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8" borderId="2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8" borderId="2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6" fillId="8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6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6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6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8" borderId="1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6" fillId="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8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8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8" borderId="2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8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0" borderId="1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70" fontId="6" fillId="8" borderId="2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2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8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7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8"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DB9CA"/>
      <rgbColor rgb="FF7F7F7F"/>
      <rgbColor rgb="FFAFABAB"/>
      <rgbColor rgb="FF993366"/>
      <rgbColor rgb="FFF2F2F2"/>
      <rgbColor rgb="FFDAE3F3"/>
      <rgbColor rgb="FF660066"/>
      <rgbColor rgb="FFD35855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6EFCE"/>
      <rgbColor rgb="FFFFEB9C"/>
      <rgbColor rgb="FFD0CECE"/>
      <rgbColor rgb="FFFF99CC"/>
      <rgbColor rgb="FFD9D9D9"/>
      <rgbColor rgb="FFFFC7CE"/>
      <rgbColor rgb="FF4472C4"/>
      <rgbColor rgb="FF33CCCC"/>
      <rgbColor rgb="FF99CC00"/>
      <rgbColor rgb="FFFFCC00"/>
      <rgbColor rgb="FFFF9900"/>
      <rgbColor rgb="FFED7D31"/>
      <rgbColor rgb="FF767171"/>
      <rgbColor rgb="FFA5A5A5"/>
      <rgbColor rgb="FF003366"/>
      <rgbColor rgb="FF339966"/>
      <rgbColor rgb="FF003300"/>
      <rgbColor rgb="FF333300"/>
      <rgbColor rgb="FF9C5700"/>
      <rgbColor rgb="FF993366"/>
      <rgbColor rgb="FF59595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887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Sheet2!$H$4</c:f>
              <c:strCache>
                <c:ptCount val="1"/>
                <c:pt idx="0">
                  <c:v>887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Sheet2!$G$5:$G$101</c:f>
              <c:strCache>
                <c:ptCount val="97"/>
                <c:pt idx="0">
                  <c:v>478</c:v>
                </c:pt>
                <c:pt idx="1">
                  <c:v>490</c:v>
                </c:pt>
                <c:pt idx="2">
                  <c:v>454</c:v>
                </c:pt>
                <c:pt idx="3">
                  <c:v>497</c:v>
                </c:pt>
                <c:pt idx="4">
                  <c:v>425</c:v>
                </c:pt>
                <c:pt idx="5">
                  <c:v>307</c:v>
                </c:pt>
                <c:pt idx="6">
                  <c:v>433</c:v>
                </c:pt>
                <c:pt idx="7">
                  <c:v>456</c:v>
                </c:pt>
                <c:pt idx="8">
                  <c:v>457</c:v>
                </c:pt>
                <c:pt idx="9">
                  <c:v>469</c:v>
                </c:pt>
                <c:pt idx="10">
                  <c:v>391</c:v>
                </c:pt>
                <c:pt idx="11">
                  <c:v>383</c:v>
                </c:pt>
                <c:pt idx="12">
                  <c:v>329</c:v>
                </c:pt>
                <c:pt idx="13">
                  <c:v>471</c:v>
                </c:pt>
                <c:pt idx="14">
                  <c:v>456</c:v>
                </c:pt>
                <c:pt idx="15">
                  <c:v>486</c:v>
                </c:pt>
                <c:pt idx="16">
                  <c:v>521</c:v>
                </c:pt>
                <c:pt idx="17">
                  <c:v>481</c:v>
                </c:pt>
                <c:pt idx="18">
                  <c:v>424</c:v>
                </c:pt>
                <c:pt idx="19">
                  <c:v>385</c:v>
                </c:pt>
                <c:pt idx="20">
                  <c:v>464</c:v>
                </c:pt>
                <c:pt idx="21">
                  <c:v>511</c:v>
                </c:pt>
                <c:pt idx="22">
                  <c:v>510</c:v>
                </c:pt>
                <c:pt idx="23">
                  <c:v>435</c:v>
                </c:pt>
                <c:pt idx="24">
                  <c:v>438</c:v>
                </c:pt>
                <c:pt idx="25">
                  <c:v>472</c:v>
                </c:pt>
                <c:pt idx="26">
                  <c:v>513</c:v>
                </c:pt>
                <c:pt idx="27">
                  <c:v>571</c:v>
                </c:pt>
                <c:pt idx="28">
                  <c:v>540</c:v>
                </c:pt>
                <c:pt idx="29">
                  <c:v>558</c:v>
                </c:pt>
                <c:pt idx="30">
                  <c:v>495</c:v>
                </c:pt>
                <c:pt idx="31">
                  <c:v>483</c:v>
                </c:pt>
                <c:pt idx="32">
                  <c:v>460</c:v>
                </c:pt>
                <c:pt idx="33">
                  <c:v>400</c:v>
                </c:pt>
                <c:pt idx="34">
                  <c:v>554</c:v>
                </c:pt>
                <c:pt idx="35">
                  <c:v>539</c:v>
                </c:pt>
                <c:pt idx="36">
                  <c:v>562</c:v>
                </c:pt>
                <c:pt idx="37">
                  <c:v>558</c:v>
                </c:pt>
                <c:pt idx="38">
                  <c:v>467</c:v>
                </c:pt>
                <c:pt idx="39">
                  <c:v>429</c:v>
                </c:pt>
                <c:pt idx="40">
                  <c:v>365</c:v>
                </c:pt>
                <c:pt idx="41">
                  <c:v>512</c:v>
                </c:pt>
                <c:pt idx="42">
                  <c:v>519</c:v>
                </c:pt>
                <c:pt idx="43">
                  <c:v>512</c:v>
                </c:pt>
                <c:pt idx="44">
                  <c:v>525</c:v>
                </c:pt>
                <c:pt idx="45">
                  <c:v>501</c:v>
                </c:pt>
                <c:pt idx="46">
                  <c:v>439</c:v>
                </c:pt>
                <c:pt idx="47">
                  <c:v>328</c:v>
                </c:pt>
                <c:pt idx="48">
                  <c:v>474</c:v>
                </c:pt>
                <c:pt idx="49">
                  <c:v>535</c:v>
                </c:pt>
                <c:pt idx="50">
                  <c:v>481</c:v>
                </c:pt>
                <c:pt idx="51">
                  <c:v>515</c:v>
                </c:pt>
                <c:pt idx="52">
                  <c:v>513</c:v>
                </c:pt>
                <c:pt idx="53">
                  <c:v>430</c:v>
                </c:pt>
                <c:pt idx="54">
                  <c:v>373</c:v>
                </c:pt>
                <c:pt idx="55">
                  <c:v>571</c:v>
                </c:pt>
                <c:pt idx="56">
                  <c:v>667</c:v>
                </c:pt>
                <c:pt idx="57">
                  <c:v>683</c:v>
                </c:pt>
                <c:pt idx="58">
                  <c:v>683</c:v>
                </c:pt>
                <c:pt idx="59">
                  <c:v>615</c:v>
                </c:pt>
                <c:pt idx="60">
                  <c:v>564</c:v>
                </c:pt>
                <c:pt idx="61">
                  <c:v>481</c:v>
                </c:pt>
                <c:pt idx="62">
                  <c:v>642</c:v>
                </c:pt>
                <c:pt idx="63">
                  <c:v>658</c:v>
                </c:pt>
                <c:pt idx="64">
                  <c:v>644</c:v>
                </c:pt>
                <c:pt idx="65">
                  <c:v>612</c:v>
                </c:pt>
                <c:pt idx="66">
                  <c:v>583</c:v>
                </c:pt>
                <c:pt idx="67">
                  <c:v>528</c:v>
                </c:pt>
                <c:pt idx="68">
                  <c:v>406</c:v>
                </c:pt>
                <c:pt idx="69">
                  <c:v>418</c:v>
                </c:pt>
                <c:pt idx="70">
                  <c:v>579</c:v>
                </c:pt>
                <c:pt idx="71">
                  <c:v>634</c:v>
                </c:pt>
                <c:pt idx="72">
                  <c:v>592</c:v>
                </c:pt>
                <c:pt idx="73">
                  <c:v>590</c:v>
                </c:pt>
                <c:pt idx="74">
                  <c:v>535</c:v>
                </c:pt>
                <c:pt idx="75">
                  <c:v>472</c:v>
                </c:pt>
                <c:pt idx="76">
                  <c:v>460</c:v>
                </c:pt>
                <c:pt idx="77">
                  <c:v>558</c:v>
                </c:pt>
                <c:pt idx="78">
                  <c:v>593</c:v>
                </c:pt>
                <c:pt idx="79">
                  <c:v>625</c:v>
                </c:pt>
                <c:pt idx="80">
                  <c:v>579</c:v>
                </c:pt>
                <c:pt idx="81">
                  <c:v>533</c:v>
                </c:pt>
                <c:pt idx="82">
                  <c:v>442</c:v>
                </c:pt>
                <c:pt idx="83">
                  <c:v>476</c:v>
                </c:pt>
                <c:pt idx="84">
                  <c:v>592</c:v>
                </c:pt>
                <c:pt idx="85">
                  <c:v>619</c:v>
                </c:pt>
                <c:pt idx="86">
                  <c:v>657</c:v>
                </c:pt>
                <c:pt idx="87">
                  <c:v>565</c:v>
                </c:pt>
                <c:pt idx="88">
                  <c:v>525</c:v>
                </c:pt>
                <c:pt idx="89">
                  <c:v>449</c:v>
                </c:pt>
                <c:pt idx="90">
                  <c:v>471</c:v>
                </c:pt>
                <c:pt idx="91">
                  <c:v>535</c:v>
                </c:pt>
                <c:pt idx="92">
                  <c:v>584</c:v>
                </c:pt>
                <c:pt idx="93">
                  <c:v>595</c:v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</c:strCache>
            </c:strRef>
          </c:cat>
          <c:val>
            <c:numRef>
              <c:f>Sheet2!$H$5:$H$101</c:f>
              <c:numCache>
                <c:formatCode>General</c:formatCode>
                <c:ptCount val="97"/>
                <c:pt idx="0">
                  <c:v>810</c:v>
                </c:pt>
                <c:pt idx="1">
                  <c:v>839</c:v>
                </c:pt>
                <c:pt idx="2">
                  <c:v>742</c:v>
                </c:pt>
                <c:pt idx="3">
                  <c:v>814</c:v>
                </c:pt>
                <c:pt idx="4">
                  <c:v>717</c:v>
                </c:pt>
                <c:pt idx="5">
                  <c:v>502</c:v>
                </c:pt>
                <c:pt idx="6">
                  <c:v>707</c:v>
                </c:pt>
                <c:pt idx="7">
                  <c:v>757</c:v>
                </c:pt>
                <c:pt idx="8">
                  <c:v>773</c:v>
                </c:pt>
                <c:pt idx="9">
                  <c:v>742</c:v>
                </c:pt>
                <c:pt idx="10">
                  <c:v>663</c:v>
                </c:pt>
                <c:pt idx="11">
                  <c:v>696</c:v>
                </c:pt>
                <c:pt idx="12">
                  <c:v>543</c:v>
                </c:pt>
                <c:pt idx="13">
                  <c:v>787</c:v>
                </c:pt>
                <c:pt idx="14">
                  <c:v>808</c:v>
                </c:pt>
                <c:pt idx="15">
                  <c:v>836</c:v>
                </c:pt>
                <c:pt idx="16">
                  <c:v>889</c:v>
                </c:pt>
                <c:pt idx="17">
                  <c:v>844</c:v>
                </c:pt>
                <c:pt idx="18">
                  <c:v>670</c:v>
                </c:pt>
                <c:pt idx="19">
                  <c:v>699</c:v>
                </c:pt>
                <c:pt idx="20">
                  <c:v>798</c:v>
                </c:pt>
                <c:pt idx="21">
                  <c:v>907</c:v>
                </c:pt>
                <c:pt idx="22">
                  <c:v>931</c:v>
                </c:pt>
                <c:pt idx="23">
                  <c:v>695</c:v>
                </c:pt>
                <c:pt idx="24">
                  <c:v>700</c:v>
                </c:pt>
                <c:pt idx="25">
                  <c:v>798</c:v>
                </c:pt>
                <c:pt idx="26">
                  <c:v>900</c:v>
                </c:pt>
                <c:pt idx="27">
                  <c:v>956</c:v>
                </c:pt>
                <c:pt idx="28">
                  <c:v>939</c:v>
                </c:pt>
                <c:pt idx="29">
                  <c:v>1031</c:v>
                </c:pt>
                <c:pt idx="30">
                  <c:v>840</c:v>
                </c:pt>
                <c:pt idx="31">
                  <c:v>809</c:v>
                </c:pt>
                <c:pt idx="32">
                  <c:v>775</c:v>
                </c:pt>
                <c:pt idx="33">
                  <c:v>704</c:v>
                </c:pt>
                <c:pt idx="34">
                  <c:v>882</c:v>
                </c:pt>
                <c:pt idx="35">
                  <c:v>909</c:v>
                </c:pt>
                <c:pt idx="36">
                  <c:v>911</c:v>
                </c:pt>
                <c:pt idx="37">
                  <c:v>925</c:v>
                </c:pt>
                <c:pt idx="38">
                  <c:v>817</c:v>
                </c:pt>
                <c:pt idx="39">
                  <c:v>716</c:v>
                </c:pt>
                <c:pt idx="40">
                  <c:v>617</c:v>
                </c:pt>
                <c:pt idx="41">
                  <c:v>914</c:v>
                </c:pt>
                <c:pt idx="42">
                  <c:v>848</c:v>
                </c:pt>
                <c:pt idx="43">
                  <c:v>853</c:v>
                </c:pt>
                <c:pt idx="44">
                  <c:v>872</c:v>
                </c:pt>
                <c:pt idx="45">
                  <c:v>863</c:v>
                </c:pt>
                <c:pt idx="46">
                  <c:v>775</c:v>
                </c:pt>
                <c:pt idx="47">
                  <c:v>555</c:v>
                </c:pt>
                <c:pt idx="48">
                  <c:v>784</c:v>
                </c:pt>
                <c:pt idx="49">
                  <c:v>893</c:v>
                </c:pt>
                <c:pt idx="50">
                  <c:v>786</c:v>
                </c:pt>
                <c:pt idx="51">
                  <c:v>801</c:v>
                </c:pt>
                <c:pt idx="52">
                  <c:v>811</c:v>
                </c:pt>
                <c:pt idx="53">
                  <c:v>736</c:v>
                </c:pt>
                <c:pt idx="54">
                  <c:v>644</c:v>
                </c:pt>
                <c:pt idx="55">
                  <c:v>991</c:v>
                </c:pt>
                <c:pt idx="56">
                  <c:v>1145</c:v>
                </c:pt>
                <c:pt idx="57">
                  <c:v>1159</c:v>
                </c:pt>
                <c:pt idx="58">
                  <c:v>1158</c:v>
                </c:pt>
                <c:pt idx="59">
                  <c:v>1029</c:v>
                </c:pt>
                <c:pt idx="60">
                  <c:v>967</c:v>
                </c:pt>
                <c:pt idx="61">
                  <c:v>811</c:v>
                </c:pt>
                <c:pt idx="62">
                  <c:v>1122</c:v>
                </c:pt>
                <c:pt idx="63">
                  <c:v>1164</c:v>
                </c:pt>
                <c:pt idx="64">
                  <c:v>1072</c:v>
                </c:pt>
                <c:pt idx="65">
                  <c:v>1018</c:v>
                </c:pt>
                <c:pt idx="66">
                  <c:v>1007</c:v>
                </c:pt>
                <c:pt idx="67">
                  <c:v>904</c:v>
                </c:pt>
                <c:pt idx="68">
                  <c:v>684</c:v>
                </c:pt>
                <c:pt idx="69">
                  <c:v>735</c:v>
                </c:pt>
                <c:pt idx="70">
                  <c:v>998</c:v>
                </c:pt>
                <c:pt idx="71">
                  <c:v>1120</c:v>
                </c:pt>
                <c:pt idx="72">
                  <c:v>1046</c:v>
                </c:pt>
                <c:pt idx="73">
                  <c:v>1043</c:v>
                </c:pt>
                <c:pt idx="74">
                  <c:v>905</c:v>
                </c:pt>
                <c:pt idx="75">
                  <c:v>855</c:v>
                </c:pt>
                <c:pt idx="76">
                  <c:v>765</c:v>
                </c:pt>
                <c:pt idx="77">
                  <c:v>922</c:v>
                </c:pt>
                <c:pt idx="78">
                  <c:v>1005</c:v>
                </c:pt>
                <c:pt idx="79">
                  <c:v>1129</c:v>
                </c:pt>
                <c:pt idx="80">
                  <c:v>1019</c:v>
                </c:pt>
                <c:pt idx="81">
                  <c:v>952</c:v>
                </c:pt>
                <c:pt idx="82">
                  <c:v>752</c:v>
                </c:pt>
                <c:pt idx="83">
                  <c:v>829</c:v>
                </c:pt>
                <c:pt idx="84">
                  <c:v>1083</c:v>
                </c:pt>
                <c:pt idx="85">
                  <c:v>1186</c:v>
                </c:pt>
                <c:pt idx="86">
                  <c:v>1270</c:v>
                </c:pt>
                <c:pt idx="87">
                  <c:v>994</c:v>
                </c:pt>
                <c:pt idx="88">
                  <c:v>891</c:v>
                </c:pt>
                <c:pt idx="89">
                  <c:v>796</c:v>
                </c:pt>
                <c:pt idx="90">
                  <c:v>832</c:v>
                </c:pt>
                <c:pt idx="91">
                  <c:v>915</c:v>
                </c:pt>
                <c:pt idx="92">
                  <c:v>986</c:v>
                </c:pt>
                <c:pt idx="93">
                  <c:v>1030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484959"/>
        <c:axId val="73541892"/>
      </c:lineChart>
      <c:catAx>
        <c:axId val="84849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541892"/>
        <c:crosses val="autoZero"/>
        <c:auto val="1"/>
        <c:lblAlgn val="ctr"/>
        <c:lblOffset val="100"/>
        <c:noMultiLvlLbl val="0"/>
      </c:catAx>
      <c:valAx>
        <c:axId val="735418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8495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Hotel CPRN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Sheet5!$G$36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numFmt formatCode="\ * #,##0\ ;\ * \(#,##0\);\ * \-#\ ;\ @\ 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Sheet5!$F$37:$F$44</c:f>
              <c:strCache>
                <c:ptCount val="8"/>
                <c:pt idx="0">
                  <c:v>AdWords</c:v>
                </c:pt>
                <c:pt idx="1">
                  <c:v>JEK Loyalty</c:v>
                </c:pt>
                <c:pt idx="2">
                  <c:v>CRM Voucher</c:v>
                </c:pt>
                <c:pt idx="3">
                  <c:v>Campaign Voucher</c:v>
                </c:pt>
                <c:pt idx="4">
                  <c:v>Affiliate Voucher</c:v>
                </c:pt>
                <c:pt idx="5">
                  <c:v>Cross Sell</c:v>
                </c:pt>
                <c:pt idx="6">
                  <c:v>Other Vouchers</c:v>
                </c:pt>
                <c:pt idx="7">
                  <c:v>Total</c:v>
                </c:pt>
              </c:strCache>
            </c:strRef>
          </c:cat>
          <c:val>
            <c:numRef>
              <c:f>Sheet5!$G$37:$G$44</c:f>
              <c:numCache>
                <c:formatCode>General</c:formatCode>
                <c:ptCount val="8"/>
                <c:pt idx="0">
                  <c:v>790984.222389181</c:v>
                </c:pt>
                <c:pt idx="1">
                  <c:v>536750</c:v>
                </c:pt>
                <c:pt idx="2">
                  <c:v>452008.500458716</c:v>
                </c:pt>
                <c:pt idx="3">
                  <c:v>607344.63275</c:v>
                </c:pt>
                <c:pt idx="4">
                  <c:v>621176.470588235</c:v>
                </c:pt>
                <c:pt idx="6">
                  <c:v>479795.597484277</c:v>
                </c:pt>
                <c:pt idx="7">
                  <c:v>382749.030041636</c:v>
                </c:pt>
              </c:numCache>
            </c:numRef>
          </c:val>
        </c:ser>
        <c:ser>
          <c:idx val="1"/>
          <c:order val="1"/>
          <c:tx>
            <c:strRef>
              <c:f>Sheet5!$H$36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numFmt formatCode="\ * #,##0\ ;\ * \(#,##0\);\ * \-#\ ;\ @\ 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Sheet5!$F$37:$F$44</c:f>
              <c:strCache>
                <c:ptCount val="8"/>
                <c:pt idx="0">
                  <c:v>AdWords</c:v>
                </c:pt>
                <c:pt idx="1">
                  <c:v>JEK Loyalty</c:v>
                </c:pt>
                <c:pt idx="2">
                  <c:v>CRM Voucher</c:v>
                </c:pt>
                <c:pt idx="3">
                  <c:v>Campaign Voucher</c:v>
                </c:pt>
                <c:pt idx="4">
                  <c:v>Affiliate Voucher</c:v>
                </c:pt>
                <c:pt idx="5">
                  <c:v>Cross Sell</c:v>
                </c:pt>
                <c:pt idx="6">
                  <c:v>Other Vouchers</c:v>
                </c:pt>
                <c:pt idx="7">
                  <c:v>Total</c:v>
                </c:pt>
              </c:strCache>
            </c:strRef>
          </c:cat>
          <c:val>
            <c:numRef>
              <c:f>Sheet5!$H$37:$H$44</c:f>
              <c:numCache>
                <c:formatCode>General</c:formatCode>
                <c:ptCount val="8"/>
                <c:pt idx="0">
                  <c:v>779139.533609281</c:v>
                </c:pt>
                <c:pt idx="1">
                  <c:v>577704.356181935</c:v>
                </c:pt>
                <c:pt idx="2">
                  <c:v>522513.661202186</c:v>
                </c:pt>
                <c:pt idx="3">
                  <c:v>609067.177166725</c:v>
                </c:pt>
                <c:pt idx="4">
                  <c:v>484495.714285714</c:v>
                </c:pt>
                <c:pt idx="6">
                  <c:v>364146.341463415</c:v>
                </c:pt>
                <c:pt idx="7">
                  <c:v>433991.020463754</c:v>
                </c:pt>
              </c:numCache>
            </c:numRef>
          </c:val>
        </c:ser>
        <c:gapWidth val="219"/>
        <c:overlap val="-27"/>
        <c:axId val="58087350"/>
        <c:axId val="53414649"/>
      </c:barChart>
      <c:catAx>
        <c:axId val="5808735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414649"/>
        <c:crosses val="autoZero"/>
        <c:auto val="1"/>
        <c:lblAlgn val="ctr"/>
        <c:lblOffset val="100"/>
        <c:noMultiLvlLbl val="0"/>
      </c:catAx>
      <c:valAx>
        <c:axId val="53414649"/>
        <c:scaling>
          <c:orientation val="minMax"/>
        </c:scaling>
        <c:delete val="0"/>
        <c:axPos val="l"/>
        <c:numFmt formatCode="\ * #,##0\ ;\ * \(#,##0\);\ * \-#\ ;\ @\ " sourceLinked="0"/>
        <c:majorTickMark val="none"/>
        <c:minorTickMark val="none"/>
        <c:tickLblPos val="none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08735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Hotel Orders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Sheet5!$B$48</c:f>
              <c:strCache>
                <c:ptCount val="1"/>
                <c:pt idx="0">
                  <c:v>Actual Progress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Sheet5!$A$49:$A$57</c:f>
              <c:strCache>
                <c:ptCount val="9"/>
                <c:pt idx="0">
                  <c:v>AdWords</c:v>
                </c:pt>
                <c:pt idx="1">
                  <c:v>JEK Loyalty</c:v>
                </c:pt>
                <c:pt idx="2">
                  <c:v>CRM Voucher</c:v>
                </c:pt>
                <c:pt idx="3">
                  <c:v>Campaign Voucher</c:v>
                </c:pt>
                <c:pt idx="4">
                  <c:v>Affiliate Voucher</c:v>
                </c:pt>
                <c:pt idx="5">
                  <c:v>Cross Sell</c:v>
                </c:pt>
                <c:pt idx="6">
                  <c:v>Other Vouchers</c:v>
                </c:pt>
                <c:pt idx="7">
                  <c:v>Other Order</c:v>
                </c:pt>
                <c:pt idx="8">
                  <c:v>Total</c:v>
                </c:pt>
              </c:strCache>
            </c:strRef>
          </c:cat>
          <c:val>
            <c:numRef>
              <c:f>Sheet5!$B$49:$B$57</c:f>
              <c:numCache>
                <c:formatCode>General</c:formatCode>
                <c:ptCount val="9"/>
                <c:pt idx="0">
                  <c:v>0.429299645390071</c:v>
                </c:pt>
                <c:pt idx="1">
                  <c:v>0.505356311131812</c:v>
                </c:pt>
                <c:pt idx="2">
                  <c:v>0.464285714285714</c:v>
                </c:pt>
                <c:pt idx="3">
                  <c:v>1.50265486725664</c:v>
                </c:pt>
                <c:pt idx="4">
                  <c:v>0.3984375</c:v>
                </c:pt>
                <c:pt idx="6">
                  <c:v>0.309192200557103</c:v>
                </c:pt>
                <c:pt idx="7">
                  <c:v>0.329853862212944</c:v>
                </c:pt>
                <c:pt idx="8">
                  <c:v>0.65702947845805</c:v>
                </c:pt>
              </c:numCache>
            </c:numRef>
          </c:val>
        </c:ser>
        <c:ser>
          <c:idx val="1"/>
          <c:order val="1"/>
          <c:tx>
            <c:strRef>
              <c:f>Sheet5!$C$48</c:f>
              <c:strCache>
                <c:ptCount val="1"/>
                <c:pt idx="0">
                  <c:v>Forecast Progress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Sheet5!$A$49:$A$57</c:f>
              <c:strCache>
                <c:ptCount val="9"/>
                <c:pt idx="0">
                  <c:v>AdWords</c:v>
                </c:pt>
                <c:pt idx="1">
                  <c:v>JEK Loyalty</c:v>
                </c:pt>
                <c:pt idx="2">
                  <c:v>CRM Voucher</c:v>
                </c:pt>
                <c:pt idx="3">
                  <c:v>Campaign Voucher</c:v>
                </c:pt>
                <c:pt idx="4">
                  <c:v>Affiliate Voucher</c:v>
                </c:pt>
                <c:pt idx="5">
                  <c:v>Cross Sell</c:v>
                </c:pt>
                <c:pt idx="6">
                  <c:v>Other Vouchers</c:v>
                </c:pt>
                <c:pt idx="7">
                  <c:v>Other Order</c:v>
                </c:pt>
                <c:pt idx="8">
                  <c:v>Total</c:v>
                </c:pt>
              </c:strCache>
            </c:strRef>
          </c:cat>
          <c:val>
            <c:numRef>
              <c:f>Sheet5!$C$49:$C$57</c:f>
              <c:numCache>
                <c:formatCode>General</c:formatCode>
                <c:ptCount val="9"/>
                <c:pt idx="0">
                  <c:v>0.654510569715885</c:v>
                </c:pt>
                <c:pt idx="1">
                  <c:v>0.770466620832783</c:v>
                </c:pt>
                <c:pt idx="2">
                  <c:v>0.707850357276623</c:v>
                </c:pt>
                <c:pt idx="3">
                  <c:v>2.29094876694076</c:v>
                </c:pt>
                <c:pt idx="4">
                  <c:v>0.607458119105179</c:v>
                </c:pt>
                <c:pt idx="6">
                  <c:v>0.471394666898595</c:v>
                </c:pt>
                <c:pt idx="7">
                  <c:v>0.502895452158629</c:v>
                </c:pt>
                <c:pt idx="8">
                  <c:v>1.00170764845373</c:v>
                </c:pt>
              </c:numCache>
            </c:numRef>
          </c:val>
        </c:ser>
        <c:gapWidth val="219"/>
        <c:overlap val="-27"/>
        <c:axId val="20491439"/>
        <c:axId val="33904165"/>
      </c:barChart>
      <c:lineChart>
        <c:grouping val="standard"/>
        <c:varyColors val="0"/>
        <c:ser>
          <c:idx val="2"/>
          <c:order val="2"/>
          <c:tx>
            <c:strRef>
              <c:f>Sheet5!$D$48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Sheet5!$A$49:$A$57</c:f>
              <c:strCache>
                <c:ptCount val="9"/>
                <c:pt idx="0">
                  <c:v>AdWords</c:v>
                </c:pt>
                <c:pt idx="1">
                  <c:v>JEK Loyalty</c:v>
                </c:pt>
                <c:pt idx="2">
                  <c:v>CRM Voucher</c:v>
                </c:pt>
                <c:pt idx="3">
                  <c:v>Campaign Voucher</c:v>
                </c:pt>
                <c:pt idx="4">
                  <c:v>Affiliate Voucher</c:v>
                </c:pt>
                <c:pt idx="5">
                  <c:v>Cross Sell</c:v>
                </c:pt>
                <c:pt idx="6">
                  <c:v>Other Vouchers</c:v>
                </c:pt>
                <c:pt idx="7">
                  <c:v>Other Order</c:v>
                </c:pt>
                <c:pt idx="8">
                  <c:v>Total</c:v>
                </c:pt>
              </c:strCache>
            </c:strRef>
          </c:cat>
          <c:val>
            <c:numRef>
              <c:f>Sheet5!$D$49:$D$57</c:f>
              <c:numCache>
                <c:formatCode>General</c:formatCode>
                <c:ptCount val="9"/>
                <c:pt idx="0">
                  <c:v>0.67741935483871</c:v>
                </c:pt>
                <c:pt idx="1">
                  <c:v>0.67741935483871</c:v>
                </c:pt>
                <c:pt idx="2">
                  <c:v>0.67741935483871</c:v>
                </c:pt>
                <c:pt idx="3">
                  <c:v>0.67741935483871</c:v>
                </c:pt>
                <c:pt idx="4">
                  <c:v>0.67741935483871</c:v>
                </c:pt>
                <c:pt idx="5">
                  <c:v>0.67741935483871</c:v>
                </c:pt>
                <c:pt idx="6">
                  <c:v>0.67741935483871</c:v>
                </c:pt>
                <c:pt idx="7">
                  <c:v>0.67741935483871</c:v>
                </c:pt>
                <c:pt idx="8">
                  <c:v>0.67741935483871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0491439"/>
        <c:axId val="33904165"/>
      </c:lineChart>
      <c:catAx>
        <c:axId val="2049143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904165"/>
        <c:crosses val="autoZero"/>
        <c:auto val="1"/>
        <c:lblAlgn val="ctr"/>
        <c:lblOffset val="100"/>
        <c:noMultiLvlLbl val="0"/>
      </c:catAx>
      <c:valAx>
        <c:axId val="33904165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one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49143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Hotel RNs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Sheet5!$G$48</c:f>
              <c:strCache>
                <c:ptCount val="1"/>
                <c:pt idx="0">
                  <c:v>Actual Progress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Sheet5!$F$49:$F$57</c:f>
              <c:strCache>
                <c:ptCount val="9"/>
                <c:pt idx="0">
                  <c:v>AdWords</c:v>
                </c:pt>
                <c:pt idx="1">
                  <c:v>JEK Loyalty</c:v>
                </c:pt>
                <c:pt idx="2">
                  <c:v>CRM Voucher</c:v>
                </c:pt>
                <c:pt idx="3">
                  <c:v>Campaign Voucher</c:v>
                </c:pt>
                <c:pt idx="4">
                  <c:v>Affiliate Voucher</c:v>
                </c:pt>
                <c:pt idx="5">
                  <c:v>Cross Sell</c:v>
                </c:pt>
                <c:pt idx="6">
                  <c:v>Other Vouchers</c:v>
                </c:pt>
                <c:pt idx="7">
                  <c:v>Other Order</c:v>
                </c:pt>
                <c:pt idx="8">
                  <c:v>Total</c:v>
                </c:pt>
              </c:strCache>
            </c:strRef>
          </c:cat>
          <c:val>
            <c:numRef>
              <c:f>Sheet5!$G$49:$G$57</c:f>
              <c:numCache>
                <c:formatCode>General</c:formatCode>
                <c:ptCount val="9"/>
                <c:pt idx="0">
                  <c:v>0.409746053292428</c:v>
                </c:pt>
                <c:pt idx="1">
                  <c:v>0.410789473684211</c:v>
                </c:pt>
                <c:pt idx="2">
                  <c:v>0.419724770642202</c:v>
                </c:pt>
                <c:pt idx="3">
                  <c:v>1.4365</c:v>
                </c:pt>
                <c:pt idx="4">
                  <c:v>0.555882352941177</c:v>
                </c:pt>
                <c:pt idx="6">
                  <c:v>0.322327044025157</c:v>
                </c:pt>
                <c:pt idx="7">
                  <c:v>0.317216981132075</c:v>
                </c:pt>
                <c:pt idx="8">
                  <c:v>0.62707376961674</c:v>
                </c:pt>
              </c:numCache>
            </c:numRef>
          </c:val>
        </c:ser>
        <c:ser>
          <c:idx val="1"/>
          <c:order val="1"/>
          <c:tx>
            <c:strRef>
              <c:f>Sheet5!$H$48</c:f>
              <c:strCache>
                <c:ptCount val="1"/>
                <c:pt idx="0">
                  <c:v>Forecast Progress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Sheet5!$F$49:$F$57</c:f>
              <c:strCache>
                <c:ptCount val="9"/>
                <c:pt idx="0">
                  <c:v>AdWords</c:v>
                </c:pt>
                <c:pt idx="1">
                  <c:v>JEK Loyalty</c:v>
                </c:pt>
                <c:pt idx="2">
                  <c:v>CRM Voucher</c:v>
                </c:pt>
                <c:pt idx="3">
                  <c:v>Campaign Voucher</c:v>
                </c:pt>
                <c:pt idx="4">
                  <c:v>Affiliate Voucher</c:v>
                </c:pt>
                <c:pt idx="5">
                  <c:v>Cross Sell</c:v>
                </c:pt>
                <c:pt idx="6">
                  <c:v>Other Vouchers</c:v>
                </c:pt>
                <c:pt idx="7">
                  <c:v>Other Order</c:v>
                </c:pt>
                <c:pt idx="8">
                  <c:v>Total</c:v>
                </c:pt>
              </c:strCache>
            </c:strRef>
          </c:cat>
          <c:val>
            <c:numRef>
              <c:f>Sheet5!$H$49:$H$57</c:f>
              <c:numCache>
                <c:formatCode>General</c:formatCode>
                <c:ptCount val="9"/>
                <c:pt idx="0">
                  <c:v>0.62469914815696</c:v>
                </c:pt>
                <c:pt idx="1">
                  <c:v>0.626289947689203</c:v>
                </c:pt>
                <c:pt idx="2">
                  <c:v>0.639912708307237</c:v>
                </c:pt>
                <c:pt idx="3">
                  <c:v>2.19008900541387</c:v>
                </c:pt>
                <c:pt idx="4">
                  <c:v>0.847498663056084</c:v>
                </c:pt>
                <c:pt idx="6">
                  <c:v>0.491420059357501</c:v>
                </c:pt>
                <c:pt idx="7">
                  <c:v>0.483629253538418</c:v>
                </c:pt>
                <c:pt idx="8">
                  <c:v>0.956037151702786</c:v>
                </c:pt>
              </c:numCache>
            </c:numRef>
          </c:val>
        </c:ser>
        <c:gapWidth val="219"/>
        <c:overlap val="-27"/>
        <c:axId val="20618576"/>
        <c:axId val="23766230"/>
      </c:barChart>
      <c:lineChart>
        <c:grouping val="standard"/>
        <c:varyColors val="0"/>
        <c:ser>
          <c:idx val="2"/>
          <c:order val="2"/>
          <c:tx>
            <c:strRef>
              <c:f>Sheet5!$I$48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Sheet5!$F$49:$F$57</c:f>
              <c:strCache>
                <c:ptCount val="9"/>
                <c:pt idx="0">
                  <c:v>AdWords</c:v>
                </c:pt>
                <c:pt idx="1">
                  <c:v>JEK Loyalty</c:v>
                </c:pt>
                <c:pt idx="2">
                  <c:v>CRM Voucher</c:v>
                </c:pt>
                <c:pt idx="3">
                  <c:v>Campaign Voucher</c:v>
                </c:pt>
                <c:pt idx="4">
                  <c:v>Affiliate Voucher</c:v>
                </c:pt>
                <c:pt idx="5">
                  <c:v>Cross Sell</c:v>
                </c:pt>
                <c:pt idx="6">
                  <c:v>Other Vouchers</c:v>
                </c:pt>
                <c:pt idx="7">
                  <c:v>Other Order</c:v>
                </c:pt>
                <c:pt idx="8">
                  <c:v>Total</c:v>
                </c:pt>
              </c:strCache>
            </c:strRef>
          </c:cat>
          <c:val>
            <c:numRef>
              <c:f>Sheet5!$I$49:$I$57</c:f>
              <c:numCache>
                <c:formatCode>General</c:formatCode>
                <c:ptCount val="9"/>
                <c:pt idx="0">
                  <c:v>0.0361290322580645</c:v>
                </c:pt>
                <c:pt idx="1">
                  <c:v>0.0361290322580645</c:v>
                </c:pt>
                <c:pt idx="2">
                  <c:v>0.0361290322580645</c:v>
                </c:pt>
                <c:pt idx="3">
                  <c:v>0.0361290322580645</c:v>
                </c:pt>
                <c:pt idx="4">
                  <c:v>0.0361290322580645</c:v>
                </c:pt>
                <c:pt idx="5">
                  <c:v>0.0361290322580645</c:v>
                </c:pt>
                <c:pt idx="6">
                  <c:v>0.0361290322580645</c:v>
                </c:pt>
                <c:pt idx="7">
                  <c:v>0.0361290322580645</c:v>
                </c:pt>
                <c:pt idx="8">
                  <c:v>0.0361290322580645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0618576"/>
        <c:axId val="23766230"/>
      </c:lineChart>
      <c:catAx>
        <c:axId val="206185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766230"/>
        <c:crosses val="autoZero"/>
        <c:auto val="1"/>
        <c:lblAlgn val="ctr"/>
        <c:lblOffset val="100"/>
        <c:noMultiLvlLbl val="0"/>
      </c:catAx>
      <c:valAx>
        <c:axId val="23766230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one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61857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Flight Budget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Sheet5!$G$1:$G$2</c:f>
              <c:strCache>
                <c:ptCount val="1"/>
                <c:pt idx="0">
                  <c:v>Progress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Sheet5!$F$3:$F$12</c:f>
              <c:strCache>
                <c:ptCount val="10"/>
                <c:pt idx="0">
                  <c:v>Adwords</c:v>
                </c:pt>
                <c:pt idx="1">
                  <c:v>SMS</c:v>
                </c:pt>
                <c:pt idx="2">
                  <c:v>Loyalty</c:v>
                </c:pt>
                <c:pt idx="3">
                  <c:v>CRM Voucher</c:v>
                </c:pt>
                <c:pt idx="4">
                  <c:v>Campaign Voucher</c:v>
                </c:pt>
                <c:pt idx="5">
                  <c:v>Other Vouchers</c:v>
                </c:pt>
                <c:pt idx="6">
                  <c:v>Display</c:v>
                </c:pt>
                <c:pt idx="7">
                  <c:v>Social</c:v>
                </c:pt>
                <c:pt idx="8">
                  <c:v>Backlink</c:v>
                </c:pt>
                <c:pt idx="9">
                  <c:v>Total</c:v>
                </c:pt>
              </c:strCache>
            </c:strRef>
          </c:cat>
          <c:val>
            <c:numRef>
              <c:f>Sheet5!$G$3:$G$12</c:f>
              <c:numCache>
                <c:formatCode>General</c:formatCode>
                <c:ptCount val="10"/>
                <c:pt idx="0">
                  <c:v>0</c:v>
                </c:pt>
                <c:pt idx="2">
                  <c:v>14.5208333333333</c:v>
                </c:pt>
                <c:pt idx="4">
                  <c:v>0.885</c:v>
                </c:pt>
                <c:pt idx="7">
                  <c:v>2.44000357142857</c:v>
                </c:pt>
                <c:pt idx="9">
                  <c:v>0.951935298317696</c:v>
                </c:pt>
              </c:numCache>
            </c:numRef>
          </c:val>
        </c:ser>
        <c:gapWidth val="219"/>
        <c:overlap val="-27"/>
        <c:axId val="44773617"/>
        <c:axId val="96487239"/>
      </c:barChart>
      <c:lineChart>
        <c:grouping val="standard"/>
        <c:varyColors val="0"/>
        <c:ser>
          <c:idx val="1"/>
          <c:order val="1"/>
          <c:tx>
            <c:strRef>
              <c:f>Sheet5!$H$1:$H$2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Sheet5!$F$3:$F$12</c:f>
              <c:strCache>
                <c:ptCount val="10"/>
                <c:pt idx="0">
                  <c:v>Adwords</c:v>
                </c:pt>
                <c:pt idx="1">
                  <c:v>SMS</c:v>
                </c:pt>
                <c:pt idx="2">
                  <c:v>Loyalty</c:v>
                </c:pt>
                <c:pt idx="3">
                  <c:v>CRM Voucher</c:v>
                </c:pt>
                <c:pt idx="4">
                  <c:v>Campaign Voucher</c:v>
                </c:pt>
                <c:pt idx="5">
                  <c:v>Other Vouchers</c:v>
                </c:pt>
                <c:pt idx="6">
                  <c:v>Display</c:v>
                </c:pt>
                <c:pt idx="7">
                  <c:v>Social</c:v>
                </c:pt>
                <c:pt idx="8">
                  <c:v>Backlink</c:v>
                </c:pt>
                <c:pt idx="9">
                  <c:v>Total</c:v>
                </c:pt>
              </c:strCache>
            </c:strRef>
          </c:cat>
          <c:val>
            <c:numRef>
              <c:f>Sheet5!$H$3:$H$12</c:f>
              <c:numCache>
                <c:formatCode>General</c:formatCode>
                <c:ptCount val="10"/>
                <c:pt idx="0">
                  <c:v>0.67741935483871</c:v>
                </c:pt>
                <c:pt idx="1">
                  <c:v>0.67741935483871</c:v>
                </c:pt>
                <c:pt idx="2">
                  <c:v>0.67741935483871</c:v>
                </c:pt>
                <c:pt idx="3">
                  <c:v>0.67741935483871</c:v>
                </c:pt>
                <c:pt idx="4">
                  <c:v>0.67741935483871</c:v>
                </c:pt>
                <c:pt idx="5">
                  <c:v>0.67741935483871</c:v>
                </c:pt>
                <c:pt idx="6">
                  <c:v>0.67741935483871</c:v>
                </c:pt>
                <c:pt idx="7">
                  <c:v>0.67741935483871</c:v>
                </c:pt>
                <c:pt idx="8">
                  <c:v>0.67741935483871</c:v>
                </c:pt>
                <c:pt idx="9">
                  <c:v>0.67741935483871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4773617"/>
        <c:axId val="96487239"/>
      </c:lineChart>
      <c:catAx>
        <c:axId val="4477361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487239"/>
        <c:crosses val="autoZero"/>
        <c:auto val="1"/>
        <c:lblAlgn val="ctr"/>
        <c:lblOffset val="100"/>
        <c:noMultiLvlLbl val="0"/>
      </c:catAx>
      <c:valAx>
        <c:axId val="96487239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77361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CPO Monitoring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Sheet5!$B$16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numFmt formatCode="\ * #,##0\ ;\ * \(#,##0\);\ * \-#\ ;\ @\ 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Sheet5!$A$17:$A$22</c:f>
              <c:strCache>
                <c:ptCount val="6"/>
                <c:pt idx="0">
                  <c:v>Adwords</c:v>
                </c:pt>
                <c:pt idx="1">
                  <c:v>Loyalty</c:v>
                </c:pt>
                <c:pt idx="2">
                  <c:v>CRM Voucher</c:v>
                </c:pt>
                <c:pt idx="3">
                  <c:v>Campaign Voucher</c:v>
                </c:pt>
                <c:pt idx="4">
                  <c:v>Other Vouchers</c:v>
                </c:pt>
                <c:pt idx="5">
                  <c:v>Total</c:v>
                </c:pt>
              </c:strCache>
            </c:strRef>
          </c:cat>
          <c:val>
            <c:numRef>
              <c:f>Sheet5!$B$17:$B$22</c:f>
              <c:numCache>
                <c:formatCode>General</c:formatCode>
                <c:ptCount val="6"/>
                <c:pt idx="0">
                  <c:v>1000000</c:v>
                </c:pt>
                <c:pt idx="1">
                  <c:v>300000</c:v>
                </c:pt>
                <c:pt idx="2">
                  <c:v>0</c:v>
                </c:pt>
                <c:pt idx="3">
                  <c:v>400000</c:v>
                </c:pt>
                <c:pt idx="4">
                  <c:v>0</c:v>
                </c:pt>
                <c:pt idx="5">
                  <c:v>91739.7053848756</c:v>
                </c:pt>
              </c:numCache>
            </c:numRef>
          </c:val>
        </c:ser>
        <c:ser>
          <c:idx val="1"/>
          <c:order val="1"/>
          <c:tx>
            <c:strRef>
              <c:f>Sheet5!$C$16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Pt>
            <c:idx val="1"/>
            <c:invertIfNegative val="0"/>
            <c:spPr>
              <a:solidFill>
                <a:srgbClr val="ed7d31"/>
              </a:solidFill>
              <a:ln w="0">
                <a:noFill/>
              </a:ln>
            </c:spPr>
          </c:dPt>
          <c:dPt>
            <c:idx val="3"/>
            <c:invertIfNegative val="0"/>
            <c:spPr>
              <a:solidFill>
                <a:srgbClr val="ed7d31"/>
              </a:solidFill>
              <a:ln w="0">
                <a:noFill/>
              </a:ln>
            </c:spPr>
          </c:dPt>
          <c:dLbls>
            <c:numFmt formatCode="\ * #,##0\ ;\ * \(#,##0\);\ * \-#\ ;\ @\ " sourceLinked="1"/>
            <c:dLbl>
              <c:idx val="1"/>
              <c:layout>
                <c:manualLayout>
                  <c:x val="0.00599227609765995"/>
                  <c:y val="-0.0239586994064495"/>
                </c:manualLayout>
              </c:layout>
              <c:numFmt formatCode="\ * #,##0\ ;\ * \(#,##0\);\ * \-#\ ;\ @\ 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layout>
                <c:manualLayout>
                  <c:x val="0"/>
                  <c:y val="0.041072056125342"/>
                </c:manualLayout>
              </c:layout>
              <c:numFmt formatCode="\ * #,##0\ ;\ * \(#,##0\);\ * \-#\ ;\ @\ 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Sheet5!$A$17:$A$22</c:f>
              <c:strCache>
                <c:ptCount val="6"/>
                <c:pt idx="0">
                  <c:v>Adwords</c:v>
                </c:pt>
                <c:pt idx="1">
                  <c:v>Loyalty</c:v>
                </c:pt>
                <c:pt idx="2">
                  <c:v>CRM Voucher</c:v>
                </c:pt>
                <c:pt idx="3">
                  <c:v>Campaign Voucher</c:v>
                </c:pt>
                <c:pt idx="4">
                  <c:v>Other Vouchers</c:v>
                </c:pt>
                <c:pt idx="5">
                  <c:v>Total</c:v>
                </c:pt>
              </c:strCache>
            </c:strRef>
          </c:cat>
          <c:val>
            <c:numRef>
              <c:f>Sheet5!$C$17:$C$22</c:f>
              <c:numCache>
                <c:formatCode>General</c:formatCode>
                <c:ptCount val="6"/>
                <c:pt idx="1">
                  <c:v>384779.179810726</c:v>
                </c:pt>
                <c:pt idx="2">
                  <c:v>389690.721649485</c:v>
                </c:pt>
                <c:pt idx="3">
                  <c:v>406896.551724138</c:v>
                </c:pt>
                <c:pt idx="4">
                  <c:v>800955.569230769</c:v>
                </c:pt>
                <c:pt idx="5">
                  <c:v>187201.645465059</c:v>
                </c:pt>
              </c:numCache>
            </c:numRef>
          </c:val>
        </c:ser>
        <c:gapWidth val="219"/>
        <c:overlap val="-27"/>
        <c:axId val="13935682"/>
        <c:axId val="44826631"/>
      </c:barChart>
      <c:catAx>
        <c:axId val="1393568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826631"/>
        <c:crosses val="autoZero"/>
        <c:auto val="1"/>
        <c:lblAlgn val="ctr"/>
        <c:lblOffset val="100"/>
        <c:noMultiLvlLbl val="0"/>
      </c:catAx>
      <c:valAx>
        <c:axId val="44826631"/>
        <c:scaling>
          <c:orientation val="minMax"/>
        </c:scaling>
        <c:delete val="0"/>
        <c:axPos val="l"/>
        <c:numFmt formatCode="\ * #,##0\ ;\ * \(#,##0\);\ * \-#\ ;\ @\ " sourceLinked="0"/>
        <c:majorTickMark val="none"/>
        <c:minorTickMark val="none"/>
        <c:tickLblPos val="none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93568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Flight CPT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Sheet5!$G$15:$G$16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numFmt formatCode="\ * #,##0\ ;\ * \(#,##0\);\ * \-#\ ;\ @\ 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Sheet5!$F$17:$F$22</c:f>
              <c:strCache>
                <c:ptCount val="6"/>
                <c:pt idx="0">
                  <c:v>Adwords</c:v>
                </c:pt>
                <c:pt idx="1">
                  <c:v>Loyalty</c:v>
                </c:pt>
                <c:pt idx="2">
                  <c:v>CRM Voucher</c:v>
                </c:pt>
                <c:pt idx="3">
                  <c:v>Campaign Voucher</c:v>
                </c:pt>
                <c:pt idx="4">
                  <c:v>Other Vouchers</c:v>
                </c:pt>
                <c:pt idx="5">
                  <c:v>Total</c:v>
                </c:pt>
              </c:strCache>
            </c:strRef>
          </c:cat>
          <c:val>
            <c:numRef>
              <c:f>Sheet5!$G$17:$G$22</c:f>
              <c:numCache>
                <c:formatCode>General</c:formatCode>
                <c:ptCount val="6"/>
                <c:pt idx="0">
                  <c:v>698324.022346369</c:v>
                </c:pt>
                <c:pt idx="1">
                  <c:v>209813.874788494</c:v>
                </c:pt>
                <c:pt idx="3">
                  <c:v>279720.27972028</c:v>
                </c:pt>
                <c:pt idx="4">
                  <c:v>0</c:v>
                </c:pt>
                <c:pt idx="5">
                  <c:v>64152.688172043</c:v>
                </c:pt>
              </c:numCache>
            </c:numRef>
          </c:val>
        </c:ser>
        <c:ser>
          <c:idx val="1"/>
          <c:order val="1"/>
          <c:tx>
            <c:strRef>
              <c:f>Sheet5!$H$15:$H$16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ed7d31"/>
              </a:solidFill>
              <a:ln w="0">
                <a:noFill/>
              </a:ln>
            </c:spPr>
          </c:dPt>
          <c:dLbls>
            <c:numFmt formatCode="\ * #,##0\ ;\ * \(#,##0\);\ * \-#\ ;\ @\ " sourceLinked="1"/>
            <c:dLbl>
              <c:idx val="0"/>
              <c:layout>
                <c:manualLayout>
                  <c:x val="0.0916666666666667"/>
                  <c:y val="0.00925925925925926"/>
                </c:manualLayout>
              </c:layout>
              <c:numFmt formatCode="\ * #,##0\ ;\ * \(#,##0\);\ * \-#\ ;\ @\ 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Sheet5!$F$17:$F$22</c:f>
              <c:strCache>
                <c:ptCount val="6"/>
                <c:pt idx="0">
                  <c:v>Adwords</c:v>
                </c:pt>
                <c:pt idx="1">
                  <c:v>Loyalty</c:v>
                </c:pt>
                <c:pt idx="2">
                  <c:v>CRM Voucher</c:v>
                </c:pt>
                <c:pt idx="3">
                  <c:v>Campaign Voucher</c:v>
                </c:pt>
                <c:pt idx="4">
                  <c:v>Other Vouchers</c:v>
                </c:pt>
                <c:pt idx="5">
                  <c:v>Total</c:v>
                </c:pt>
              </c:strCache>
            </c:strRef>
          </c:cat>
          <c:val>
            <c:numRef>
              <c:f>Sheet5!$H$17:$H$22</c:f>
              <c:numCache>
                <c:formatCode>General</c:formatCode>
                <c:ptCount val="6"/>
                <c:pt idx="1">
                  <c:v>271962.095875139</c:v>
                </c:pt>
                <c:pt idx="2">
                  <c:v>288182.973316391</c:v>
                </c:pt>
                <c:pt idx="3">
                  <c:v>278740.157480315</c:v>
                </c:pt>
                <c:pt idx="4">
                  <c:v>613940</c:v>
                </c:pt>
                <c:pt idx="5">
                  <c:v>124383.266739846</c:v>
                </c:pt>
              </c:numCache>
            </c:numRef>
          </c:val>
        </c:ser>
        <c:gapWidth val="219"/>
        <c:overlap val="-27"/>
        <c:axId val="86537682"/>
        <c:axId val="34064885"/>
      </c:barChart>
      <c:catAx>
        <c:axId val="8653768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064885"/>
        <c:crosses val="autoZero"/>
        <c:auto val="1"/>
        <c:lblAlgn val="ctr"/>
        <c:lblOffset val="100"/>
        <c:noMultiLvlLbl val="0"/>
      </c:catAx>
      <c:valAx>
        <c:axId val="34064885"/>
        <c:scaling>
          <c:orientation val="minMax"/>
        </c:scaling>
        <c:delete val="0"/>
        <c:axPos val="l"/>
        <c:numFmt formatCode="\ * #,##0\ ;\ * \(#,##0\);\ * \-#\ ;\ @\ " sourceLinked="0"/>
        <c:majorTickMark val="none"/>
        <c:minorTickMark val="none"/>
        <c:tickLblPos val="none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53768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Hotel CPRN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Sheet5!$G$36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numFmt formatCode="\ * #,##0\ ;\ * \(#,##0\);\ * \-#\ ;\ @\ 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Sheet5!$F$37:$F$44</c:f>
              <c:strCache>
                <c:ptCount val="8"/>
                <c:pt idx="0">
                  <c:v>AdWords</c:v>
                </c:pt>
                <c:pt idx="1">
                  <c:v>JEK Loyalty</c:v>
                </c:pt>
                <c:pt idx="2">
                  <c:v>CRM Voucher</c:v>
                </c:pt>
                <c:pt idx="3">
                  <c:v>Campaign Voucher</c:v>
                </c:pt>
                <c:pt idx="4">
                  <c:v>Affiliate Voucher</c:v>
                </c:pt>
                <c:pt idx="5">
                  <c:v>Cross Sell</c:v>
                </c:pt>
                <c:pt idx="6">
                  <c:v>Other Vouchers</c:v>
                </c:pt>
                <c:pt idx="7">
                  <c:v>Total</c:v>
                </c:pt>
              </c:strCache>
            </c:strRef>
          </c:cat>
          <c:val>
            <c:numRef>
              <c:f>Sheet5!$G$37:$G$44</c:f>
              <c:numCache>
                <c:formatCode>General</c:formatCode>
                <c:ptCount val="8"/>
                <c:pt idx="0">
                  <c:v>790984.222389181</c:v>
                </c:pt>
                <c:pt idx="1">
                  <c:v>536750</c:v>
                </c:pt>
                <c:pt idx="2">
                  <c:v>452008.500458716</c:v>
                </c:pt>
                <c:pt idx="3">
                  <c:v>607344.63275</c:v>
                </c:pt>
                <c:pt idx="4">
                  <c:v>621176.470588235</c:v>
                </c:pt>
                <c:pt idx="6">
                  <c:v>479795.597484277</c:v>
                </c:pt>
                <c:pt idx="7">
                  <c:v>382749.030041636</c:v>
                </c:pt>
              </c:numCache>
            </c:numRef>
          </c:val>
        </c:ser>
        <c:ser>
          <c:idx val="1"/>
          <c:order val="1"/>
          <c:tx>
            <c:strRef>
              <c:f>Sheet5!$H$36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numFmt formatCode="\ * #,##0\ ;\ * \(#,##0\);\ * \-#\ ;\ @\ 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Sheet5!$F$37:$F$44</c:f>
              <c:strCache>
                <c:ptCount val="8"/>
                <c:pt idx="0">
                  <c:v>AdWords</c:v>
                </c:pt>
                <c:pt idx="1">
                  <c:v>JEK Loyalty</c:v>
                </c:pt>
                <c:pt idx="2">
                  <c:v>CRM Voucher</c:v>
                </c:pt>
                <c:pt idx="3">
                  <c:v>Campaign Voucher</c:v>
                </c:pt>
                <c:pt idx="4">
                  <c:v>Affiliate Voucher</c:v>
                </c:pt>
                <c:pt idx="5">
                  <c:v>Cross Sell</c:v>
                </c:pt>
                <c:pt idx="6">
                  <c:v>Other Vouchers</c:v>
                </c:pt>
                <c:pt idx="7">
                  <c:v>Total</c:v>
                </c:pt>
              </c:strCache>
            </c:strRef>
          </c:cat>
          <c:val>
            <c:numRef>
              <c:f>Sheet5!$H$37:$H$44</c:f>
              <c:numCache>
                <c:formatCode>General</c:formatCode>
                <c:ptCount val="8"/>
                <c:pt idx="0">
                  <c:v>779139.533609281</c:v>
                </c:pt>
                <c:pt idx="1">
                  <c:v>577704.356181935</c:v>
                </c:pt>
                <c:pt idx="2">
                  <c:v>522513.661202186</c:v>
                </c:pt>
                <c:pt idx="3">
                  <c:v>609067.177166725</c:v>
                </c:pt>
                <c:pt idx="4">
                  <c:v>484495.714285714</c:v>
                </c:pt>
                <c:pt idx="6">
                  <c:v>364146.341463415</c:v>
                </c:pt>
                <c:pt idx="7">
                  <c:v>433991.020463754</c:v>
                </c:pt>
              </c:numCache>
            </c:numRef>
          </c:val>
        </c:ser>
        <c:gapWidth val="219"/>
        <c:overlap val="-27"/>
        <c:axId val="32858463"/>
        <c:axId val="27859383"/>
      </c:barChart>
      <c:catAx>
        <c:axId val="3285846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859383"/>
        <c:crosses val="autoZero"/>
        <c:auto val="1"/>
        <c:lblAlgn val="ctr"/>
        <c:lblOffset val="100"/>
        <c:noMultiLvlLbl val="0"/>
      </c:catAx>
      <c:valAx>
        <c:axId val="27859383"/>
        <c:scaling>
          <c:orientation val="minMax"/>
        </c:scaling>
        <c:delete val="0"/>
        <c:axPos val="l"/>
        <c:numFmt formatCode="\ * #,##0\ ;\ * \(#,##0\);\ * \-#\ ;\ @\ " sourceLinked="0"/>
        <c:majorTickMark val="none"/>
        <c:minorTickMark val="none"/>
        <c:tickLblPos val="none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85846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sheet5</c:f>
              <c:strCache>
                <c:ptCount val="1"/>
                <c:pt idx="0">
                  <c:v>sheet5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Sheet5!$A$49:$A$57</c:f>
              <c:strCache>
                <c:ptCount val="9"/>
                <c:pt idx="0">
                  <c:v>AdWords</c:v>
                </c:pt>
                <c:pt idx="1">
                  <c:v>JEK Loyalty</c:v>
                </c:pt>
                <c:pt idx="2">
                  <c:v>CRM Voucher</c:v>
                </c:pt>
                <c:pt idx="3">
                  <c:v>Campaign Voucher</c:v>
                </c:pt>
                <c:pt idx="4">
                  <c:v>Affiliate Voucher</c:v>
                </c:pt>
                <c:pt idx="5">
                  <c:v>Cross Sell</c:v>
                </c:pt>
                <c:pt idx="6">
                  <c:v>Other Vouchers</c:v>
                </c:pt>
                <c:pt idx="7">
                  <c:v>Other Order</c:v>
                </c:pt>
                <c:pt idx="8">
                  <c:v>Total</c:v>
                </c:pt>
              </c:strCache>
            </c:strRef>
          </c:cat>
          <c:val>
            <c:numRef>
              <c:f>Sheet5!$B$49:$B$57</c:f>
              <c:numCache>
                <c:formatCode>General</c:formatCode>
                <c:ptCount val="9"/>
                <c:pt idx="0">
                  <c:v>0.429299645390071</c:v>
                </c:pt>
                <c:pt idx="1">
                  <c:v>0.505356311131812</c:v>
                </c:pt>
                <c:pt idx="2">
                  <c:v>0.464285714285714</c:v>
                </c:pt>
                <c:pt idx="3">
                  <c:v>1.50265486725664</c:v>
                </c:pt>
                <c:pt idx="4">
                  <c:v>0.3984375</c:v>
                </c:pt>
                <c:pt idx="6">
                  <c:v>0.309192200557103</c:v>
                </c:pt>
                <c:pt idx="7">
                  <c:v>0.329853862212944</c:v>
                </c:pt>
                <c:pt idx="8">
                  <c:v>0.65702947845805</c:v>
                </c:pt>
              </c:numCache>
            </c:numRef>
          </c:val>
        </c:ser>
        <c:ser>
          <c:idx val="1"/>
          <c:order val="1"/>
          <c:tx>
            <c:strRef>
              <c:f>Sheet5!$B$48</c:f>
              <c:strCache>
                <c:ptCount val="1"/>
                <c:pt idx="0">
                  <c:v>Actual Progress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Sheet5!$A$49:$A$57</c:f>
              <c:strCache>
                <c:ptCount val="9"/>
                <c:pt idx="0">
                  <c:v>AdWords</c:v>
                </c:pt>
                <c:pt idx="1">
                  <c:v>JEK Loyalty</c:v>
                </c:pt>
                <c:pt idx="2">
                  <c:v>CRM Voucher</c:v>
                </c:pt>
                <c:pt idx="3">
                  <c:v>Campaign Voucher</c:v>
                </c:pt>
                <c:pt idx="4">
                  <c:v>Affiliate Voucher</c:v>
                </c:pt>
                <c:pt idx="5">
                  <c:v>Cross Sell</c:v>
                </c:pt>
                <c:pt idx="6">
                  <c:v>Other Vouchers</c:v>
                </c:pt>
                <c:pt idx="7">
                  <c:v>Other Order</c:v>
                </c:pt>
                <c:pt idx="8">
                  <c:v>Total</c:v>
                </c:pt>
              </c:strCache>
            </c:strRef>
          </c:cat>
          <c:val>
            <c:numRef>
              <c:f>Sheet5!$C$49:$C$57</c:f>
              <c:numCache>
                <c:formatCode>General</c:formatCode>
                <c:ptCount val="9"/>
                <c:pt idx="0">
                  <c:v>0.654510569715885</c:v>
                </c:pt>
                <c:pt idx="1">
                  <c:v>0.770466620832783</c:v>
                </c:pt>
                <c:pt idx="2">
                  <c:v>0.707850357276623</c:v>
                </c:pt>
                <c:pt idx="3">
                  <c:v>2.29094876694076</c:v>
                </c:pt>
                <c:pt idx="4">
                  <c:v>0.607458119105179</c:v>
                </c:pt>
                <c:pt idx="6">
                  <c:v>0.471394666898595</c:v>
                </c:pt>
                <c:pt idx="7">
                  <c:v>0.502895452158629</c:v>
                </c:pt>
                <c:pt idx="8">
                  <c:v>1.00170764845373</c:v>
                </c:pt>
              </c:numCache>
            </c:numRef>
          </c:val>
        </c:ser>
        <c:gapWidth val="219"/>
        <c:overlap val="-27"/>
        <c:axId val="92938848"/>
        <c:axId val="39832218"/>
      </c:barChart>
      <c:catAx>
        <c:axId val="92938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832218"/>
        <c:crosses val="autoZero"/>
        <c:auto val="1"/>
        <c:lblAlgn val="ctr"/>
        <c:lblOffset val="100"/>
        <c:noMultiLvlLbl val="0"/>
      </c:catAx>
      <c:valAx>
        <c:axId val="398322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93884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Hotel RNs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Sheet5!$G$48</c:f>
              <c:strCache>
                <c:ptCount val="1"/>
                <c:pt idx="0">
                  <c:v>Actual Progress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Sheet5!$F$49:$F$57</c:f>
              <c:strCache>
                <c:ptCount val="9"/>
                <c:pt idx="0">
                  <c:v>AdWords</c:v>
                </c:pt>
                <c:pt idx="1">
                  <c:v>JEK Loyalty</c:v>
                </c:pt>
                <c:pt idx="2">
                  <c:v>CRM Voucher</c:v>
                </c:pt>
                <c:pt idx="3">
                  <c:v>Campaign Voucher</c:v>
                </c:pt>
                <c:pt idx="4">
                  <c:v>Affiliate Voucher</c:v>
                </c:pt>
                <c:pt idx="5">
                  <c:v>Cross Sell</c:v>
                </c:pt>
                <c:pt idx="6">
                  <c:v>Other Vouchers</c:v>
                </c:pt>
                <c:pt idx="7">
                  <c:v>Other Order</c:v>
                </c:pt>
                <c:pt idx="8">
                  <c:v>Total</c:v>
                </c:pt>
              </c:strCache>
            </c:strRef>
          </c:cat>
          <c:val>
            <c:numRef>
              <c:f>Sheet5!$G$49:$G$57</c:f>
              <c:numCache>
                <c:formatCode>General</c:formatCode>
                <c:ptCount val="9"/>
                <c:pt idx="0">
                  <c:v>0.409746053292428</c:v>
                </c:pt>
                <c:pt idx="1">
                  <c:v>0.410789473684211</c:v>
                </c:pt>
                <c:pt idx="2">
                  <c:v>0.419724770642202</c:v>
                </c:pt>
                <c:pt idx="3">
                  <c:v>1.4365</c:v>
                </c:pt>
                <c:pt idx="4">
                  <c:v>0.555882352941177</c:v>
                </c:pt>
                <c:pt idx="6">
                  <c:v>0.322327044025157</c:v>
                </c:pt>
                <c:pt idx="7">
                  <c:v>0.317216981132075</c:v>
                </c:pt>
                <c:pt idx="8">
                  <c:v>0.62707376961674</c:v>
                </c:pt>
              </c:numCache>
            </c:numRef>
          </c:val>
        </c:ser>
        <c:ser>
          <c:idx val="1"/>
          <c:order val="1"/>
          <c:tx>
            <c:strRef>
              <c:f>Sheet5!$H$48</c:f>
              <c:strCache>
                <c:ptCount val="1"/>
                <c:pt idx="0">
                  <c:v>Forecast Progress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Sheet5!$F$49:$F$57</c:f>
              <c:strCache>
                <c:ptCount val="9"/>
                <c:pt idx="0">
                  <c:v>AdWords</c:v>
                </c:pt>
                <c:pt idx="1">
                  <c:v>JEK Loyalty</c:v>
                </c:pt>
                <c:pt idx="2">
                  <c:v>CRM Voucher</c:v>
                </c:pt>
                <c:pt idx="3">
                  <c:v>Campaign Voucher</c:v>
                </c:pt>
                <c:pt idx="4">
                  <c:v>Affiliate Voucher</c:v>
                </c:pt>
                <c:pt idx="5">
                  <c:v>Cross Sell</c:v>
                </c:pt>
                <c:pt idx="6">
                  <c:v>Other Vouchers</c:v>
                </c:pt>
                <c:pt idx="7">
                  <c:v>Other Order</c:v>
                </c:pt>
                <c:pt idx="8">
                  <c:v>Total</c:v>
                </c:pt>
              </c:strCache>
            </c:strRef>
          </c:cat>
          <c:val>
            <c:numRef>
              <c:f>Sheet5!$H$49:$H$57</c:f>
              <c:numCache>
                <c:formatCode>General</c:formatCode>
                <c:ptCount val="9"/>
                <c:pt idx="0">
                  <c:v>0.62469914815696</c:v>
                </c:pt>
                <c:pt idx="1">
                  <c:v>0.626289947689203</c:v>
                </c:pt>
                <c:pt idx="2">
                  <c:v>0.639912708307237</c:v>
                </c:pt>
                <c:pt idx="3">
                  <c:v>2.19008900541387</c:v>
                </c:pt>
                <c:pt idx="4">
                  <c:v>0.847498663056084</c:v>
                </c:pt>
                <c:pt idx="6">
                  <c:v>0.491420059357501</c:v>
                </c:pt>
                <c:pt idx="7">
                  <c:v>0.483629253538418</c:v>
                </c:pt>
                <c:pt idx="8">
                  <c:v>0.956037151702786</c:v>
                </c:pt>
              </c:numCache>
            </c:numRef>
          </c:val>
        </c:ser>
        <c:gapWidth val="219"/>
        <c:overlap val="-27"/>
        <c:axId val="52462050"/>
        <c:axId val="83633872"/>
      </c:barChart>
      <c:lineChart>
        <c:grouping val="standard"/>
        <c:varyColors val="0"/>
        <c:ser>
          <c:idx val="2"/>
          <c:order val="2"/>
          <c:tx>
            <c:strRef>
              <c:f>Sheet5!$I$48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Sheet5!$F$49:$F$57</c:f>
              <c:strCache>
                <c:ptCount val="9"/>
                <c:pt idx="0">
                  <c:v>AdWords</c:v>
                </c:pt>
                <c:pt idx="1">
                  <c:v>JEK Loyalty</c:v>
                </c:pt>
                <c:pt idx="2">
                  <c:v>CRM Voucher</c:v>
                </c:pt>
                <c:pt idx="3">
                  <c:v>Campaign Voucher</c:v>
                </c:pt>
                <c:pt idx="4">
                  <c:v>Affiliate Voucher</c:v>
                </c:pt>
                <c:pt idx="5">
                  <c:v>Cross Sell</c:v>
                </c:pt>
                <c:pt idx="6">
                  <c:v>Other Vouchers</c:v>
                </c:pt>
                <c:pt idx="7">
                  <c:v>Other Order</c:v>
                </c:pt>
                <c:pt idx="8">
                  <c:v>Total</c:v>
                </c:pt>
              </c:strCache>
            </c:strRef>
          </c:cat>
          <c:val>
            <c:numRef>
              <c:f>Sheet5!$I$49:$I$57</c:f>
              <c:numCache>
                <c:formatCode>General</c:formatCode>
                <c:ptCount val="9"/>
                <c:pt idx="0">
                  <c:v>0.0361290322580645</c:v>
                </c:pt>
                <c:pt idx="1">
                  <c:v>0.0361290322580645</c:v>
                </c:pt>
                <c:pt idx="2">
                  <c:v>0.0361290322580645</c:v>
                </c:pt>
                <c:pt idx="3">
                  <c:v>0.0361290322580645</c:v>
                </c:pt>
                <c:pt idx="4">
                  <c:v>0.0361290322580645</c:v>
                </c:pt>
                <c:pt idx="5">
                  <c:v>0.0361290322580645</c:v>
                </c:pt>
                <c:pt idx="6">
                  <c:v>0.0361290322580645</c:v>
                </c:pt>
                <c:pt idx="7">
                  <c:v>0.0361290322580645</c:v>
                </c:pt>
                <c:pt idx="8">
                  <c:v>0.0361290322580645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2462050"/>
        <c:axId val="83633872"/>
      </c:lineChart>
      <c:catAx>
        <c:axId val="5246205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633872"/>
        <c:crosses val="autoZero"/>
        <c:auto val="1"/>
        <c:lblAlgn val="ctr"/>
        <c:lblOffset val="100"/>
        <c:noMultiLvlLbl val="0"/>
      </c:catAx>
      <c:valAx>
        <c:axId val="83633872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46205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Sheet2!$K$4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Sheet2!$G$5:$G$101</c:f>
              <c:strCache>
                <c:ptCount val="97"/>
                <c:pt idx="0">
                  <c:v>478</c:v>
                </c:pt>
                <c:pt idx="1">
                  <c:v>490</c:v>
                </c:pt>
                <c:pt idx="2">
                  <c:v>454</c:v>
                </c:pt>
                <c:pt idx="3">
                  <c:v>497</c:v>
                </c:pt>
                <c:pt idx="4">
                  <c:v>425</c:v>
                </c:pt>
                <c:pt idx="5">
                  <c:v>307</c:v>
                </c:pt>
                <c:pt idx="6">
                  <c:v>433</c:v>
                </c:pt>
                <c:pt idx="7">
                  <c:v>456</c:v>
                </c:pt>
                <c:pt idx="8">
                  <c:v>457</c:v>
                </c:pt>
                <c:pt idx="9">
                  <c:v>469</c:v>
                </c:pt>
                <c:pt idx="10">
                  <c:v>391</c:v>
                </c:pt>
                <c:pt idx="11">
                  <c:v>383</c:v>
                </c:pt>
                <c:pt idx="12">
                  <c:v>329</c:v>
                </c:pt>
                <c:pt idx="13">
                  <c:v>471</c:v>
                </c:pt>
                <c:pt idx="14">
                  <c:v>456</c:v>
                </c:pt>
                <c:pt idx="15">
                  <c:v>486</c:v>
                </c:pt>
                <c:pt idx="16">
                  <c:v>521</c:v>
                </c:pt>
                <c:pt idx="17">
                  <c:v>481</c:v>
                </c:pt>
                <c:pt idx="18">
                  <c:v>424</c:v>
                </c:pt>
                <c:pt idx="19">
                  <c:v>385</c:v>
                </c:pt>
                <c:pt idx="20">
                  <c:v>464</c:v>
                </c:pt>
                <c:pt idx="21">
                  <c:v>511</c:v>
                </c:pt>
                <c:pt idx="22">
                  <c:v>510</c:v>
                </c:pt>
                <c:pt idx="23">
                  <c:v>435</c:v>
                </c:pt>
                <c:pt idx="24">
                  <c:v>438</c:v>
                </c:pt>
                <c:pt idx="25">
                  <c:v>472</c:v>
                </c:pt>
                <c:pt idx="26">
                  <c:v>513</c:v>
                </c:pt>
                <c:pt idx="27">
                  <c:v>571</c:v>
                </c:pt>
                <c:pt idx="28">
                  <c:v>540</c:v>
                </c:pt>
                <c:pt idx="29">
                  <c:v>558</c:v>
                </c:pt>
                <c:pt idx="30">
                  <c:v>495</c:v>
                </c:pt>
                <c:pt idx="31">
                  <c:v>483</c:v>
                </c:pt>
                <c:pt idx="32">
                  <c:v>460</c:v>
                </c:pt>
                <c:pt idx="33">
                  <c:v>400</c:v>
                </c:pt>
                <c:pt idx="34">
                  <c:v>554</c:v>
                </c:pt>
                <c:pt idx="35">
                  <c:v>539</c:v>
                </c:pt>
                <c:pt idx="36">
                  <c:v>562</c:v>
                </c:pt>
                <c:pt idx="37">
                  <c:v>558</c:v>
                </c:pt>
                <c:pt idx="38">
                  <c:v>467</c:v>
                </c:pt>
                <c:pt idx="39">
                  <c:v>429</c:v>
                </c:pt>
                <c:pt idx="40">
                  <c:v>365</c:v>
                </c:pt>
                <c:pt idx="41">
                  <c:v>512</c:v>
                </c:pt>
                <c:pt idx="42">
                  <c:v>519</c:v>
                </c:pt>
                <c:pt idx="43">
                  <c:v>512</c:v>
                </c:pt>
                <c:pt idx="44">
                  <c:v>525</c:v>
                </c:pt>
                <c:pt idx="45">
                  <c:v>501</c:v>
                </c:pt>
                <c:pt idx="46">
                  <c:v>439</c:v>
                </c:pt>
                <c:pt idx="47">
                  <c:v>328</c:v>
                </c:pt>
                <c:pt idx="48">
                  <c:v>474</c:v>
                </c:pt>
                <c:pt idx="49">
                  <c:v>535</c:v>
                </c:pt>
                <c:pt idx="50">
                  <c:v>481</c:v>
                </c:pt>
                <c:pt idx="51">
                  <c:v>515</c:v>
                </c:pt>
                <c:pt idx="52">
                  <c:v>513</c:v>
                </c:pt>
                <c:pt idx="53">
                  <c:v>430</c:v>
                </c:pt>
                <c:pt idx="54">
                  <c:v>373</c:v>
                </c:pt>
                <c:pt idx="55">
                  <c:v>571</c:v>
                </c:pt>
                <c:pt idx="56">
                  <c:v>667</c:v>
                </c:pt>
                <c:pt idx="57">
                  <c:v>683</c:v>
                </c:pt>
                <c:pt idx="58">
                  <c:v>683</c:v>
                </c:pt>
                <c:pt idx="59">
                  <c:v>615</c:v>
                </c:pt>
                <c:pt idx="60">
                  <c:v>564</c:v>
                </c:pt>
                <c:pt idx="61">
                  <c:v>481</c:v>
                </c:pt>
                <c:pt idx="62">
                  <c:v>642</c:v>
                </c:pt>
                <c:pt idx="63">
                  <c:v>658</c:v>
                </c:pt>
                <c:pt idx="64">
                  <c:v>644</c:v>
                </c:pt>
                <c:pt idx="65">
                  <c:v>612</c:v>
                </c:pt>
                <c:pt idx="66">
                  <c:v>583</c:v>
                </c:pt>
                <c:pt idx="67">
                  <c:v>528</c:v>
                </c:pt>
                <c:pt idx="68">
                  <c:v>406</c:v>
                </c:pt>
                <c:pt idx="69">
                  <c:v>418</c:v>
                </c:pt>
                <c:pt idx="70">
                  <c:v>579</c:v>
                </c:pt>
                <c:pt idx="71">
                  <c:v>634</c:v>
                </c:pt>
                <c:pt idx="72">
                  <c:v>592</c:v>
                </c:pt>
                <c:pt idx="73">
                  <c:v>590</c:v>
                </c:pt>
                <c:pt idx="74">
                  <c:v>535</c:v>
                </c:pt>
                <c:pt idx="75">
                  <c:v>472</c:v>
                </c:pt>
                <c:pt idx="76">
                  <c:v>460</c:v>
                </c:pt>
                <c:pt idx="77">
                  <c:v>558</c:v>
                </c:pt>
                <c:pt idx="78">
                  <c:v>593</c:v>
                </c:pt>
                <c:pt idx="79">
                  <c:v>625</c:v>
                </c:pt>
                <c:pt idx="80">
                  <c:v>579</c:v>
                </c:pt>
                <c:pt idx="81">
                  <c:v>533</c:v>
                </c:pt>
                <c:pt idx="82">
                  <c:v>442</c:v>
                </c:pt>
                <c:pt idx="83">
                  <c:v>476</c:v>
                </c:pt>
                <c:pt idx="84">
                  <c:v>592</c:v>
                </c:pt>
                <c:pt idx="85">
                  <c:v>619</c:v>
                </c:pt>
                <c:pt idx="86">
                  <c:v>657</c:v>
                </c:pt>
                <c:pt idx="87">
                  <c:v>565</c:v>
                </c:pt>
                <c:pt idx="88">
                  <c:v>525</c:v>
                </c:pt>
                <c:pt idx="89">
                  <c:v>449</c:v>
                </c:pt>
                <c:pt idx="90">
                  <c:v>471</c:v>
                </c:pt>
                <c:pt idx="91">
                  <c:v>535</c:v>
                </c:pt>
                <c:pt idx="92">
                  <c:v>584</c:v>
                </c:pt>
                <c:pt idx="93">
                  <c:v>595</c:v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</c:strCache>
            </c:strRef>
          </c:cat>
          <c:val>
            <c:numRef>
              <c:f>Sheet2!$K$5:$K$101</c:f>
              <c:numCache>
                <c:formatCode>General</c:formatCode>
                <c:ptCount val="97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667410"/>
        <c:axId val="27150408"/>
      </c:lineChart>
      <c:catAx>
        <c:axId val="56674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150408"/>
        <c:crosses val="autoZero"/>
        <c:auto val="1"/>
        <c:lblAlgn val="ctr"/>
        <c:lblOffset val="100"/>
        <c:noMultiLvlLbl val="0"/>
      </c:catAx>
      <c:valAx>
        <c:axId val="271504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6741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Hotel Budget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Sheet5!$B$2</c:f>
              <c:strCache>
                <c:ptCount val="1"/>
                <c:pt idx="0">
                  <c:v>Progress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numFmt formatCode="0.0%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Sheet5!$A$3:$A$13</c:f>
              <c:strCache>
                <c:ptCount val="11"/>
                <c:pt idx="0">
                  <c:v>AdWords</c:v>
                </c:pt>
                <c:pt idx="1">
                  <c:v>JEK Loyalty</c:v>
                </c:pt>
                <c:pt idx="2">
                  <c:v>CRM Voucher</c:v>
                </c:pt>
                <c:pt idx="3">
                  <c:v>Campaign Voucher</c:v>
                </c:pt>
                <c:pt idx="4">
                  <c:v>Affiliate Voucher</c:v>
                </c:pt>
                <c:pt idx="5">
                  <c:v>Cross Sell</c:v>
                </c:pt>
                <c:pt idx="6">
                  <c:v>Other Vouchers</c:v>
                </c:pt>
                <c:pt idx="7">
                  <c:v>PR/Backlink</c:v>
                </c:pt>
                <c:pt idx="8">
                  <c:v>SMS</c:v>
                </c:pt>
                <c:pt idx="9">
                  <c:v>Social</c:v>
                </c:pt>
                <c:pt idx="10">
                  <c:v>Total</c:v>
                </c:pt>
              </c:strCache>
            </c:strRef>
          </c:cat>
          <c:val>
            <c:numRef>
              <c:f>Sheet5!$B$3:$B$13</c:f>
              <c:numCache>
                <c:formatCode>General</c:formatCode>
                <c:ptCount val="11"/>
                <c:pt idx="0">
                  <c:v>0.403610261524823</c:v>
                </c:pt>
                <c:pt idx="1">
                  <c:v>0.44213296398892</c:v>
                </c:pt>
                <c:pt idx="2">
                  <c:v>0.4851942527252</c:v>
                </c:pt>
                <c:pt idx="3">
                  <c:v>1.44057418609006</c:v>
                </c:pt>
                <c:pt idx="4">
                  <c:v>0.433568607954545</c:v>
                </c:pt>
                <c:pt idx="6">
                  <c:v>0.244633786662297</c:v>
                </c:pt>
                <c:pt idx="8">
                  <c:v>1.06382978723404</c:v>
                </c:pt>
                <c:pt idx="9">
                  <c:v>0.882670073101237</c:v>
                </c:pt>
                <c:pt idx="10">
                  <c:v>0.73915400482924</c:v>
                </c:pt>
              </c:numCache>
            </c:numRef>
          </c:val>
        </c:ser>
        <c:gapWidth val="219"/>
        <c:overlap val="-27"/>
        <c:axId val="65245171"/>
        <c:axId val="65826098"/>
      </c:barChart>
      <c:lineChart>
        <c:grouping val="standard"/>
        <c:varyColors val="0"/>
        <c:ser>
          <c:idx val="1"/>
          <c:order val="1"/>
          <c:tx>
            <c:strRef>
              <c:f>Sheet5!$C$2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Sheet5!$A$3:$A$13</c:f>
              <c:strCache>
                <c:ptCount val="11"/>
                <c:pt idx="0">
                  <c:v>AdWords</c:v>
                </c:pt>
                <c:pt idx="1">
                  <c:v>JEK Loyalty</c:v>
                </c:pt>
                <c:pt idx="2">
                  <c:v>CRM Voucher</c:v>
                </c:pt>
                <c:pt idx="3">
                  <c:v>Campaign Voucher</c:v>
                </c:pt>
                <c:pt idx="4">
                  <c:v>Affiliate Voucher</c:v>
                </c:pt>
                <c:pt idx="5">
                  <c:v>Cross Sell</c:v>
                </c:pt>
                <c:pt idx="6">
                  <c:v>Other Vouchers</c:v>
                </c:pt>
                <c:pt idx="7">
                  <c:v>PR/Backlink</c:v>
                </c:pt>
                <c:pt idx="8">
                  <c:v>SMS</c:v>
                </c:pt>
                <c:pt idx="9">
                  <c:v>Social</c:v>
                </c:pt>
                <c:pt idx="10">
                  <c:v>Total</c:v>
                </c:pt>
              </c:strCache>
            </c:strRef>
          </c:cat>
          <c:val>
            <c:numRef>
              <c:f>Sheet5!$C$3:$C$13</c:f>
              <c:numCache>
                <c:formatCode>General</c:formatCode>
                <c:ptCount val="11"/>
                <c:pt idx="0">
                  <c:v>0.67741935483871</c:v>
                </c:pt>
                <c:pt idx="1">
                  <c:v>0.67741935483871</c:v>
                </c:pt>
                <c:pt idx="2">
                  <c:v>0.67741935483871</c:v>
                </c:pt>
                <c:pt idx="3">
                  <c:v>0.67741935483871</c:v>
                </c:pt>
                <c:pt idx="4">
                  <c:v>0.67741935483871</c:v>
                </c:pt>
                <c:pt idx="5">
                  <c:v>0.67741935483871</c:v>
                </c:pt>
                <c:pt idx="6">
                  <c:v>0.67741935483871</c:v>
                </c:pt>
                <c:pt idx="7">
                  <c:v>0.67741935483871</c:v>
                </c:pt>
                <c:pt idx="8">
                  <c:v>0.67741935483871</c:v>
                </c:pt>
                <c:pt idx="9">
                  <c:v>0.67741935483871</c:v>
                </c:pt>
                <c:pt idx="10">
                  <c:v>0.67741935483871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5245171"/>
        <c:axId val="65826098"/>
      </c:lineChart>
      <c:catAx>
        <c:axId val="6524517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826098"/>
        <c:crosses val="autoZero"/>
        <c:auto val="1"/>
        <c:lblAlgn val="ctr"/>
        <c:lblOffset val="100"/>
        <c:noMultiLvlLbl val="0"/>
      </c:catAx>
      <c:valAx>
        <c:axId val="6582609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one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24517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Flight Budget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Sheet5!$G$1:$G$2</c:f>
              <c:strCache>
                <c:ptCount val="1"/>
                <c:pt idx="0">
                  <c:v>Progress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Sheet5!$F$3:$F$12</c:f>
              <c:strCache>
                <c:ptCount val="10"/>
                <c:pt idx="0">
                  <c:v>Adwords</c:v>
                </c:pt>
                <c:pt idx="1">
                  <c:v>SMS</c:v>
                </c:pt>
                <c:pt idx="2">
                  <c:v>Loyalty</c:v>
                </c:pt>
                <c:pt idx="3">
                  <c:v>CRM Voucher</c:v>
                </c:pt>
                <c:pt idx="4">
                  <c:v>Campaign Voucher</c:v>
                </c:pt>
                <c:pt idx="5">
                  <c:v>Other Vouchers</c:v>
                </c:pt>
                <c:pt idx="6">
                  <c:v>Display</c:v>
                </c:pt>
                <c:pt idx="7">
                  <c:v>Social</c:v>
                </c:pt>
                <c:pt idx="8">
                  <c:v>Backlink</c:v>
                </c:pt>
                <c:pt idx="9">
                  <c:v>Total</c:v>
                </c:pt>
              </c:strCache>
            </c:strRef>
          </c:cat>
          <c:val>
            <c:numRef>
              <c:f>Sheet5!$G$3:$G$12</c:f>
              <c:numCache>
                <c:formatCode>General</c:formatCode>
                <c:ptCount val="10"/>
                <c:pt idx="0">
                  <c:v>0</c:v>
                </c:pt>
                <c:pt idx="2">
                  <c:v>14.5208333333333</c:v>
                </c:pt>
                <c:pt idx="4">
                  <c:v>0.885</c:v>
                </c:pt>
                <c:pt idx="7">
                  <c:v>2.44000357142857</c:v>
                </c:pt>
                <c:pt idx="9">
                  <c:v>0.951935298317696</c:v>
                </c:pt>
              </c:numCache>
            </c:numRef>
          </c:val>
        </c:ser>
        <c:gapWidth val="219"/>
        <c:overlap val="-27"/>
        <c:axId val="13685022"/>
        <c:axId val="72133879"/>
      </c:barChart>
      <c:lineChart>
        <c:grouping val="standard"/>
        <c:varyColors val="0"/>
        <c:ser>
          <c:idx val="1"/>
          <c:order val="1"/>
          <c:tx>
            <c:strRef>
              <c:f>Sheet5!$H$1:$H$2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Sheet5!$F$3:$F$12</c:f>
              <c:strCache>
                <c:ptCount val="10"/>
                <c:pt idx="0">
                  <c:v>Adwords</c:v>
                </c:pt>
                <c:pt idx="1">
                  <c:v>SMS</c:v>
                </c:pt>
                <c:pt idx="2">
                  <c:v>Loyalty</c:v>
                </c:pt>
                <c:pt idx="3">
                  <c:v>CRM Voucher</c:v>
                </c:pt>
                <c:pt idx="4">
                  <c:v>Campaign Voucher</c:v>
                </c:pt>
                <c:pt idx="5">
                  <c:v>Other Vouchers</c:v>
                </c:pt>
                <c:pt idx="6">
                  <c:v>Display</c:v>
                </c:pt>
                <c:pt idx="7">
                  <c:v>Social</c:v>
                </c:pt>
                <c:pt idx="8">
                  <c:v>Backlink</c:v>
                </c:pt>
                <c:pt idx="9">
                  <c:v>Total</c:v>
                </c:pt>
              </c:strCache>
            </c:strRef>
          </c:cat>
          <c:val>
            <c:numRef>
              <c:f>Sheet5!$H$3:$H$12</c:f>
              <c:numCache>
                <c:formatCode>General</c:formatCode>
                <c:ptCount val="10"/>
                <c:pt idx="0">
                  <c:v>0.67741935483871</c:v>
                </c:pt>
                <c:pt idx="1">
                  <c:v>0.67741935483871</c:v>
                </c:pt>
                <c:pt idx="2">
                  <c:v>0.67741935483871</c:v>
                </c:pt>
                <c:pt idx="3">
                  <c:v>0.67741935483871</c:v>
                </c:pt>
                <c:pt idx="4">
                  <c:v>0.67741935483871</c:v>
                </c:pt>
                <c:pt idx="5">
                  <c:v>0.67741935483871</c:v>
                </c:pt>
                <c:pt idx="6">
                  <c:v>0.67741935483871</c:v>
                </c:pt>
                <c:pt idx="7">
                  <c:v>0.67741935483871</c:v>
                </c:pt>
                <c:pt idx="8">
                  <c:v>0.67741935483871</c:v>
                </c:pt>
                <c:pt idx="9">
                  <c:v>0.67741935483871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3685022"/>
        <c:axId val="72133879"/>
      </c:lineChart>
      <c:catAx>
        <c:axId val="1368502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133879"/>
        <c:crosses val="autoZero"/>
        <c:auto val="1"/>
        <c:lblAlgn val="ctr"/>
        <c:lblOffset val="100"/>
        <c:noMultiLvlLbl val="0"/>
      </c:catAx>
      <c:valAx>
        <c:axId val="72133879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one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68502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Flight CPO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Sheet5!$B$16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numFmt formatCode="\ * #,##0\ ;\ * \(#,##0\);\ * \-#\ ;\ @\ 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Sheet5!$A$17:$A$22</c:f>
              <c:strCache>
                <c:ptCount val="6"/>
                <c:pt idx="0">
                  <c:v>Adwords</c:v>
                </c:pt>
                <c:pt idx="1">
                  <c:v>Loyalty</c:v>
                </c:pt>
                <c:pt idx="2">
                  <c:v>CRM Voucher</c:v>
                </c:pt>
                <c:pt idx="3">
                  <c:v>Campaign Voucher</c:v>
                </c:pt>
                <c:pt idx="4">
                  <c:v>Other Vouchers</c:v>
                </c:pt>
                <c:pt idx="5">
                  <c:v>Total</c:v>
                </c:pt>
              </c:strCache>
            </c:strRef>
          </c:cat>
          <c:val>
            <c:numRef>
              <c:f>Sheet5!$B$17:$B$22</c:f>
              <c:numCache>
                <c:formatCode>General</c:formatCode>
                <c:ptCount val="6"/>
                <c:pt idx="0">
                  <c:v>1000000</c:v>
                </c:pt>
                <c:pt idx="1">
                  <c:v>300000</c:v>
                </c:pt>
                <c:pt idx="2">
                  <c:v>0</c:v>
                </c:pt>
                <c:pt idx="3">
                  <c:v>400000</c:v>
                </c:pt>
                <c:pt idx="4">
                  <c:v>0</c:v>
                </c:pt>
                <c:pt idx="5">
                  <c:v>91739.7053848756</c:v>
                </c:pt>
              </c:numCache>
            </c:numRef>
          </c:val>
        </c:ser>
        <c:ser>
          <c:idx val="1"/>
          <c:order val="1"/>
          <c:tx>
            <c:strRef>
              <c:f>Sheet5!$C$16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Pt>
            <c:idx val="1"/>
            <c:invertIfNegative val="0"/>
            <c:spPr>
              <a:solidFill>
                <a:srgbClr val="ed7d31"/>
              </a:solidFill>
              <a:ln w="0">
                <a:noFill/>
              </a:ln>
            </c:spPr>
          </c:dPt>
          <c:dPt>
            <c:idx val="3"/>
            <c:invertIfNegative val="0"/>
            <c:spPr>
              <a:solidFill>
                <a:srgbClr val="ed7d31"/>
              </a:solidFill>
              <a:ln w="0">
                <a:noFill/>
              </a:ln>
            </c:spPr>
          </c:dPt>
          <c:dLbls>
            <c:numFmt formatCode="\ * #,##0\ ;\ * \(#,##0\);\ * \-#\ ;\ @\ " sourceLinked="1"/>
            <c:dLbl>
              <c:idx val="1"/>
              <c:layout>
                <c:manualLayout>
                  <c:x val="0.00599227609765995"/>
                  <c:y val="-0.0239586994064495"/>
                </c:manualLayout>
              </c:layout>
              <c:numFmt formatCode="\ * #,##0\ ;\ * \(#,##0\);\ * \-#\ ;\ @\ 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layout>
                <c:manualLayout>
                  <c:x val="0"/>
                  <c:y val="0.041072056125342"/>
                </c:manualLayout>
              </c:layout>
              <c:numFmt formatCode="\ * #,##0\ ;\ * \(#,##0\);\ * \-#\ ;\ @\ 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Sheet5!$A$17:$A$22</c:f>
              <c:strCache>
                <c:ptCount val="6"/>
                <c:pt idx="0">
                  <c:v>Adwords</c:v>
                </c:pt>
                <c:pt idx="1">
                  <c:v>Loyalty</c:v>
                </c:pt>
                <c:pt idx="2">
                  <c:v>CRM Voucher</c:v>
                </c:pt>
                <c:pt idx="3">
                  <c:v>Campaign Voucher</c:v>
                </c:pt>
                <c:pt idx="4">
                  <c:v>Other Vouchers</c:v>
                </c:pt>
                <c:pt idx="5">
                  <c:v>Total</c:v>
                </c:pt>
              </c:strCache>
            </c:strRef>
          </c:cat>
          <c:val>
            <c:numRef>
              <c:f>Sheet5!$C$17:$C$22</c:f>
              <c:numCache>
                <c:formatCode>General</c:formatCode>
                <c:ptCount val="6"/>
                <c:pt idx="1">
                  <c:v>384779.179810726</c:v>
                </c:pt>
                <c:pt idx="2">
                  <c:v>389690.721649485</c:v>
                </c:pt>
                <c:pt idx="3">
                  <c:v>406896.551724138</c:v>
                </c:pt>
                <c:pt idx="4">
                  <c:v>800955.569230769</c:v>
                </c:pt>
                <c:pt idx="5">
                  <c:v>187201.645465059</c:v>
                </c:pt>
              </c:numCache>
            </c:numRef>
          </c:val>
        </c:ser>
        <c:gapWidth val="219"/>
        <c:overlap val="-27"/>
        <c:axId val="66212677"/>
        <c:axId val="88500338"/>
      </c:barChart>
      <c:catAx>
        <c:axId val="6621267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500338"/>
        <c:crosses val="autoZero"/>
        <c:auto val="1"/>
        <c:lblAlgn val="ctr"/>
        <c:lblOffset val="100"/>
        <c:noMultiLvlLbl val="0"/>
      </c:catAx>
      <c:valAx>
        <c:axId val="88500338"/>
        <c:scaling>
          <c:orientation val="minMax"/>
        </c:scaling>
        <c:delete val="0"/>
        <c:axPos val="l"/>
        <c:numFmt formatCode="\ * #,##0\ ;\ * \(#,##0\);\ * \-#\ ;\ @\ " sourceLinked="0"/>
        <c:majorTickMark val="none"/>
        <c:minorTickMark val="none"/>
        <c:tickLblPos val="none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21267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Flight CPT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Sheet5!$G$15:$G$16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numFmt formatCode="\ * #,##0\ ;\ * \(#,##0\);\ * \-#\ ;\ @\ 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Sheet5!$F$17:$F$22</c:f>
              <c:strCache>
                <c:ptCount val="6"/>
                <c:pt idx="0">
                  <c:v>Adwords</c:v>
                </c:pt>
                <c:pt idx="1">
                  <c:v>Loyalty</c:v>
                </c:pt>
                <c:pt idx="2">
                  <c:v>CRM Voucher</c:v>
                </c:pt>
                <c:pt idx="3">
                  <c:v>Campaign Voucher</c:v>
                </c:pt>
                <c:pt idx="4">
                  <c:v>Other Vouchers</c:v>
                </c:pt>
                <c:pt idx="5">
                  <c:v>Total</c:v>
                </c:pt>
              </c:strCache>
            </c:strRef>
          </c:cat>
          <c:val>
            <c:numRef>
              <c:f>Sheet5!$G$17:$G$22</c:f>
              <c:numCache>
                <c:formatCode>General</c:formatCode>
                <c:ptCount val="6"/>
                <c:pt idx="0">
                  <c:v>698324.022346369</c:v>
                </c:pt>
                <c:pt idx="1">
                  <c:v>209813.874788494</c:v>
                </c:pt>
                <c:pt idx="3">
                  <c:v>279720.27972028</c:v>
                </c:pt>
                <c:pt idx="4">
                  <c:v>0</c:v>
                </c:pt>
                <c:pt idx="5">
                  <c:v>64152.688172043</c:v>
                </c:pt>
              </c:numCache>
            </c:numRef>
          </c:val>
        </c:ser>
        <c:ser>
          <c:idx val="1"/>
          <c:order val="1"/>
          <c:tx>
            <c:strRef>
              <c:f>Sheet5!$H$15:$H$16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ed7d31"/>
              </a:solidFill>
              <a:ln w="0">
                <a:noFill/>
              </a:ln>
            </c:spPr>
          </c:dPt>
          <c:dLbls>
            <c:numFmt formatCode="\ * #,##0\ ;\ * \(#,##0\);\ * \-#\ ;\ @\ " sourceLinked="1"/>
            <c:dLbl>
              <c:idx val="0"/>
              <c:layout>
                <c:manualLayout>
                  <c:x val="0.0916666666666667"/>
                  <c:y val="0.00925925925925926"/>
                </c:manualLayout>
              </c:layout>
              <c:numFmt formatCode="\ * #,##0\ ;\ * \(#,##0\);\ * \-#\ ;\ @\ 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Sheet5!$F$17:$F$22</c:f>
              <c:strCache>
                <c:ptCount val="6"/>
                <c:pt idx="0">
                  <c:v>Adwords</c:v>
                </c:pt>
                <c:pt idx="1">
                  <c:v>Loyalty</c:v>
                </c:pt>
                <c:pt idx="2">
                  <c:v>CRM Voucher</c:v>
                </c:pt>
                <c:pt idx="3">
                  <c:v>Campaign Voucher</c:v>
                </c:pt>
                <c:pt idx="4">
                  <c:v>Other Vouchers</c:v>
                </c:pt>
                <c:pt idx="5">
                  <c:v>Total</c:v>
                </c:pt>
              </c:strCache>
            </c:strRef>
          </c:cat>
          <c:val>
            <c:numRef>
              <c:f>Sheet5!$H$17:$H$22</c:f>
              <c:numCache>
                <c:formatCode>General</c:formatCode>
                <c:ptCount val="6"/>
                <c:pt idx="1">
                  <c:v>271962.095875139</c:v>
                </c:pt>
                <c:pt idx="2">
                  <c:v>288182.973316391</c:v>
                </c:pt>
                <c:pt idx="3">
                  <c:v>278740.157480315</c:v>
                </c:pt>
                <c:pt idx="4">
                  <c:v>613940</c:v>
                </c:pt>
                <c:pt idx="5">
                  <c:v>124383.266739846</c:v>
                </c:pt>
              </c:numCache>
            </c:numRef>
          </c:val>
        </c:ser>
        <c:gapWidth val="219"/>
        <c:overlap val="-27"/>
        <c:axId val="72112288"/>
        <c:axId val="2058993"/>
      </c:barChart>
      <c:catAx>
        <c:axId val="72112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58993"/>
        <c:crosses val="autoZero"/>
        <c:auto val="1"/>
        <c:lblAlgn val="ctr"/>
        <c:lblOffset val="100"/>
        <c:noMultiLvlLbl val="0"/>
      </c:catAx>
      <c:valAx>
        <c:axId val="2058993"/>
        <c:scaling>
          <c:orientation val="minMax"/>
        </c:scaling>
        <c:delete val="0"/>
        <c:axPos val="l"/>
        <c:numFmt formatCode="\ * #,##0\ ;\ * \(#,##0\);\ * \-#\ ;\ @\ " sourceLinked="0"/>
        <c:majorTickMark val="none"/>
        <c:minorTickMark val="none"/>
        <c:tickLblPos val="none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11228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Flight - Orders Progress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Sheet5!$B$25</c:f>
              <c:strCache>
                <c:ptCount val="1"/>
                <c:pt idx="0">
                  <c:v>Actual Progress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Sheet5!$A$26:$A$32</c:f>
              <c:strCache>
                <c:ptCount val="7"/>
                <c:pt idx="0">
                  <c:v>Adwords</c:v>
                </c:pt>
                <c:pt idx="1">
                  <c:v>Loyalty</c:v>
                </c:pt>
                <c:pt idx="2">
                  <c:v>CRM Voucher</c:v>
                </c:pt>
                <c:pt idx="3">
                  <c:v>Campaign Voucher</c:v>
                </c:pt>
                <c:pt idx="4">
                  <c:v>Other Vouchers</c:v>
                </c:pt>
                <c:pt idx="5">
                  <c:v>Direct &amp; Organic</c:v>
                </c:pt>
                <c:pt idx="6">
                  <c:v>Total</c:v>
                </c:pt>
              </c:strCache>
            </c:strRef>
          </c:cat>
          <c:val>
            <c:numRef>
              <c:f>Sheet5!$B$26:$B$32</c:f>
              <c:numCache>
                <c:formatCode>General</c:formatCode>
                <c:ptCount val="7"/>
                <c:pt idx="0">
                  <c:v>0</c:v>
                </c:pt>
                <c:pt idx="1">
                  <c:v>1.02258064516129</c:v>
                </c:pt>
                <c:pt idx="3">
                  <c:v>0.87</c:v>
                </c:pt>
                <c:pt idx="6">
                  <c:v>0.558446351139404</c:v>
                </c:pt>
              </c:numCache>
            </c:numRef>
          </c:val>
        </c:ser>
        <c:ser>
          <c:idx val="1"/>
          <c:order val="1"/>
          <c:tx>
            <c:strRef>
              <c:f>Sheet5!$C$25</c:f>
              <c:strCache>
                <c:ptCount val="1"/>
                <c:pt idx="0">
                  <c:v>Forecast Progress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Sheet5!$A$26:$A$32</c:f>
              <c:strCache>
                <c:ptCount val="7"/>
                <c:pt idx="0">
                  <c:v>Adwords</c:v>
                </c:pt>
                <c:pt idx="1">
                  <c:v>Loyalty</c:v>
                </c:pt>
                <c:pt idx="2">
                  <c:v>CRM Voucher</c:v>
                </c:pt>
                <c:pt idx="3">
                  <c:v>Campaign Voucher</c:v>
                </c:pt>
                <c:pt idx="4">
                  <c:v>Other Vouchers</c:v>
                </c:pt>
                <c:pt idx="5">
                  <c:v>Direct &amp; Organic</c:v>
                </c:pt>
                <c:pt idx="6">
                  <c:v>Total</c:v>
                </c:pt>
              </c:strCache>
            </c:strRef>
          </c:cat>
          <c:val>
            <c:numRef>
              <c:f>Sheet5!$C$26:$C$32</c:f>
              <c:numCache>
                <c:formatCode>General</c:formatCode>
                <c:ptCount val="7"/>
                <c:pt idx="0">
                  <c:v>0</c:v>
                </c:pt>
                <c:pt idx="1">
                  <c:v>1.56354189535309</c:v>
                </c:pt>
                <c:pt idx="3">
                  <c:v>2.77653967069155</c:v>
                </c:pt>
                <c:pt idx="6">
                  <c:v>0.853873257278208</c:v>
                </c:pt>
              </c:numCache>
            </c:numRef>
          </c:val>
        </c:ser>
        <c:gapWidth val="219"/>
        <c:overlap val="0"/>
        <c:axId val="90315656"/>
        <c:axId val="47175811"/>
      </c:barChart>
      <c:lineChart>
        <c:grouping val="standard"/>
        <c:varyColors val="0"/>
        <c:ser>
          <c:idx val="2"/>
          <c:order val="2"/>
          <c:tx>
            <c:strRef>
              <c:f>Sheet5!$D$25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Sheet5!$A$26:$A$32</c:f>
              <c:strCache>
                <c:ptCount val="7"/>
                <c:pt idx="0">
                  <c:v>Adwords</c:v>
                </c:pt>
                <c:pt idx="1">
                  <c:v>Loyalty</c:v>
                </c:pt>
                <c:pt idx="2">
                  <c:v>CRM Voucher</c:v>
                </c:pt>
                <c:pt idx="3">
                  <c:v>Campaign Voucher</c:v>
                </c:pt>
                <c:pt idx="4">
                  <c:v>Other Vouchers</c:v>
                </c:pt>
                <c:pt idx="5">
                  <c:v>Direct &amp; Organic</c:v>
                </c:pt>
                <c:pt idx="6">
                  <c:v>Total</c:v>
                </c:pt>
              </c:strCache>
            </c:strRef>
          </c:cat>
          <c:val>
            <c:numRef>
              <c:f>Sheet5!$D$26:$D$32</c:f>
              <c:numCache>
                <c:formatCode>General</c:formatCode>
                <c:ptCount val="7"/>
                <c:pt idx="0">
                  <c:v>0.67741935483871</c:v>
                </c:pt>
                <c:pt idx="1">
                  <c:v>0.67741935483871</c:v>
                </c:pt>
                <c:pt idx="2">
                  <c:v>0.67741935483871</c:v>
                </c:pt>
                <c:pt idx="3">
                  <c:v>0.67741935483871</c:v>
                </c:pt>
                <c:pt idx="4">
                  <c:v>0.67741935483871</c:v>
                </c:pt>
                <c:pt idx="5">
                  <c:v>0.67741935483871</c:v>
                </c:pt>
                <c:pt idx="6">
                  <c:v>0.67741935483871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0315656"/>
        <c:axId val="47175811"/>
      </c:lineChart>
      <c:catAx>
        <c:axId val="90315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175811"/>
        <c:crosses val="autoZero"/>
        <c:auto val="1"/>
        <c:lblAlgn val="ctr"/>
        <c:lblOffset val="100"/>
        <c:noMultiLvlLbl val="0"/>
      </c:catAx>
      <c:valAx>
        <c:axId val="47175811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one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31565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Flight - Tickets Progress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Sheet5!$G$25</c:f>
              <c:strCache>
                <c:ptCount val="1"/>
                <c:pt idx="0">
                  <c:v>Actual Progress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Sheet5!$A$26:$A$32</c:f>
              <c:strCache>
                <c:ptCount val="7"/>
                <c:pt idx="0">
                  <c:v>Adwords</c:v>
                </c:pt>
                <c:pt idx="1">
                  <c:v>Loyalty</c:v>
                </c:pt>
                <c:pt idx="2">
                  <c:v>CRM Voucher</c:v>
                </c:pt>
                <c:pt idx="3">
                  <c:v>Campaign Voucher</c:v>
                </c:pt>
                <c:pt idx="4">
                  <c:v>Other Vouchers</c:v>
                </c:pt>
                <c:pt idx="5">
                  <c:v>Direct &amp; Organic</c:v>
                </c:pt>
                <c:pt idx="6">
                  <c:v>Total</c:v>
                </c:pt>
              </c:strCache>
            </c:strRef>
          </c:cat>
          <c:val>
            <c:numRef>
              <c:f>Sheet5!$G$26:$G$32</c:f>
              <c:numCache>
                <c:formatCode>General</c:formatCode>
                <c:ptCount val="7"/>
                <c:pt idx="0">
                  <c:v>0</c:v>
                </c:pt>
                <c:pt idx="1">
                  <c:v>1.01184433164129</c:v>
                </c:pt>
                <c:pt idx="3">
                  <c:v>0.888111888111888</c:v>
                </c:pt>
                <c:pt idx="6">
                  <c:v>0.587741935483871</c:v>
                </c:pt>
              </c:numCache>
            </c:numRef>
          </c:val>
        </c:ser>
        <c:ser>
          <c:idx val="1"/>
          <c:order val="1"/>
          <c:tx>
            <c:strRef>
              <c:f>Sheet5!$H$25</c:f>
              <c:strCache>
                <c:ptCount val="1"/>
                <c:pt idx="0">
                  <c:v>Forecast Progress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Sheet5!$A$26:$A$32</c:f>
              <c:strCache>
                <c:ptCount val="7"/>
                <c:pt idx="0">
                  <c:v>Adwords</c:v>
                </c:pt>
                <c:pt idx="1">
                  <c:v>Loyalty</c:v>
                </c:pt>
                <c:pt idx="2">
                  <c:v>CRM Voucher</c:v>
                </c:pt>
                <c:pt idx="3">
                  <c:v>Campaign Voucher</c:v>
                </c:pt>
                <c:pt idx="4">
                  <c:v>Other Vouchers</c:v>
                </c:pt>
                <c:pt idx="5">
                  <c:v>Direct &amp; Organic</c:v>
                </c:pt>
                <c:pt idx="6">
                  <c:v>Total</c:v>
                </c:pt>
              </c:strCache>
            </c:strRef>
          </c:cat>
          <c:val>
            <c:numRef>
              <c:f>Sheet5!$H$26:$H$32</c:f>
              <c:numCache>
                <c:formatCode>General</c:formatCode>
                <c:ptCount val="7"/>
                <c:pt idx="0">
                  <c:v>0</c:v>
                </c:pt>
                <c:pt idx="1">
                  <c:v>1.54712590305986</c:v>
                </c:pt>
                <c:pt idx="3">
                  <c:v>2.83434240155797</c:v>
                </c:pt>
                <c:pt idx="6">
                  <c:v>0.898666666666667</c:v>
                </c:pt>
              </c:numCache>
            </c:numRef>
          </c:val>
        </c:ser>
        <c:gapWidth val="219"/>
        <c:overlap val="0"/>
        <c:axId val="52829229"/>
        <c:axId val="29368581"/>
      </c:barChart>
      <c:lineChart>
        <c:grouping val="standard"/>
        <c:varyColors val="0"/>
        <c:ser>
          <c:idx val="2"/>
          <c:order val="2"/>
          <c:tx>
            <c:strRef>
              <c:f>Sheet5!$I$25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Sheet5!$A$26:$A$32</c:f>
              <c:strCache>
                <c:ptCount val="7"/>
                <c:pt idx="0">
                  <c:v>Adwords</c:v>
                </c:pt>
                <c:pt idx="1">
                  <c:v>Loyalty</c:v>
                </c:pt>
                <c:pt idx="2">
                  <c:v>CRM Voucher</c:v>
                </c:pt>
                <c:pt idx="3">
                  <c:v>Campaign Voucher</c:v>
                </c:pt>
                <c:pt idx="4">
                  <c:v>Other Vouchers</c:v>
                </c:pt>
                <c:pt idx="5">
                  <c:v>Direct &amp; Organic</c:v>
                </c:pt>
                <c:pt idx="6">
                  <c:v>Total</c:v>
                </c:pt>
              </c:strCache>
            </c:strRef>
          </c:cat>
          <c:val>
            <c:numRef>
              <c:f>Sheet5!$I$26:$I$32</c:f>
              <c:numCache>
                <c:formatCode>General</c:formatCode>
                <c:ptCount val="7"/>
                <c:pt idx="0">
                  <c:v>0.67741935483871</c:v>
                </c:pt>
                <c:pt idx="1">
                  <c:v>0.67741935483871</c:v>
                </c:pt>
                <c:pt idx="2">
                  <c:v>0.67741935483871</c:v>
                </c:pt>
                <c:pt idx="3">
                  <c:v>0.67741935483871</c:v>
                </c:pt>
                <c:pt idx="4">
                  <c:v>0.67741935483871</c:v>
                </c:pt>
                <c:pt idx="5">
                  <c:v>0.67741935483871</c:v>
                </c:pt>
                <c:pt idx="6">
                  <c:v>0.67741935483871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2829229"/>
        <c:axId val="29368581"/>
      </c:lineChart>
      <c:catAx>
        <c:axId val="5282922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368581"/>
        <c:crosses val="autoZero"/>
        <c:auto val="1"/>
        <c:lblAlgn val="ctr"/>
        <c:lblOffset val="100"/>
        <c:noMultiLvlLbl val="0"/>
      </c:catAx>
      <c:valAx>
        <c:axId val="29368581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one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82922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Hotel CPO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Sheet5!$B$36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numFmt formatCode="\ * #,##0\ ;\ * \(#,##0\);\ * \-#\ ;\ @\ 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Sheet5!$A$37:$A$44</c:f>
              <c:strCache>
                <c:ptCount val="8"/>
                <c:pt idx="0">
                  <c:v>AdWords</c:v>
                </c:pt>
                <c:pt idx="1">
                  <c:v>JEK Loyalty</c:v>
                </c:pt>
                <c:pt idx="2">
                  <c:v>CRM Voucher</c:v>
                </c:pt>
                <c:pt idx="3">
                  <c:v>Campaign Voucher</c:v>
                </c:pt>
                <c:pt idx="4">
                  <c:v>Affiliate Voucher</c:v>
                </c:pt>
                <c:pt idx="5">
                  <c:v>Cross Sell</c:v>
                </c:pt>
                <c:pt idx="6">
                  <c:v>Other Vouchers</c:v>
                </c:pt>
                <c:pt idx="7">
                  <c:v>Total</c:v>
                </c:pt>
              </c:strCache>
            </c:strRef>
          </c:cat>
          <c:val>
            <c:numRef>
              <c:f>Sheet5!$B$37:$B$44</c:f>
              <c:numCache>
                <c:formatCode>General</c:formatCode>
                <c:ptCount val="8"/>
                <c:pt idx="0">
                  <c:v>1400000</c:v>
                </c:pt>
                <c:pt idx="1">
                  <c:v>950000</c:v>
                </c:pt>
                <c:pt idx="2">
                  <c:v>799820.236201299</c:v>
                </c:pt>
                <c:pt idx="3">
                  <c:v>1074946.25265487</c:v>
                </c:pt>
                <c:pt idx="4">
                  <c:v>1100000</c:v>
                </c:pt>
                <c:pt idx="6">
                  <c:v>850000</c:v>
                </c:pt>
                <c:pt idx="7">
                  <c:v>677477.355328798</c:v>
                </c:pt>
              </c:numCache>
            </c:numRef>
          </c:val>
        </c:ser>
        <c:ser>
          <c:idx val="1"/>
          <c:order val="1"/>
          <c:tx>
            <c:strRef>
              <c:f>Sheet5!$C$36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numFmt formatCode="\ * #,##0\ ;\ * \(#,##0\);\ * \-#\ ;\ @\ 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Sheet5!$A$37:$A$44</c:f>
              <c:strCache>
                <c:ptCount val="8"/>
                <c:pt idx="0">
                  <c:v>AdWords</c:v>
                </c:pt>
                <c:pt idx="1">
                  <c:v>JEK Loyalty</c:v>
                </c:pt>
                <c:pt idx="2">
                  <c:v>CRM Voucher</c:v>
                </c:pt>
                <c:pt idx="3">
                  <c:v>Campaign Voucher</c:v>
                </c:pt>
                <c:pt idx="4">
                  <c:v>Affiliate Voucher</c:v>
                </c:pt>
                <c:pt idx="5">
                  <c:v>Cross Sell</c:v>
                </c:pt>
                <c:pt idx="6">
                  <c:v>Other Vouchers</c:v>
                </c:pt>
                <c:pt idx="7">
                  <c:v>Total</c:v>
                </c:pt>
              </c:strCache>
            </c:strRef>
          </c:cat>
          <c:val>
            <c:numRef>
              <c:f>Sheet5!$C$37:$C$44</c:f>
              <c:numCache>
                <c:formatCode>General</c:formatCode>
                <c:ptCount val="8"/>
                <c:pt idx="0">
                  <c:v>1316223.69643779</c:v>
                </c:pt>
                <c:pt idx="1">
                  <c:v>831148.847926267</c:v>
                </c:pt>
                <c:pt idx="2">
                  <c:v>835839.160839161</c:v>
                </c:pt>
                <c:pt idx="3">
                  <c:v>1030535.9246172</c:v>
                </c:pt>
                <c:pt idx="4">
                  <c:v>1196989.41176471</c:v>
                </c:pt>
                <c:pt idx="6">
                  <c:v>672522.522522523</c:v>
                </c:pt>
                <c:pt idx="7">
                  <c:v>733153.999424791</c:v>
                </c:pt>
              </c:numCache>
            </c:numRef>
          </c:val>
        </c:ser>
        <c:gapWidth val="219"/>
        <c:overlap val="-27"/>
        <c:axId val="87637942"/>
        <c:axId val="87198793"/>
      </c:barChart>
      <c:catAx>
        <c:axId val="8763794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198793"/>
        <c:crosses val="autoZero"/>
        <c:auto val="1"/>
        <c:lblAlgn val="ctr"/>
        <c:lblOffset val="100"/>
        <c:noMultiLvlLbl val="0"/>
      </c:catAx>
      <c:valAx>
        <c:axId val="87198793"/>
        <c:scaling>
          <c:orientation val="minMax"/>
        </c:scaling>
        <c:delete val="0"/>
        <c:axPos val="l"/>
        <c:numFmt formatCode="\ * #,##0\ ;\ * \(#,##0\);\ * \-#\ ;\ @\ " sourceLinked="0"/>
        <c:majorTickMark val="none"/>
        <c:minorTickMark val="none"/>
        <c:tickLblPos val="none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63794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8" Type="http://schemas.openxmlformats.org/officeDocument/2006/relationships/chart" Target="../charts/chart10.xml"/><Relationship Id="rId9" Type="http://schemas.openxmlformats.org/officeDocument/2006/relationships/chart" Target="../charts/chart11.xml"/><Relationship Id="rId10" Type="http://schemas.openxmlformats.org/officeDocument/2006/relationships/chart" Target="../charts/chart1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552600</xdr:colOff>
      <xdr:row>74</xdr:row>
      <xdr:rowOff>47520</xdr:rowOff>
    </xdr:from>
    <xdr:to>
      <xdr:col>20</xdr:col>
      <xdr:colOff>336600</xdr:colOff>
      <xdr:row>89</xdr:row>
      <xdr:rowOff>155520</xdr:rowOff>
    </xdr:to>
    <xdr:graphicFrame>
      <xdr:nvGraphicFramePr>
        <xdr:cNvPr id="0" name="Chart 1"/>
        <xdr:cNvGraphicFramePr/>
      </xdr:nvGraphicFramePr>
      <xdr:xfrm>
        <a:off x="14421600" y="13016880"/>
        <a:ext cx="5951160" cy="273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885960</xdr:colOff>
      <xdr:row>86</xdr:row>
      <xdr:rowOff>5760</xdr:rowOff>
    </xdr:from>
    <xdr:to>
      <xdr:col>5</xdr:col>
      <xdr:colOff>270000</xdr:colOff>
      <xdr:row>101</xdr:row>
      <xdr:rowOff>113760</xdr:rowOff>
    </xdr:to>
    <xdr:graphicFrame>
      <xdr:nvGraphicFramePr>
        <xdr:cNvPr id="1" name="Chart 2"/>
        <xdr:cNvGraphicFramePr/>
      </xdr:nvGraphicFramePr>
      <xdr:xfrm>
        <a:off x="885960" y="15078240"/>
        <a:ext cx="6292080" cy="273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2</xdr:row>
      <xdr:rowOff>76320</xdr:rowOff>
    </xdr:from>
    <xdr:to>
      <xdr:col>6</xdr:col>
      <xdr:colOff>403200</xdr:colOff>
      <xdr:row>18</xdr:row>
      <xdr:rowOff>9000</xdr:rowOff>
    </xdr:to>
    <xdr:graphicFrame>
      <xdr:nvGraphicFramePr>
        <xdr:cNvPr id="2" name="Chart 1"/>
        <xdr:cNvGraphicFramePr/>
      </xdr:nvGraphicFramePr>
      <xdr:xfrm>
        <a:off x="76320" y="426960"/>
        <a:ext cx="5711040" cy="273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428760</xdr:colOff>
      <xdr:row>2</xdr:row>
      <xdr:rowOff>76320</xdr:rowOff>
    </xdr:from>
    <xdr:to>
      <xdr:col>14</xdr:col>
      <xdr:colOff>117360</xdr:colOff>
      <xdr:row>18</xdr:row>
      <xdr:rowOff>9000</xdr:rowOff>
    </xdr:to>
    <xdr:graphicFrame>
      <xdr:nvGraphicFramePr>
        <xdr:cNvPr id="3" name="Chart 2"/>
        <xdr:cNvGraphicFramePr/>
      </xdr:nvGraphicFramePr>
      <xdr:xfrm>
        <a:off x="5812920" y="426960"/>
        <a:ext cx="5764320" cy="273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380880</xdr:colOff>
      <xdr:row>20</xdr:row>
      <xdr:rowOff>119160</xdr:rowOff>
    </xdr:from>
    <xdr:to>
      <xdr:col>15</xdr:col>
      <xdr:colOff>124200</xdr:colOff>
      <xdr:row>41</xdr:row>
      <xdr:rowOff>99360</xdr:rowOff>
    </xdr:to>
    <xdr:graphicFrame>
      <xdr:nvGraphicFramePr>
        <xdr:cNvPr id="4" name="Chart 3"/>
        <xdr:cNvGraphicFramePr/>
      </xdr:nvGraphicFramePr>
      <xdr:xfrm>
        <a:off x="5765040" y="3624480"/>
        <a:ext cx="6578640" cy="366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20</xdr:row>
      <xdr:rowOff>119160</xdr:rowOff>
    </xdr:from>
    <xdr:to>
      <xdr:col>6</xdr:col>
      <xdr:colOff>326880</xdr:colOff>
      <xdr:row>41</xdr:row>
      <xdr:rowOff>51840</xdr:rowOff>
    </xdr:to>
    <xdr:graphicFrame>
      <xdr:nvGraphicFramePr>
        <xdr:cNvPr id="5" name="Chart 4"/>
        <xdr:cNvGraphicFramePr/>
      </xdr:nvGraphicFramePr>
      <xdr:xfrm>
        <a:off x="0" y="3624480"/>
        <a:ext cx="5711040" cy="361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35640</xdr:colOff>
      <xdr:row>42</xdr:row>
      <xdr:rowOff>47520</xdr:rowOff>
    </xdr:from>
    <xdr:to>
      <xdr:col>6</xdr:col>
      <xdr:colOff>374400</xdr:colOff>
      <xdr:row>57</xdr:row>
      <xdr:rowOff>155520</xdr:rowOff>
    </xdr:to>
    <xdr:graphicFrame>
      <xdr:nvGraphicFramePr>
        <xdr:cNvPr id="6" name="Chart 5"/>
        <xdr:cNvGraphicFramePr/>
      </xdr:nvGraphicFramePr>
      <xdr:xfrm>
        <a:off x="35640" y="7408440"/>
        <a:ext cx="5722920" cy="273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476280</xdr:colOff>
      <xdr:row>42</xdr:row>
      <xdr:rowOff>59400</xdr:rowOff>
    </xdr:from>
    <xdr:to>
      <xdr:col>14</xdr:col>
      <xdr:colOff>183960</xdr:colOff>
      <xdr:row>57</xdr:row>
      <xdr:rowOff>167400</xdr:rowOff>
    </xdr:to>
    <xdr:graphicFrame>
      <xdr:nvGraphicFramePr>
        <xdr:cNvPr id="7" name="Chart 6"/>
        <xdr:cNvGraphicFramePr/>
      </xdr:nvGraphicFramePr>
      <xdr:xfrm>
        <a:off x="5860440" y="7420320"/>
        <a:ext cx="5783400" cy="273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63</xdr:row>
      <xdr:rowOff>0</xdr:rowOff>
    </xdr:from>
    <xdr:to>
      <xdr:col>8</xdr:col>
      <xdr:colOff>52920</xdr:colOff>
      <xdr:row>81</xdr:row>
      <xdr:rowOff>139320</xdr:rowOff>
    </xdr:to>
    <xdr:graphicFrame>
      <xdr:nvGraphicFramePr>
        <xdr:cNvPr id="8" name="Chart 8"/>
        <xdr:cNvGraphicFramePr/>
      </xdr:nvGraphicFramePr>
      <xdr:xfrm>
        <a:off x="0" y="11041560"/>
        <a:ext cx="6955920" cy="329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</xdr:col>
      <xdr:colOff>107280</xdr:colOff>
      <xdr:row>63</xdr:row>
      <xdr:rowOff>11880</xdr:rowOff>
    </xdr:from>
    <xdr:to>
      <xdr:col>17</xdr:col>
      <xdr:colOff>112680</xdr:colOff>
      <xdr:row>81</xdr:row>
      <xdr:rowOff>136800</xdr:rowOff>
    </xdr:to>
    <xdr:graphicFrame>
      <xdr:nvGraphicFramePr>
        <xdr:cNvPr id="9" name="Chart 9"/>
        <xdr:cNvGraphicFramePr/>
      </xdr:nvGraphicFramePr>
      <xdr:xfrm>
        <a:off x="7010280" y="11053440"/>
        <a:ext cx="6840720" cy="327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0</xdr:colOff>
      <xdr:row>83</xdr:row>
      <xdr:rowOff>0</xdr:rowOff>
    </xdr:from>
    <xdr:to>
      <xdr:col>6</xdr:col>
      <xdr:colOff>338760</xdr:colOff>
      <xdr:row>98</xdr:row>
      <xdr:rowOff>107640</xdr:rowOff>
    </xdr:to>
    <xdr:graphicFrame>
      <xdr:nvGraphicFramePr>
        <xdr:cNvPr id="10" name="Chart 10"/>
        <xdr:cNvGraphicFramePr/>
      </xdr:nvGraphicFramePr>
      <xdr:xfrm>
        <a:off x="0" y="14546520"/>
        <a:ext cx="5722920" cy="273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7</xdr:col>
      <xdr:colOff>0</xdr:colOff>
      <xdr:row>83</xdr:row>
      <xdr:rowOff>0</xdr:rowOff>
    </xdr:from>
    <xdr:to>
      <xdr:col>14</xdr:col>
      <xdr:colOff>315000</xdr:colOff>
      <xdr:row>98</xdr:row>
      <xdr:rowOff>107640</xdr:rowOff>
    </xdr:to>
    <xdr:graphicFrame>
      <xdr:nvGraphicFramePr>
        <xdr:cNvPr id="11" name="Chart 11"/>
        <xdr:cNvGraphicFramePr/>
      </xdr:nvGraphicFramePr>
      <xdr:xfrm>
        <a:off x="6143760" y="14546520"/>
        <a:ext cx="5631120" cy="273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61920</xdr:colOff>
      <xdr:row>3</xdr:row>
      <xdr:rowOff>66600</xdr:rowOff>
    </xdr:from>
    <xdr:to>
      <xdr:col>15</xdr:col>
      <xdr:colOff>360360</xdr:colOff>
      <xdr:row>18</xdr:row>
      <xdr:rowOff>31680</xdr:rowOff>
    </xdr:to>
    <xdr:graphicFrame>
      <xdr:nvGraphicFramePr>
        <xdr:cNvPr id="12" name="Chart 2"/>
        <xdr:cNvGraphicFramePr/>
      </xdr:nvGraphicFramePr>
      <xdr:xfrm>
        <a:off x="11281680" y="592560"/>
        <a:ext cx="5614560" cy="259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442800</xdr:colOff>
      <xdr:row>32</xdr:row>
      <xdr:rowOff>66600</xdr:rowOff>
    </xdr:from>
    <xdr:to>
      <xdr:col>21</xdr:col>
      <xdr:colOff>412920</xdr:colOff>
      <xdr:row>53</xdr:row>
      <xdr:rowOff>90720</xdr:rowOff>
    </xdr:to>
    <xdr:graphicFrame>
      <xdr:nvGraphicFramePr>
        <xdr:cNvPr id="13" name="Chart 3"/>
        <xdr:cNvGraphicFramePr/>
      </xdr:nvGraphicFramePr>
      <xdr:xfrm>
        <a:off x="13181400" y="5675040"/>
        <a:ext cx="8324280" cy="370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71280</xdr:colOff>
      <xdr:row>9</xdr:row>
      <xdr:rowOff>19080</xdr:rowOff>
    </xdr:from>
    <xdr:to>
      <xdr:col>16</xdr:col>
      <xdr:colOff>369720</xdr:colOff>
      <xdr:row>24</xdr:row>
      <xdr:rowOff>127080</xdr:rowOff>
    </xdr:to>
    <xdr:graphicFrame>
      <xdr:nvGraphicFramePr>
        <xdr:cNvPr id="14" name="Chart 4"/>
        <xdr:cNvGraphicFramePr/>
      </xdr:nvGraphicFramePr>
      <xdr:xfrm>
        <a:off x="12050640" y="1596600"/>
        <a:ext cx="5614560" cy="273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1843200</xdr:colOff>
      <xdr:row>33</xdr:row>
      <xdr:rowOff>171360</xdr:rowOff>
    </xdr:from>
    <xdr:to>
      <xdr:col>12</xdr:col>
      <xdr:colOff>189000</xdr:colOff>
      <xdr:row>49</xdr:row>
      <xdr:rowOff>104040</xdr:rowOff>
    </xdr:to>
    <xdr:graphicFrame>
      <xdr:nvGraphicFramePr>
        <xdr:cNvPr id="15" name="Chart 5"/>
        <xdr:cNvGraphicFramePr/>
      </xdr:nvGraphicFramePr>
      <xdr:xfrm>
        <a:off x="8022240" y="5955120"/>
        <a:ext cx="6424560" cy="273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147600</xdr:colOff>
      <xdr:row>50</xdr:row>
      <xdr:rowOff>19080</xdr:rowOff>
    </xdr:from>
    <xdr:to>
      <xdr:col>17</xdr:col>
      <xdr:colOff>201600</xdr:colOff>
      <xdr:row>66</xdr:row>
      <xdr:rowOff>171000</xdr:rowOff>
    </xdr:to>
    <xdr:graphicFrame>
      <xdr:nvGraphicFramePr>
        <xdr:cNvPr id="16" name="Chart 6"/>
        <xdr:cNvGraphicFramePr/>
      </xdr:nvGraphicFramePr>
      <xdr:xfrm>
        <a:off x="12126960" y="8782200"/>
        <a:ext cx="6129720" cy="295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4</xdr:col>
      <xdr:colOff>404640</xdr:colOff>
      <xdr:row>42</xdr:row>
      <xdr:rowOff>9360</xdr:rowOff>
    </xdr:from>
    <xdr:to>
      <xdr:col>8</xdr:col>
      <xdr:colOff>579240</xdr:colOff>
      <xdr:row>57</xdr:row>
      <xdr:rowOff>117000</xdr:rowOff>
    </xdr:to>
    <xdr:graphicFrame>
      <xdr:nvGraphicFramePr>
        <xdr:cNvPr id="17" name="Chart 9"/>
        <xdr:cNvGraphicFramePr/>
      </xdr:nvGraphicFramePr>
      <xdr:xfrm>
        <a:off x="5824440" y="7370280"/>
        <a:ext cx="5974560" cy="273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104857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1" ySplit="0" topLeftCell="N1" activePane="topRight" state="frozen"/>
      <selection pane="topLeft" activeCell="A1" activeCellId="0" sqref="A1"/>
      <selection pane="topRight" activeCell="AA34" activeCellId="0" sqref="AA34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30.86"/>
    <col collapsed="false" customWidth="true" hidden="false" outlineLevel="0" max="2" min="2" style="1" width="17.28"/>
    <col collapsed="false" customWidth="true" hidden="false" outlineLevel="0" max="3" min="3" style="1" width="11.57"/>
    <col collapsed="false" customWidth="true" hidden="false" outlineLevel="0" max="4" min="4" style="1" width="14.43"/>
    <col collapsed="false" customWidth="true" hidden="false" outlineLevel="0" max="5" min="5" style="1" width="14.85"/>
    <col collapsed="false" customWidth="true" hidden="false" outlineLevel="0" max="6" min="6" style="1" width="14.43"/>
    <col collapsed="false" customWidth="true" hidden="false" outlineLevel="0" max="7" min="7" style="1" width="12.71"/>
    <col collapsed="false" customWidth="true" hidden="false" outlineLevel="0" max="8" min="8" style="1" width="17.85"/>
    <col collapsed="false" customWidth="true" hidden="false" outlineLevel="0" max="9" min="9" style="1" width="10.57"/>
    <col collapsed="false" customWidth="true" hidden="false" outlineLevel="0" max="10" min="10" style="1" width="11"/>
    <col collapsed="false" customWidth="true" hidden="false" outlineLevel="0" max="11" min="11" style="1" width="15.14"/>
    <col collapsed="false" customWidth="true" hidden="false" outlineLevel="0" max="12" min="12" style="1" width="12.71"/>
    <col collapsed="false" customWidth="true" hidden="false" outlineLevel="0" max="14" min="13" style="1" width="14.43"/>
    <col collapsed="false" customWidth="true" hidden="false" outlineLevel="0" max="15" min="15" style="1" width="17.85"/>
    <col collapsed="false" customWidth="true" hidden="false" outlineLevel="0" max="16" min="16" style="1" width="12.14"/>
    <col collapsed="false" customWidth="true" hidden="false" outlineLevel="0" max="18" min="17" style="1" width="21.43"/>
    <col collapsed="false" customWidth="true" hidden="false" outlineLevel="0" max="19" min="19" style="1" width="16.28"/>
    <col collapsed="false" customWidth="true" hidden="false" outlineLevel="0" max="20" min="20" style="1" width="14.85"/>
    <col collapsed="false" customWidth="true" hidden="false" outlineLevel="0" max="21" min="21" style="1" width="15.14"/>
    <col collapsed="false" customWidth="true" hidden="false" outlineLevel="0" max="22" min="22" style="1" width="13.14"/>
    <col collapsed="false" customWidth="true" hidden="false" outlineLevel="0" max="23" min="23" style="1" width="15.14"/>
    <col collapsed="false" customWidth="true" hidden="false" outlineLevel="0" max="24" min="24" style="1" width="9.28"/>
    <col collapsed="false" customWidth="true" hidden="false" outlineLevel="0" max="25" min="25" style="1" width="12.28"/>
    <col collapsed="false" customWidth="true" hidden="false" outlineLevel="0" max="26" min="26" style="1" width="18.14"/>
    <col collapsed="false" customWidth="true" hidden="false" outlineLevel="0" max="27" min="27" style="1" width="19.14"/>
    <col collapsed="false" customWidth="true" hidden="false" outlineLevel="0" max="28" min="28" style="1" width="16.85"/>
    <col collapsed="false" customWidth="true" hidden="false" outlineLevel="0" max="29" min="29" style="1" width="18.85"/>
    <col collapsed="false" customWidth="true" hidden="false" outlineLevel="0" max="32" min="30" style="1" width="16.85"/>
    <col collapsed="false" customWidth="true" hidden="false" outlineLevel="0" max="34" min="34" style="1" width="13.28"/>
    <col collapsed="false" customWidth="true" hidden="false" outlineLevel="0" max="35" min="35" style="1" width="15.28"/>
    <col collapsed="false" customWidth="true" hidden="false" outlineLevel="0" max="37" min="37" style="1" width="15.28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customFormat="false" ht="13.8" hidden="false" customHeight="false" outlineLevel="0" collapsed="false">
      <c r="A2" s="2"/>
      <c r="B2" s="5" t="s">
        <v>2</v>
      </c>
      <c r="C2" s="5"/>
      <c r="D2" s="5"/>
      <c r="E2" s="5"/>
      <c r="F2" s="5"/>
      <c r="G2" s="5"/>
      <c r="H2" s="6" t="s">
        <v>3</v>
      </c>
      <c r="I2" s="6"/>
      <c r="J2" s="6"/>
      <c r="K2" s="6"/>
      <c r="L2" s="6"/>
      <c r="M2" s="6"/>
      <c r="N2" s="6"/>
      <c r="O2" s="6"/>
      <c r="P2" s="6"/>
      <c r="Q2" s="5" t="s">
        <v>4</v>
      </c>
      <c r="R2" s="5"/>
      <c r="S2" s="5"/>
      <c r="T2" s="5"/>
      <c r="U2" s="5"/>
      <c r="V2" s="5"/>
      <c r="W2" s="5"/>
      <c r="X2" s="5"/>
      <c r="Y2" s="5"/>
      <c r="Z2" s="4"/>
    </row>
    <row r="3" customFormat="false" ht="13.8" hidden="false" customHeight="false" outlineLevel="0" collapsed="false">
      <c r="A3" s="2"/>
      <c r="B3" s="7" t="s">
        <v>5</v>
      </c>
      <c r="C3" s="8" t="s">
        <v>6</v>
      </c>
      <c r="D3" s="8" t="s">
        <v>7</v>
      </c>
      <c r="E3" s="8" t="s">
        <v>8</v>
      </c>
      <c r="F3" s="8" t="s">
        <v>9</v>
      </c>
      <c r="G3" s="9" t="s">
        <v>10</v>
      </c>
      <c r="H3" s="10" t="s">
        <v>5</v>
      </c>
      <c r="I3" s="11" t="s">
        <v>6</v>
      </c>
      <c r="J3" s="11" t="s">
        <v>7</v>
      </c>
      <c r="K3" s="11" t="s">
        <v>8</v>
      </c>
      <c r="L3" s="11" t="s">
        <v>11</v>
      </c>
      <c r="M3" s="11" t="s">
        <v>9</v>
      </c>
      <c r="N3" s="11" t="s">
        <v>12</v>
      </c>
      <c r="O3" s="11" t="s">
        <v>10</v>
      </c>
      <c r="P3" s="11" t="s">
        <v>13</v>
      </c>
      <c r="Q3" s="7" t="s">
        <v>5</v>
      </c>
      <c r="R3" s="8" t="s">
        <v>14</v>
      </c>
      <c r="S3" s="8" t="s">
        <v>6</v>
      </c>
      <c r="T3" s="8" t="s">
        <v>7</v>
      </c>
      <c r="U3" s="8" t="s">
        <v>8</v>
      </c>
      <c r="V3" s="8" t="s">
        <v>11</v>
      </c>
      <c r="W3" s="8" t="s">
        <v>9</v>
      </c>
      <c r="X3" s="8" t="s">
        <v>10</v>
      </c>
      <c r="Y3" s="9" t="s">
        <v>13</v>
      </c>
      <c r="Z3" s="4"/>
    </row>
    <row r="4" customFormat="false" ht="14.9" hidden="false" customHeight="false" outlineLevel="0" collapsed="false">
      <c r="A4" s="12" t="s">
        <v>15</v>
      </c>
      <c r="B4" s="13" t="n">
        <f aca="false">C4*E4</f>
        <v>6316800000</v>
      </c>
      <c r="C4" s="14" t="n">
        <v>4512</v>
      </c>
      <c r="D4" s="14" t="n">
        <v>7986</v>
      </c>
      <c r="E4" s="14" t="n">
        <v>1400000</v>
      </c>
      <c r="F4" s="15" t="n">
        <f aca="false">B4/D4</f>
        <v>790984.222389181</v>
      </c>
      <c r="G4" s="16" t="n">
        <f aca="false">C4/$C$18</f>
        <v>0.170521541950113</v>
      </c>
      <c r="H4" s="15" t="n">
        <v>2549525300</v>
      </c>
      <c r="I4" s="15" t="n">
        <v>1937</v>
      </c>
      <c r="J4" s="15" t="n">
        <v>3272.23198159333</v>
      </c>
      <c r="K4" s="15" t="n">
        <f aca="false">IFERROR(H4/I4,"")</f>
        <v>1316223.69643779</v>
      </c>
      <c r="L4" s="17" t="n">
        <f aca="false">K4/E4-1</f>
        <v>-0.0598402168301498</v>
      </c>
      <c r="M4" s="15" t="n">
        <f aca="false">IFERROR(H4/J4,"")</f>
        <v>779139.533609281</v>
      </c>
      <c r="N4" s="17" t="n">
        <f aca="false">M4/F4-1</f>
        <v>-0.0149746207884187</v>
      </c>
      <c r="O4" s="18" t="n">
        <f aca="false">I4/$I$18</f>
        <v>0.111417888984757</v>
      </c>
      <c r="P4" s="19" t="n">
        <f aca="false">J4/D4</f>
        <v>0.409746053292428</v>
      </c>
      <c r="Q4" s="13" t="n">
        <f aca="false">S4*U4</f>
        <v>3887008234.28785</v>
      </c>
      <c r="R4" s="17" t="n">
        <f aca="false">Q4/B4</f>
        <v>0.615344515306461</v>
      </c>
      <c r="S4" s="15" t="n">
        <f aca="false">X4*$S$18</f>
        <v>2953.15169055807</v>
      </c>
      <c r="T4" s="15" t="n">
        <f aca="false">S4*J4/I4</f>
        <v>4988.84739718148</v>
      </c>
      <c r="U4" s="15" t="n">
        <f aca="false">K4</f>
        <v>1316223.69643779</v>
      </c>
      <c r="V4" s="17" t="n">
        <f aca="false">U4/E4-1</f>
        <v>-0.0598402168301498</v>
      </c>
      <c r="W4" s="15" t="n">
        <f aca="false">Q4/T4</f>
        <v>779139.533609281</v>
      </c>
      <c r="X4" s="18" t="n">
        <f aca="false">O4</f>
        <v>0.111417888984757</v>
      </c>
      <c r="Y4" s="20" t="n">
        <f aca="false">T4/D4</f>
        <v>0.62469914815696</v>
      </c>
      <c r="Z4" s="4"/>
      <c r="AA4" s="21"/>
      <c r="AB4" s="22"/>
      <c r="AC4" s="22"/>
      <c r="AD4" s="22"/>
      <c r="AE4" s="22"/>
      <c r="AF4" s="23"/>
    </row>
    <row r="5" customFormat="false" ht="14.9" hidden="false" customHeight="false" outlineLevel="0" collapsed="false">
      <c r="A5" s="24" t="s">
        <v>16</v>
      </c>
      <c r="B5" s="13" t="n">
        <f aca="false">C5*E5</f>
        <v>2039650000</v>
      </c>
      <c r="C5" s="14" t="n">
        <v>2147</v>
      </c>
      <c r="D5" s="14" t="n">
        <v>3800</v>
      </c>
      <c r="E5" s="14" t="n">
        <v>950000</v>
      </c>
      <c r="F5" s="15" t="n">
        <f aca="false">B5/D5</f>
        <v>536750</v>
      </c>
      <c r="G5" s="16" t="n">
        <f aca="false">C5/$C$18</f>
        <v>0.0811413454270597</v>
      </c>
      <c r="H5" s="15" t="n">
        <v>901796500</v>
      </c>
      <c r="I5" s="15" t="n">
        <v>1085</v>
      </c>
      <c r="J5" s="15" t="n">
        <v>1561</v>
      </c>
      <c r="K5" s="15" t="n">
        <f aca="false">IFERROR(H5/I5,"")</f>
        <v>831148.847926267</v>
      </c>
      <c r="L5" s="17" t="n">
        <f aca="false">K5/E5-1</f>
        <v>-0.125106475867087</v>
      </c>
      <c r="M5" s="15" t="n">
        <f aca="false">IFERROR(H5/J5,"")</f>
        <v>577704.356181935</v>
      </c>
      <c r="N5" s="17" t="n">
        <f aca="false">M5/F5-1</f>
        <v>0.0763006170133855</v>
      </c>
      <c r="O5" s="18" t="n">
        <f aca="false">I5/$I$18</f>
        <v>0.0624101236698303</v>
      </c>
      <c r="P5" s="19" t="n">
        <f aca="false">J5/D5</f>
        <v>0.410789473684211</v>
      </c>
      <c r="Q5" s="13" t="n">
        <f aca="false">U5*S5</f>
        <v>1374879637.84943</v>
      </c>
      <c r="R5" s="17" t="n">
        <f aca="false">Q5/B5</f>
        <v>0.674076257127171</v>
      </c>
      <c r="S5" s="15" t="n">
        <f aca="false">X5*$S$18</f>
        <v>1654.19183492799</v>
      </c>
      <c r="T5" s="15" t="n">
        <f aca="false">S5*J5/I5</f>
        <v>2379.90180121897</v>
      </c>
      <c r="U5" s="15" t="n">
        <f aca="false">K5</f>
        <v>831148.847926267</v>
      </c>
      <c r="V5" s="17" t="n">
        <f aca="false">U5/E5-1</f>
        <v>-0.125106475867087</v>
      </c>
      <c r="W5" s="15" t="n">
        <f aca="false">Q5/T5</f>
        <v>577704.356181935</v>
      </c>
      <c r="X5" s="18" t="n">
        <f aca="false">O5</f>
        <v>0.0624101236698303</v>
      </c>
      <c r="Y5" s="20" t="n">
        <f aca="false">T5/D5</f>
        <v>0.626289947689203</v>
      </c>
      <c r="Z5" s="4"/>
      <c r="AA5" s="22"/>
      <c r="AD5" s="22"/>
      <c r="AE5" s="22"/>
      <c r="AF5" s="23"/>
    </row>
    <row r="6" customFormat="false" ht="14.9" hidden="false" customHeight="false" outlineLevel="0" collapsed="false">
      <c r="A6" s="24" t="s">
        <v>17</v>
      </c>
      <c r="B6" s="13" t="n">
        <v>985378531</v>
      </c>
      <c r="C6" s="14" t="n">
        <v>1232</v>
      </c>
      <c r="D6" s="14" t="n">
        <v>2180</v>
      </c>
      <c r="E6" s="14" t="n">
        <f aca="false">B6/C6</f>
        <v>799820.236201299</v>
      </c>
      <c r="F6" s="15" t="n">
        <f aca="false">B6/D6</f>
        <v>452008.500458716</v>
      </c>
      <c r="G6" s="16" t="n">
        <f aca="false">C6/$C$18</f>
        <v>0.0465608465608466</v>
      </c>
      <c r="H6" s="15" t="n">
        <v>478100000</v>
      </c>
      <c r="I6" s="15" t="n">
        <v>572</v>
      </c>
      <c r="J6" s="15" t="n">
        <v>915</v>
      </c>
      <c r="K6" s="15" t="n">
        <f aca="false">IFERROR(H6/I6,"")</f>
        <v>835839.160839161</v>
      </c>
      <c r="L6" s="17" t="n">
        <f aca="false">K6/E6-1</f>
        <v>0.0450337751004295</v>
      </c>
      <c r="M6" s="15" t="n">
        <f aca="false">IFERROR(H6/J6,"")</f>
        <v>522513.661202186</v>
      </c>
      <c r="N6" s="17" t="n">
        <f aca="false">M6/F6-1</f>
        <v>0.155981935454573</v>
      </c>
      <c r="O6" s="18" t="n">
        <f aca="false">I6/$I$18</f>
        <v>0.0329019269485188</v>
      </c>
      <c r="P6" s="19" t="n">
        <f aca="false">J6/D6</f>
        <v>0.419724770642202</v>
      </c>
      <c r="Q6" s="13" t="n">
        <f aca="false">U6*S6</f>
        <v>728911627.906977</v>
      </c>
      <c r="R6" s="17" t="n">
        <f aca="false">Q6/B6</f>
        <v>0.739727531070978</v>
      </c>
      <c r="S6" s="15" t="n">
        <f aca="false">X6*$S$18</f>
        <v>872.0716401648</v>
      </c>
      <c r="T6" s="15" t="n">
        <f aca="false">S6*J6/I6</f>
        <v>1395.00970410978</v>
      </c>
      <c r="U6" s="15" t="n">
        <f aca="false">K6</f>
        <v>835839.160839161</v>
      </c>
      <c r="V6" s="17" t="n">
        <f aca="false">U6/E6-1</f>
        <v>0.0450337751004295</v>
      </c>
      <c r="W6" s="15" t="n">
        <f aca="false">Q6/T6</f>
        <v>522513.661202186</v>
      </c>
      <c r="X6" s="18" t="n">
        <f aca="false">O6</f>
        <v>0.0329019269485188</v>
      </c>
      <c r="Y6" s="20" t="n">
        <f aca="false">T6/D6</f>
        <v>0.639912708307237</v>
      </c>
      <c r="Z6" s="4"/>
      <c r="AA6" s="22"/>
      <c r="AB6" s="22"/>
      <c r="AC6" s="22"/>
      <c r="AD6" s="22"/>
      <c r="AE6" s="22"/>
      <c r="AF6" s="23"/>
    </row>
    <row r="7" customFormat="false" ht="14.9" hidden="false" customHeight="false" outlineLevel="0" collapsed="false">
      <c r="A7" s="24" t="s">
        <v>18</v>
      </c>
      <c r="B7" s="13" t="n">
        <v>2429378531</v>
      </c>
      <c r="C7" s="25" t="n">
        <v>2260</v>
      </c>
      <c r="D7" s="25" t="n">
        <v>4000</v>
      </c>
      <c r="E7" s="25" t="n">
        <f aca="false">B7/C7</f>
        <v>1074946.25265487</v>
      </c>
      <c r="F7" s="15" t="n">
        <f aca="false">B7/D7</f>
        <v>607344.63275</v>
      </c>
      <c r="G7" s="16" t="n">
        <f aca="false">C7/$C$18</f>
        <v>0.0854119425547997</v>
      </c>
      <c r="H7" s="15" t="n">
        <v>3499700000</v>
      </c>
      <c r="I7" s="15" t="n">
        <v>3396</v>
      </c>
      <c r="J7" s="15" t="n">
        <v>5746</v>
      </c>
      <c r="K7" s="15" t="n">
        <f aca="false">IFERROR(H7/I7,"")</f>
        <v>1030535.9246172</v>
      </c>
      <c r="L7" s="17" t="n">
        <f aca="false">K7/E7-1</f>
        <v>-0.0413139986562027</v>
      </c>
      <c r="M7" s="15" t="n">
        <f aca="false">IFERROR(H7/J7,"")</f>
        <v>609067.177166725</v>
      </c>
      <c r="N7" s="17" t="n">
        <f aca="false">M7/F7-1</f>
        <v>0.00283618941180919</v>
      </c>
      <c r="O7" s="18" t="n">
        <f aca="false">I7/$I$18</f>
        <v>0.195340811044003</v>
      </c>
      <c r="P7" s="19" t="n">
        <f aca="false">J7/D7</f>
        <v>1.4365</v>
      </c>
      <c r="Q7" s="13" t="n">
        <f aca="false">S7*U7</f>
        <v>5335645313.08523</v>
      </c>
      <c r="R7" s="17" t="n">
        <f aca="false">Q7/B7</f>
        <v>2.19630051266195</v>
      </c>
      <c r="S7" s="15" t="n">
        <f aca="false">X7*$S$18</f>
        <v>5177.54421328612</v>
      </c>
      <c r="T7" s="15" t="n">
        <f aca="false">S7*J7/I7</f>
        <v>8760.35602165549</v>
      </c>
      <c r="U7" s="15" t="n">
        <f aca="false">K7</f>
        <v>1030535.9246172</v>
      </c>
      <c r="V7" s="17" t="n">
        <f aca="false">U7/E7-1</f>
        <v>-0.0413139986562027</v>
      </c>
      <c r="W7" s="15" t="n">
        <f aca="false">Q7/T7</f>
        <v>609067.177166725</v>
      </c>
      <c r="X7" s="18" t="n">
        <f aca="false">O7</f>
        <v>0.195340811044003</v>
      </c>
      <c r="Y7" s="20" t="n">
        <f aca="false">T7/D7</f>
        <v>2.19008900541387</v>
      </c>
      <c r="Z7" s="15"/>
      <c r="AA7" s="22"/>
      <c r="AB7" s="22"/>
      <c r="AC7" s="22"/>
      <c r="AD7" s="22"/>
      <c r="AE7" s="22"/>
      <c r="AF7" s="23"/>
    </row>
    <row r="8" customFormat="false" ht="14.9" hidden="false" customHeight="false" outlineLevel="0" collapsed="false">
      <c r="A8" s="24" t="s">
        <v>19</v>
      </c>
      <c r="B8" s="13" t="n">
        <f aca="false">C8*E8</f>
        <v>422400000</v>
      </c>
      <c r="C8" s="14" t="n">
        <v>384</v>
      </c>
      <c r="D8" s="14" t="n">
        <v>680</v>
      </c>
      <c r="E8" s="14" t="n">
        <v>1100000</v>
      </c>
      <c r="F8" s="26" t="n">
        <f aca="false">B8/D8</f>
        <v>621176.470588235</v>
      </c>
      <c r="G8" s="27" t="n">
        <f aca="false">C8/$C$18</f>
        <v>0.0145124716553288</v>
      </c>
      <c r="H8" s="15" t="n">
        <v>183139380</v>
      </c>
      <c r="I8" s="15" t="n">
        <v>153</v>
      </c>
      <c r="J8" s="15" t="n">
        <v>378</v>
      </c>
      <c r="K8" s="26" t="n">
        <f aca="false">IFERROR(H8/I8,"")</f>
        <v>1196989.41176471</v>
      </c>
      <c r="L8" s="17" t="n">
        <f aca="false">K8/E8-1</f>
        <v>0.0881721925133689</v>
      </c>
      <c r="M8" s="26" t="n">
        <f aca="false">IFERROR(H8/J8,"")</f>
        <v>484495.714285714</v>
      </c>
      <c r="N8" s="17" t="n">
        <f aca="false">M8/F8-1</f>
        <v>-0.220035308441558</v>
      </c>
      <c r="O8" s="28" t="n">
        <f aca="false">I8/$I$18</f>
        <v>0.0088006902502157</v>
      </c>
      <c r="P8" s="29" t="n">
        <f aca="false">J8/D8</f>
        <v>0.555882352941177</v>
      </c>
      <c r="Q8" s="13" t="n">
        <f aca="false">U8*S8</f>
        <v>279214439.677211</v>
      </c>
      <c r="R8" s="17" t="n">
        <f aca="false">Q8/B8</f>
        <v>0.66101903332673</v>
      </c>
      <c r="S8" s="15" t="n">
        <f aca="false">X8*$S$18</f>
        <v>233.263917736389</v>
      </c>
      <c r="T8" s="15" t="n">
        <f aca="false">S8*J8/I8</f>
        <v>576.299090878137</v>
      </c>
      <c r="U8" s="15" t="n">
        <f aca="false">K8</f>
        <v>1196989.41176471</v>
      </c>
      <c r="V8" s="17" t="n">
        <f aca="false">U8/E8-1</f>
        <v>0.0881721925133689</v>
      </c>
      <c r="W8" s="15" t="n">
        <f aca="false">Q8/T8</f>
        <v>484495.714285714</v>
      </c>
      <c r="X8" s="18" t="n">
        <f aca="false">O8</f>
        <v>0.0088006902502157</v>
      </c>
      <c r="Y8" s="30" t="n">
        <f aca="false">T8/D8</f>
        <v>0.847498663056084</v>
      </c>
      <c r="Z8" s="31"/>
      <c r="AA8" s="22"/>
      <c r="AD8" s="22"/>
      <c r="AE8" s="22"/>
      <c r="AF8" s="23"/>
    </row>
    <row r="9" customFormat="false" ht="14.9" hidden="false" customHeight="false" outlineLevel="0" collapsed="false">
      <c r="A9" s="24" t="s">
        <v>20</v>
      </c>
      <c r="B9" s="13" t="n">
        <f aca="false">C9*E9</f>
        <v>305150000</v>
      </c>
      <c r="C9" s="14" t="n">
        <v>359</v>
      </c>
      <c r="D9" s="14" t="n">
        <v>636</v>
      </c>
      <c r="E9" s="14" t="n">
        <v>850000</v>
      </c>
      <c r="F9" s="15" t="n">
        <f aca="false">B9/D9</f>
        <v>479795.597484277</v>
      </c>
      <c r="G9" s="16" t="n">
        <f aca="false">C9/$C$18</f>
        <v>0.013567649281935</v>
      </c>
      <c r="H9" s="15" t="n">
        <v>74650000</v>
      </c>
      <c r="I9" s="15" t="n">
        <v>111</v>
      </c>
      <c r="J9" s="15" t="n">
        <v>205</v>
      </c>
      <c r="K9" s="15" t="n">
        <f aca="false">IFERROR(H9/I9,"")</f>
        <v>672522.522522523</v>
      </c>
      <c r="L9" s="17" t="n">
        <f aca="false">K9/E9-1</f>
        <v>-0.208797032326444</v>
      </c>
      <c r="M9" s="15" t="n">
        <f aca="false">IFERROR(H9/J9,"")</f>
        <v>364146.341463415</v>
      </c>
      <c r="N9" s="17" t="n">
        <f aca="false">M9/F9-1</f>
        <v>-0.241038593574532</v>
      </c>
      <c r="O9" s="18" t="n">
        <f aca="false">I9/$I$18</f>
        <v>0.00638481449525453</v>
      </c>
      <c r="P9" s="19" t="n">
        <f aca="false">J9/D9</f>
        <v>0.322327044025157</v>
      </c>
      <c r="Q9" s="13" t="n">
        <f aca="false">U9*S9</f>
        <v>113811447.444584</v>
      </c>
      <c r="R9" s="17" t="n">
        <f aca="false">Q9/B9</f>
        <v>0.372968859395656</v>
      </c>
      <c r="S9" s="15" t="n">
        <f aca="false">X9*$S$18</f>
        <v>169.230685416596</v>
      </c>
      <c r="T9" s="15" t="n">
        <f aca="false">S9*J9/I9</f>
        <v>312.543157751371</v>
      </c>
      <c r="U9" s="15" t="n">
        <f aca="false">K9</f>
        <v>672522.522522523</v>
      </c>
      <c r="V9" s="17" t="n">
        <f aca="false">U9/E9-1</f>
        <v>-0.208797032326444</v>
      </c>
      <c r="W9" s="15" t="n">
        <f aca="false">Q9/T9</f>
        <v>364146.341463415</v>
      </c>
      <c r="X9" s="18" t="n">
        <f aca="false">O9</f>
        <v>0.00638481449525453</v>
      </c>
      <c r="Y9" s="20" t="n">
        <f aca="false">T9/D9</f>
        <v>0.491420059357501</v>
      </c>
      <c r="Z9" s="4"/>
      <c r="AB9" s="22"/>
      <c r="AC9" s="22"/>
      <c r="AF9" s="23"/>
    </row>
    <row r="10" customFormat="false" ht="14.9" hidden="false" customHeight="false" outlineLevel="0" collapsed="false">
      <c r="A10" s="24" t="s">
        <v>21</v>
      </c>
      <c r="B10" s="13" t="n">
        <f aca="false">C10*E10</f>
        <v>239500000</v>
      </c>
      <c r="C10" s="14" t="n">
        <v>479</v>
      </c>
      <c r="D10" s="14" t="n">
        <v>848</v>
      </c>
      <c r="E10" s="14" t="n">
        <v>500000</v>
      </c>
      <c r="F10" s="15" t="n">
        <f aca="false">B10/D10</f>
        <v>282429.245283019</v>
      </c>
      <c r="G10" s="16" t="n">
        <f aca="false">C10/$C$18</f>
        <v>0.0181027966742252</v>
      </c>
      <c r="H10" s="15" t="n">
        <v>109070000</v>
      </c>
      <c r="I10" s="15" t="n">
        <v>158</v>
      </c>
      <c r="J10" s="15" t="n">
        <v>269</v>
      </c>
      <c r="K10" s="15" t="n">
        <f aca="false">IFERROR(H10/I10, "")</f>
        <v>690316.455696203</v>
      </c>
      <c r="L10" s="17" t="n">
        <f aca="false">K10/E10-1</f>
        <v>0.380632911392405</v>
      </c>
      <c r="M10" s="15" t="n">
        <f aca="false">IFERROR(H10/J10,"")</f>
        <v>405464.68401487</v>
      </c>
      <c r="N10" s="17" t="n">
        <f aca="false">M10/F10-1</f>
        <v>0.435632785154946</v>
      </c>
      <c r="O10" s="18" t="n">
        <f aca="false">I10/$I$18</f>
        <v>0.0090882945067587</v>
      </c>
      <c r="P10" s="19" t="n">
        <f aca="false">J10/D10</f>
        <v>0.317216981132075</v>
      </c>
      <c r="Q10" s="13" t="n">
        <f aca="false">U10*S10</f>
        <v>166288205.931424</v>
      </c>
      <c r="R10" s="17" t="n">
        <f aca="false">Q10/B10</f>
        <v>0.694314012239767</v>
      </c>
      <c r="S10" s="15" t="n">
        <f aca="false">X10*$S$18</f>
        <v>240.886921583983</v>
      </c>
      <c r="T10" s="15" t="n">
        <f aca="false">S10*J10/I10</f>
        <v>410.117607000579</v>
      </c>
      <c r="U10" s="15" t="n">
        <f aca="false">K10</f>
        <v>690316.455696203</v>
      </c>
      <c r="V10" s="17" t="n">
        <f aca="false">U10/E10-1</f>
        <v>0.380632911392405</v>
      </c>
      <c r="W10" s="15" t="n">
        <f aca="false">Q10/T10</f>
        <v>405464.68401487</v>
      </c>
      <c r="X10" s="18" t="n">
        <f aca="false">O10</f>
        <v>0.0090882945067587</v>
      </c>
      <c r="Y10" s="20" t="n">
        <f aca="false">T10/D10</f>
        <v>0.483629253538418</v>
      </c>
      <c r="Z10" s="15"/>
      <c r="AA10" s="22"/>
      <c r="AC10" s="22"/>
      <c r="AD10" s="22"/>
      <c r="AE10" s="22"/>
      <c r="AF10" s="23"/>
    </row>
    <row r="11" customFormat="false" ht="14.9" hidden="false" customHeight="false" outlineLevel="0" collapsed="false">
      <c r="A11" s="24" t="s">
        <v>22</v>
      </c>
      <c r="B11" s="13" t="s">
        <v>23</v>
      </c>
      <c r="C11" s="14" t="n">
        <v>17975</v>
      </c>
      <c r="D11" s="14" t="n">
        <v>31816</v>
      </c>
      <c r="E11" s="15"/>
      <c r="F11" s="15"/>
      <c r="G11" s="16" t="n">
        <f aca="false">C11/$C$18</f>
        <v>0.679327286470144</v>
      </c>
      <c r="H11" s="15" t="n">
        <v>0</v>
      </c>
      <c r="I11" s="15" t="n">
        <v>11292</v>
      </c>
      <c r="J11" s="15" t="n">
        <v>19376</v>
      </c>
      <c r="K11" s="15"/>
      <c r="L11" s="15"/>
      <c r="M11" s="15"/>
      <c r="N11" s="15"/>
      <c r="O11" s="18" t="n">
        <f aca="false">I11/I18</f>
        <v>0.649525452976704</v>
      </c>
      <c r="P11" s="19" t="n">
        <f aca="false">J11/D11</f>
        <v>0.609001760120694</v>
      </c>
      <c r="Q11" s="13" t="n">
        <f aca="false">U11*S11</f>
        <v>0</v>
      </c>
      <c r="R11" s="15"/>
      <c r="S11" s="15" t="n">
        <f aca="false">S18-SUM(S17,S4:S10)</f>
        <v>17215.7918894072</v>
      </c>
      <c r="T11" s="15" t="n">
        <f aca="false">T18-SUM(T17,T4:T10)</f>
        <v>29540.6645101978</v>
      </c>
      <c r="U11" s="15"/>
      <c r="V11" s="15"/>
      <c r="W11" s="15" t="n">
        <f aca="false">Q11/T11</f>
        <v>0</v>
      </c>
      <c r="X11" s="18" t="n">
        <f aca="false">X18-SUM(X4:X10,X17)</f>
        <v>0.649525452976704</v>
      </c>
      <c r="Y11" s="20" t="n">
        <f aca="false">T11/D11</f>
        <v>0.928484552118363</v>
      </c>
      <c r="Z11" s="31"/>
      <c r="AA11" s="32"/>
    </row>
    <row r="12" customFormat="false" ht="13.8" hidden="false" customHeight="false" outlineLevel="0" collapsed="false">
      <c r="A12" s="24" t="s">
        <v>24</v>
      </c>
      <c r="B12" s="14" t="n">
        <v>2350000000</v>
      </c>
      <c r="C12" s="15"/>
      <c r="D12" s="33"/>
      <c r="E12" s="34"/>
      <c r="F12" s="15"/>
      <c r="G12" s="35"/>
      <c r="H12" s="15" t="n">
        <v>2500000000</v>
      </c>
      <c r="I12" s="15"/>
      <c r="J12" s="15"/>
      <c r="K12" s="34"/>
      <c r="L12" s="36"/>
      <c r="M12" s="15"/>
      <c r="N12" s="17"/>
      <c r="O12" s="34"/>
      <c r="P12" s="34"/>
      <c r="Q12" s="13" t="n">
        <f aca="false">H12</f>
        <v>2500000000</v>
      </c>
      <c r="R12" s="17" t="n">
        <f aca="false">Q12/B12</f>
        <v>1.06382978723404</v>
      </c>
      <c r="S12" s="15"/>
      <c r="T12" s="15"/>
      <c r="U12" s="15"/>
      <c r="V12" s="15"/>
      <c r="W12" s="15"/>
      <c r="X12" s="18"/>
      <c r="Y12" s="37"/>
      <c r="Z12" s="15"/>
      <c r="AA12" s="22"/>
    </row>
    <row r="13" customFormat="false" ht="14.9" hidden="false" customHeight="false" outlineLevel="0" collapsed="false">
      <c r="A13" s="24" t="s">
        <v>25</v>
      </c>
      <c r="B13" s="38" t="n">
        <v>2487793760</v>
      </c>
      <c r="C13" s="15"/>
      <c r="D13" s="33"/>
      <c r="E13" s="36"/>
      <c r="F13" s="15"/>
      <c r="G13" s="35"/>
      <c r="H13" s="15" t="n">
        <v>2195901100</v>
      </c>
      <c r="I13" s="15"/>
      <c r="J13" s="34"/>
      <c r="K13" s="15"/>
      <c r="L13" s="15"/>
      <c r="M13" s="15"/>
      <c r="N13" s="15"/>
      <c r="O13" s="18"/>
      <c r="P13" s="34"/>
      <c r="Q13" s="13" t="n">
        <f aca="false">H13+55000000</f>
        <v>2250901100</v>
      </c>
      <c r="R13" s="17" t="n">
        <f aca="false">Q13/B13</f>
        <v>0.904778015039317</v>
      </c>
      <c r="S13" s="15"/>
      <c r="T13" s="15"/>
      <c r="U13" s="15"/>
      <c r="V13" s="15"/>
      <c r="W13" s="15"/>
      <c r="X13" s="18"/>
      <c r="Y13" s="37"/>
      <c r="Z13" s="31"/>
      <c r="AA13" s="22"/>
    </row>
    <row r="14" customFormat="false" ht="13.8" hidden="false" customHeight="false" outlineLevel="0" collapsed="false">
      <c r="A14" s="24" t="s">
        <v>26</v>
      </c>
      <c r="B14" s="14" t="n">
        <v>200000000</v>
      </c>
      <c r="C14" s="15"/>
      <c r="D14" s="33"/>
      <c r="E14" s="15"/>
      <c r="F14" s="15"/>
      <c r="G14" s="35"/>
      <c r="H14" s="15" t="n">
        <v>200000000</v>
      </c>
      <c r="I14" s="39"/>
      <c r="J14" s="39"/>
      <c r="K14" s="15"/>
      <c r="L14" s="40"/>
      <c r="M14" s="15"/>
      <c r="N14" s="34"/>
      <c r="O14" s="18"/>
      <c r="P14" s="34"/>
      <c r="Q14" s="13" t="n">
        <f aca="false">H14</f>
        <v>200000000</v>
      </c>
      <c r="R14" s="17"/>
      <c r="S14" s="15"/>
      <c r="T14" s="15"/>
      <c r="U14" s="15"/>
      <c r="V14" s="15"/>
      <c r="W14" s="15"/>
      <c r="X14" s="18"/>
      <c r="Y14" s="37"/>
      <c r="Z14" s="4"/>
      <c r="AA14" s="22"/>
    </row>
    <row r="15" customFormat="false" ht="14.9" hidden="false" customHeight="false" outlineLevel="0" collapsed="false">
      <c r="A15" s="24" t="s">
        <v>27</v>
      </c>
      <c r="B15" s="14" t="n">
        <v>150000000</v>
      </c>
      <c r="C15" s="15"/>
      <c r="D15" s="33"/>
      <c r="E15" s="15"/>
      <c r="F15" s="15"/>
      <c r="G15" s="35"/>
      <c r="H15" s="15" t="n">
        <v>54000000</v>
      </c>
      <c r="I15" s="15"/>
      <c r="J15" s="33"/>
      <c r="K15" s="15"/>
      <c r="L15" s="34"/>
      <c r="M15" s="15"/>
      <c r="N15" s="15"/>
      <c r="O15" s="18"/>
      <c r="P15" s="34"/>
      <c r="Q15" s="13" t="n">
        <f aca="false">H15</f>
        <v>54000000</v>
      </c>
      <c r="R15" s="17" t="n">
        <f aca="false">Q15/B15</f>
        <v>0.36</v>
      </c>
      <c r="S15" s="15"/>
      <c r="T15" s="15"/>
      <c r="U15" s="15"/>
      <c r="V15" s="15"/>
      <c r="W15" s="15"/>
      <c r="X15" s="18"/>
      <c r="Y15" s="37"/>
      <c r="Z15" s="4"/>
      <c r="AA15" s="22"/>
    </row>
    <row r="16" customFormat="false" ht="13.8" hidden="false" customHeight="false" outlineLevel="0" collapsed="false">
      <c r="A16" s="24" t="s">
        <v>28</v>
      </c>
      <c r="B16" s="14" t="n">
        <v>5000000000</v>
      </c>
      <c r="C16" s="15"/>
      <c r="D16" s="33"/>
      <c r="E16" s="15"/>
      <c r="F16" s="15"/>
      <c r="G16" s="35"/>
      <c r="H16" s="15" t="n">
        <v>4200000000</v>
      </c>
      <c r="I16" s="15"/>
      <c r="J16" s="33"/>
      <c r="K16" s="15"/>
      <c r="L16" s="17"/>
      <c r="M16" s="15"/>
      <c r="N16" s="15"/>
      <c r="O16" s="18"/>
      <c r="P16" s="34"/>
      <c r="Q16" s="13" t="n">
        <v>4200000000</v>
      </c>
      <c r="R16" s="17" t="n">
        <f aca="false">Q16/B16</f>
        <v>0.84</v>
      </c>
      <c r="S16" s="15"/>
      <c r="T16" s="15"/>
      <c r="U16" s="15"/>
      <c r="V16" s="15"/>
      <c r="W16" s="15"/>
      <c r="X16" s="18"/>
      <c r="Y16" s="37"/>
      <c r="Z16" s="4"/>
      <c r="AA16" s="22"/>
    </row>
    <row r="17" customFormat="false" ht="13.8" hidden="false" customHeight="false" outlineLevel="0" collapsed="false">
      <c r="A17" s="24" t="s">
        <v>29</v>
      </c>
      <c r="B17" s="13"/>
      <c r="C17" s="15" t="n">
        <f aca="false">C18-SUM(C4:C11)</f>
        <v>-2888</v>
      </c>
      <c r="D17" s="15" t="n">
        <f aca="false">D18-SUM(D4:D11)</f>
        <v>-5111</v>
      </c>
      <c r="E17" s="15"/>
      <c r="F17" s="15"/>
      <c r="G17" s="41" t="n">
        <f aca="false">C17/C18</f>
        <v>-0.109145880574452</v>
      </c>
      <c r="H17" s="15"/>
      <c r="I17" s="15" t="n">
        <f aca="false">I18-SUM(I4:I11)</f>
        <v>-1319</v>
      </c>
      <c r="J17" s="15" t="n">
        <f aca="false">J18-SUM(J4:J11)</f>
        <v>-2353.23198159333</v>
      </c>
      <c r="K17" s="15"/>
      <c r="L17" s="15"/>
      <c r="M17" s="15"/>
      <c r="N17" s="15"/>
      <c r="O17" s="18" t="n">
        <f aca="false">I17/I18</f>
        <v>-0.0758700028760426</v>
      </c>
      <c r="P17" s="34"/>
      <c r="Q17" s="13"/>
      <c r="R17" s="15"/>
      <c r="S17" s="15" t="n">
        <f aca="false">X17*S18</f>
        <v>-2010.9484149954</v>
      </c>
      <c r="T17" s="15" t="n">
        <f aca="false">S17*J17/I17</f>
        <v>-3587.73928999363</v>
      </c>
      <c r="U17" s="15"/>
      <c r="V17" s="15"/>
      <c r="W17" s="15"/>
      <c r="X17" s="18" t="n">
        <f aca="false">O17</f>
        <v>-0.0758700028760426</v>
      </c>
      <c r="Y17" s="37"/>
      <c r="Z17" s="4"/>
      <c r="AA17" s="22"/>
    </row>
    <row r="18" customFormat="false" ht="14.9" hidden="false" customHeight="false" outlineLevel="0" collapsed="false">
      <c r="A18" s="42" t="s">
        <v>30</v>
      </c>
      <c r="B18" s="43" t="n">
        <f aca="false">SUM(B4:B17)</f>
        <v>22926050822</v>
      </c>
      <c r="C18" s="44" t="n">
        <v>26460</v>
      </c>
      <c r="D18" s="44" t="n">
        <v>46835</v>
      </c>
      <c r="E18" s="44" t="n">
        <f aca="false">SUM(B4:B15)/C18</f>
        <v>677477.355328798</v>
      </c>
      <c r="F18" s="44" t="n">
        <f aca="false">SUM(B4:B15)/D18</f>
        <v>382749.030041636</v>
      </c>
      <c r="G18" s="45" t="n">
        <f aca="false">SUM(G4:G17)</f>
        <v>1</v>
      </c>
      <c r="H18" s="46" t="n">
        <f aca="false">SUM(H4:H16)</f>
        <v>16945882280</v>
      </c>
      <c r="I18" s="47" t="n">
        <v>17385</v>
      </c>
      <c r="J18" s="47" t="n">
        <v>29369</v>
      </c>
      <c r="K18" s="44" t="n">
        <f aca="false">SUM(H4:H15)/I18</f>
        <v>733153.999424791</v>
      </c>
      <c r="L18" s="17" t="n">
        <f aca="false">K18/E18-1</f>
        <v>0.0821822953314391</v>
      </c>
      <c r="M18" s="44" t="n">
        <f aca="false">SUM(H4:H15)/J18</f>
        <v>433991.020463754</v>
      </c>
      <c r="N18" s="17" t="n">
        <f aca="false">M18/F18-1</f>
        <v>0.133878825026791</v>
      </c>
      <c r="O18" s="48" t="n">
        <f aca="false">SUM(O4:O17)</f>
        <v>1</v>
      </c>
      <c r="P18" s="49" t="n">
        <f aca="false">J18/D18</f>
        <v>0.62707376961674</v>
      </c>
      <c r="Q18" s="43" t="n">
        <f aca="false">SUM(Q4:Q16)</f>
        <v>21090660006.1827</v>
      </c>
      <c r="R18" s="17" t="n">
        <f aca="false">Q18/B18</f>
        <v>0.919943001519649</v>
      </c>
      <c r="S18" s="47" t="n">
        <f aca="false">T18*I18/J18</f>
        <v>26505.1843780857</v>
      </c>
      <c r="T18" s="47" t="n">
        <v>44776</v>
      </c>
      <c r="U18" s="44" t="n">
        <f aca="false">SUM(Q4:Q15)/S18</f>
        <v>637258.725132574</v>
      </c>
      <c r="V18" s="50" t="n">
        <f aca="false">U18/E18</f>
        <v>0.94063472398025</v>
      </c>
      <c r="W18" s="44" t="n">
        <f aca="false">SUM(Q4:Q15)/T18</f>
        <v>377225.746073403</v>
      </c>
      <c r="X18" s="48" t="n">
        <v>1</v>
      </c>
      <c r="Y18" s="45" t="n">
        <f aca="false">T18/D18</f>
        <v>0.956037151702786</v>
      </c>
      <c r="Z18" s="51"/>
      <c r="AA18" s="52"/>
      <c r="AB18" s="22"/>
      <c r="AC18" s="22"/>
      <c r="AD18" s="22"/>
      <c r="AE18" s="22"/>
      <c r="AF18" s="23"/>
    </row>
    <row r="19" customFormat="false" ht="13.8" hidden="false" customHeight="false" outlineLevel="0" collapsed="false">
      <c r="A19" s="2" t="s">
        <v>31</v>
      </c>
      <c r="B19" s="53" t="s">
        <v>32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</row>
    <row r="20" customFormat="false" ht="13.8" hidden="false" customHeight="false" outlineLevel="0" collapsed="false">
      <c r="A20" s="2"/>
      <c r="B20" s="5" t="s">
        <v>2</v>
      </c>
      <c r="C20" s="5"/>
      <c r="D20" s="5"/>
      <c r="E20" s="5"/>
      <c r="F20" s="5"/>
      <c r="G20" s="5"/>
      <c r="H20" s="54" t="s">
        <v>3</v>
      </c>
      <c r="I20" s="54"/>
      <c r="J20" s="54"/>
      <c r="K20" s="54"/>
      <c r="L20" s="54"/>
      <c r="M20" s="54"/>
      <c r="N20" s="54"/>
      <c r="O20" s="54"/>
      <c r="P20" s="54"/>
      <c r="Q20" s="5" t="s">
        <v>4</v>
      </c>
      <c r="R20" s="5"/>
      <c r="S20" s="5"/>
      <c r="T20" s="5"/>
      <c r="U20" s="5"/>
      <c r="V20" s="5"/>
      <c r="W20" s="5"/>
      <c r="X20" s="5"/>
      <c r="Y20" s="5"/>
      <c r="Z20" s="4"/>
      <c r="AA20" s="55"/>
    </row>
    <row r="21" customFormat="false" ht="13.8" hidden="false" customHeight="false" outlineLevel="0" collapsed="false">
      <c r="A21" s="2"/>
      <c r="B21" s="7" t="s">
        <v>5</v>
      </c>
      <c r="C21" s="8" t="s">
        <v>6</v>
      </c>
      <c r="D21" s="8" t="s">
        <v>33</v>
      </c>
      <c r="E21" s="8" t="s">
        <v>8</v>
      </c>
      <c r="F21" s="8" t="s">
        <v>34</v>
      </c>
      <c r="G21" s="9" t="s">
        <v>10</v>
      </c>
      <c r="H21" s="56" t="s">
        <v>5</v>
      </c>
      <c r="I21" s="57" t="s">
        <v>6</v>
      </c>
      <c r="J21" s="57" t="s">
        <v>33</v>
      </c>
      <c r="K21" s="57" t="s">
        <v>8</v>
      </c>
      <c r="L21" s="57" t="s">
        <v>11</v>
      </c>
      <c r="M21" s="57" t="s">
        <v>34</v>
      </c>
      <c r="N21" s="57" t="s">
        <v>35</v>
      </c>
      <c r="O21" s="57" t="s">
        <v>10</v>
      </c>
      <c r="P21" s="57" t="s">
        <v>36</v>
      </c>
      <c r="Q21" s="56" t="s">
        <v>5</v>
      </c>
      <c r="R21" s="57" t="s">
        <v>14</v>
      </c>
      <c r="S21" s="57" t="s">
        <v>6</v>
      </c>
      <c r="T21" s="57" t="s">
        <v>33</v>
      </c>
      <c r="U21" s="57" t="s">
        <v>8</v>
      </c>
      <c r="V21" s="57" t="s">
        <v>11</v>
      </c>
      <c r="W21" s="57" t="s">
        <v>34</v>
      </c>
      <c r="X21" s="57" t="s">
        <v>10</v>
      </c>
      <c r="Y21" s="58" t="s">
        <v>36</v>
      </c>
      <c r="Z21" s="4"/>
    </row>
    <row r="22" customFormat="false" ht="14.9" hidden="false" customHeight="false" outlineLevel="0" collapsed="false">
      <c r="A22" s="12" t="s">
        <v>37</v>
      </c>
      <c r="B22" s="13" t="n">
        <f aca="false">C22*E22</f>
        <v>250000000</v>
      </c>
      <c r="C22" s="14" t="n">
        <v>250</v>
      </c>
      <c r="D22" s="14" t="n">
        <v>358</v>
      </c>
      <c r="E22" s="14" t="n">
        <v>1000000</v>
      </c>
      <c r="F22" s="15" t="n">
        <f aca="false">B22/D22</f>
        <v>698324.022346369</v>
      </c>
      <c r="G22" s="35" t="n">
        <f aca="false">C22/$C$34</f>
        <v>0.00768828612725651</v>
      </c>
      <c r="H22" s="59"/>
      <c r="I22" s="15" t="n">
        <v>0</v>
      </c>
      <c r="J22" s="15" t="n">
        <v>0</v>
      </c>
      <c r="K22" s="31" t="e">
        <f aca="false">H22/I22</f>
        <v>#DIV/0!</v>
      </c>
      <c r="L22" s="17" t="e">
        <f aca="false">K22/E22-1</f>
        <v>#DIV/0!</v>
      </c>
      <c r="M22" s="15" t="e">
        <f aca="false">H22/J22</f>
        <v>#DIV/0!</v>
      </c>
      <c r="N22" s="17" t="e">
        <f aca="false">M22/F22-1</f>
        <v>#DIV/0!</v>
      </c>
      <c r="O22" s="60" t="n">
        <f aca="false">I22/$I$34</f>
        <v>0</v>
      </c>
      <c r="P22" s="17" t="n">
        <f aca="false">J22/D22</f>
        <v>0</v>
      </c>
      <c r="Q22" s="13" t="n">
        <f aca="false">S22*U22</f>
        <v>0</v>
      </c>
      <c r="R22" s="17" t="n">
        <f aca="false">Q22/B22</f>
        <v>0</v>
      </c>
      <c r="S22" s="15" t="n">
        <v>0</v>
      </c>
      <c r="T22" s="15" t="n">
        <v>0</v>
      </c>
      <c r="U22" s="15" t="n">
        <v>0</v>
      </c>
      <c r="V22" s="17" t="n">
        <f aca="false">U22/E22-1</f>
        <v>-1</v>
      </c>
      <c r="W22" s="15" t="n">
        <f aca="false">IFERROR(Q22/T22,0)</f>
        <v>0</v>
      </c>
      <c r="X22" s="60" t="n">
        <f aca="false">S22/$S$34</f>
        <v>0</v>
      </c>
      <c r="Y22" s="37" t="n">
        <f aca="false">T22/D22</f>
        <v>0</v>
      </c>
      <c r="Z22" s="4"/>
      <c r="AA22" s="39"/>
    </row>
    <row r="23" customFormat="false" ht="14.9" hidden="false" customHeight="false" outlineLevel="0" collapsed="false">
      <c r="A23" s="24" t="s">
        <v>16</v>
      </c>
      <c r="B23" s="13" t="n">
        <f aca="false">C23*E23</f>
        <v>372000000</v>
      </c>
      <c r="C23" s="14" t="n">
        <v>1240</v>
      </c>
      <c r="D23" s="14" t="n">
        <v>1773</v>
      </c>
      <c r="E23" s="14" t="n">
        <v>300000</v>
      </c>
      <c r="F23" s="15" t="n">
        <f aca="false">B23/D23</f>
        <v>209813.874788494</v>
      </c>
      <c r="G23" s="35" t="n">
        <f aca="false">C23/$C$34</f>
        <v>0.0381338991911923</v>
      </c>
      <c r="H23" s="13" t="n">
        <v>487900000</v>
      </c>
      <c r="I23" s="15" t="n">
        <v>1268</v>
      </c>
      <c r="J23" s="15" t="n">
        <v>1794</v>
      </c>
      <c r="K23" s="31" t="n">
        <f aca="false">H23/I23</f>
        <v>384779.179810726</v>
      </c>
      <c r="L23" s="17" t="n">
        <f aca="false">K23/E23-1</f>
        <v>0.282597266035752</v>
      </c>
      <c r="M23" s="15" t="n">
        <f aca="false">H23/J23</f>
        <v>271962.095875139</v>
      </c>
      <c r="N23" s="17" t="n">
        <f aca="false">M23/F23-1</f>
        <v>0.296206440824253</v>
      </c>
      <c r="O23" s="60" t="n">
        <f aca="false">I23/$I$34</f>
        <v>0.0698276336802687</v>
      </c>
      <c r="P23" s="17" t="n">
        <f aca="false">J23/D23</f>
        <v>1.01184433164129</v>
      </c>
      <c r="Q23" s="13" t="n">
        <f aca="false">S23*U23</f>
        <v>746006776.436151</v>
      </c>
      <c r="R23" s="17" t="n">
        <f aca="false">Q23/B23</f>
        <v>2.00539456031223</v>
      </c>
      <c r="S23" s="15" t="n">
        <f aca="false">X23*S34</f>
        <v>1938.79195023783</v>
      </c>
      <c r="T23" s="15" t="n">
        <f aca="false">S23*J23/I23</f>
        <v>2743.05422612514</v>
      </c>
      <c r="U23" s="15" t="n">
        <f aca="false">K23</f>
        <v>384779.179810726</v>
      </c>
      <c r="V23" s="17" t="n">
        <f aca="false">U23/E23-1</f>
        <v>0.282597266035752</v>
      </c>
      <c r="W23" s="15" t="n">
        <f aca="false">Q23/T23</f>
        <v>271962.095875139</v>
      </c>
      <c r="X23" s="60" t="n">
        <f aca="false">O23</f>
        <v>0.0698276336802687</v>
      </c>
      <c r="Y23" s="37" t="n">
        <f aca="false">T23/D23</f>
        <v>1.54712590305986</v>
      </c>
      <c r="Z23" s="4"/>
      <c r="AA23" s="55"/>
      <c r="AB23" s="32"/>
    </row>
    <row r="24" customFormat="false" ht="14.9" hidden="false" customHeight="false" outlineLevel="0" collapsed="false">
      <c r="A24" s="24" t="s">
        <v>17</v>
      </c>
      <c r="B24" s="13" t="n">
        <f aca="false">C24*E24</f>
        <v>0</v>
      </c>
      <c r="C24" s="14"/>
      <c r="D24" s="14"/>
      <c r="E24" s="14"/>
      <c r="F24" s="15" t="e">
        <f aca="false">B24/D24</f>
        <v>#DIV/0!</v>
      </c>
      <c r="G24" s="35" t="n">
        <f aca="false">C24/$C$34</f>
        <v>0</v>
      </c>
      <c r="H24" s="13" t="n">
        <v>226800000</v>
      </c>
      <c r="I24" s="15" t="n">
        <v>582</v>
      </c>
      <c r="J24" s="15" t="n">
        <v>787</v>
      </c>
      <c r="K24" s="31" t="n">
        <f aca="false">H24/I24</f>
        <v>389690.721649485</v>
      </c>
      <c r="L24" s="17" t="e">
        <f aca="false">K24/E24-1</f>
        <v>#DIV/0!</v>
      </c>
      <c r="M24" s="15" t="n">
        <f aca="false">H24/J24</f>
        <v>288182.973316391</v>
      </c>
      <c r="N24" s="17" t="e">
        <f aca="false">M24/F24-1</f>
        <v>#DIV/0!</v>
      </c>
      <c r="O24" s="60" t="n">
        <f aca="false">I24/$I$34</f>
        <v>0.0320502230299025</v>
      </c>
      <c r="P24" s="17" t="str">
        <f aca="false">IFERROR(J24/D24,"")</f>
        <v/>
      </c>
      <c r="Q24" s="13" t="n">
        <f aca="false">S24*U24</f>
        <v>233814432.989691</v>
      </c>
      <c r="R24" s="17" t="str">
        <f aca="false">IFERROR(Q24/B24,"")</f>
        <v/>
      </c>
      <c r="S24" s="15" t="n">
        <v>600</v>
      </c>
      <c r="T24" s="15" t="n">
        <f aca="false">S24*J24/I24</f>
        <v>811.340206185567</v>
      </c>
      <c r="U24" s="15" t="n">
        <f aca="false">K24</f>
        <v>389690.721649485</v>
      </c>
      <c r="V24" s="17" t="e">
        <f aca="false">U24/E24-1</f>
        <v>#DIV/0!</v>
      </c>
      <c r="W24" s="15" t="n">
        <f aca="false">Q24/T24</f>
        <v>288182.973316391</v>
      </c>
      <c r="X24" s="60" t="n">
        <f aca="false">S24/S34</f>
        <v>0.0216096318137806</v>
      </c>
      <c r="Y24" s="37" t="str">
        <f aca="false">IFERROR(T24/D24,"-")</f>
        <v>-</v>
      </c>
      <c r="Z24" s="4"/>
      <c r="AG24" s="61"/>
      <c r="AH24" s="61"/>
      <c r="AJ24" s="61"/>
      <c r="AK24" s="61"/>
    </row>
    <row r="25" customFormat="false" ht="14.9" hidden="false" customHeight="false" outlineLevel="0" collapsed="false">
      <c r="A25" s="24" t="s">
        <v>18</v>
      </c>
      <c r="B25" s="13" t="n">
        <f aca="false">C25*E25</f>
        <v>40000000</v>
      </c>
      <c r="C25" s="25" t="n">
        <v>100</v>
      </c>
      <c r="D25" s="25" t="n">
        <v>143</v>
      </c>
      <c r="E25" s="25" t="n">
        <v>400000</v>
      </c>
      <c r="F25" s="15" t="n">
        <f aca="false">B25/D25</f>
        <v>279720.27972028</v>
      </c>
      <c r="G25" s="35" t="n">
        <f aca="false">C25/$C$34</f>
        <v>0.0030753144509026</v>
      </c>
      <c r="H25" s="13" t="n">
        <f aca="false">25800000+9600000</f>
        <v>35400000</v>
      </c>
      <c r="I25" s="15" t="n">
        <f aca="false">55+32</f>
        <v>87</v>
      </c>
      <c r="J25" s="15" t="n">
        <f aca="false">90+37</f>
        <v>127</v>
      </c>
      <c r="K25" s="31" t="n">
        <f aca="false">H25/I25</f>
        <v>406896.551724138</v>
      </c>
      <c r="L25" s="17" t="n">
        <f aca="false">K25/E25-1</f>
        <v>0.0172413793103448</v>
      </c>
      <c r="M25" s="15" t="n">
        <f aca="false">H25/J25</f>
        <v>278740.157480315</v>
      </c>
      <c r="N25" s="17" t="n">
        <f aca="false">M25/F25-1</f>
        <v>-0.0035039370078751</v>
      </c>
      <c r="O25" s="60" t="n">
        <f aca="false">I25/$I$34</f>
        <v>0.00479101272096481</v>
      </c>
      <c r="P25" s="17" t="n">
        <f aca="false">J25/D25</f>
        <v>0.888111888111888</v>
      </c>
      <c r="Q25" s="13" t="n">
        <f aca="false">S25*U25</f>
        <v>112976441.772966</v>
      </c>
      <c r="R25" s="17" t="n">
        <f aca="false">Q25/B25</f>
        <v>2.82441104432416</v>
      </c>
      <c r="S25" s="15" t="n">
        <f aca="false">X25*S34</f>
        <v>277.653967069155</v>
      </c>
      <c r="T25" s="15" t="n">
        <f aca="false">S25*J25/I25</f>
        <v>405.310963422789</v>
      </c>
      <c r="U25" s="15" t="n">
        <f aca="false">K25</f>
        <v>406896.551724138</v>
      </c>
      <c r="V25" s="17" t="n">
        <f aca="false">U25/E25-1</f>
        <v>0.0172413793103448</v>
      </c>
      <c r="W25" s="15" t="n">
        <f aca="false">Q25/T25</f>
        <v>278740.157480315</v>
      </c>
      <c r="X25" s="60" t="n">
        <v>0.01</v>
      </c>
      <c r="Y25" s="37" t="n">
        <f aca="false">T25/D25</f>
        <v>2.83434240155797</v>
      </c>
      <c r="Z25" s="4"/>
      <c r="AG25" s="61"/>
      <c r="AH25" s="39"/>
      <c r="AI25" s="39"/>
      <c r="AJ25" s="61"/>
      <c r="AK25" s="62"/>
    </row>
    <row r="26" customFormat="false" ht="14.9" hidden="false" customHeight="false" outlineLevel="0" collapsed="false">
      <c r="A26" s="24" t="s">
        <v>38</v>
      </c>
      <c r="B26" s="13" t="n">
        <f aca="false">C26*E26</f>
        <v>0</v>
      </c>
      <c r="C26" s="14"/>
      <c r="D26" s="14"/>
      <c r="E26" s="14"/>
      <c r="F26" s="15"/>
      <c r="G26" s="35" t="n">
        <f aca="false">C26/$C$34</f>
        <v>0</v>
      </c>
      <c r="H26" s="13" t="n">
        <f aca="false">272010560-11700000</f>
        <v>260310560</v>
      </c>
      <c r="I26" s="15" t="n">
        <f aca="false">357-32</f>
        <v>325</v>
      </c>
      <c r="J26" s="15" t="n">
        <f aca="false">461-37</f>
        <v>424</v>
      </c>
      <c r="K26" s="31" t="n">
        <f aca="false">H26/I26</f>
        <v>800955.569230769</v>
      </c>
      <c r="L26" s="17" t="e">
        <f aca="false">K26/E26-1</f>
        <v>#DIV/0!</v>
      </c>
      <c r="M26" s="15" t="n">
        <f aca="false">H26/J26</f>
        <v>613940</v>
      </c>
      <c r="N26" s="17" t="e">
        <f aca="false">M26/F26-1</f>
        <v>#DIV/0!</v>
      </c>
      <c r="O26" s="60" t="n">
        <f aca="false">I26/$I$34</f>
        <v>0.017897461313949</v>
      </c>
      <c r="P26" s="17" t="str">
        <f aca="false">IFERROR(J26/D26,"")</f>
        <v/>
      </c>
      <c r="Q26" s="13" t="n">
        <f aca="false">S26*U26</f>
        <v>260310560</v>
      </c>
      <c r="R26" s="17" t="str">
        <f aca="false">IFERROR(Q26/B26,"")</f>
        <v/>
      </c>
      <c r="S26" s="15" t="n">
        <f aca="false">I26</f>
        <v>325</v>
      </c>
      <c r="T26" s="15" t="n">
        <f aca="false">S26*J26/I26</f>
        <v>424</v>
      </c>
      <c r="U26" s="15" t="n">
        <f aca="false">K26</f>
        <v>800955.569230769</v>
      </c>
      <c r="V26" s="17" t="e">
        <f aca="false">U26/E26-1</f>
        <v>#DIV/0!</v>
      </c>
      <c r="W26" s="15" t="n">
        <f aca="false">Q26/T26</f>
        <v>613940</v>
      </c>
      <c r="X26" s="60" t="n">
        <f aca="false">S26/S34</f>
        <v>0.0117052172324645</v>
      </c>
      <c r="Y26" s="37" t="str">
        <f aca="false">IFERROR(T26/D26,"-")</f>
        <v>-</v>
      </c>
      <c r="Z26" s="4"/>
      <c r="AI26" s="32"/>
      <c r="AJ26" s="61"/>
      <c r="AK26" s="32"/>
    </row>
    <row r="27" customFormat="false" ht="14.9" hidden="false" customHeight="false" outlineLevel="0" collapsed="false">
      <c r="A27" s="24" t="s">
        <v>22</v>
      </c>
      <c r="B27" s="13"/>
      <c r="C27" s="14" t="n">
        <f aca="false">C34-SUM(C22:C25)</f>
        <v>30927</v>
      </c>
      <c r="D27" s="14" t="n">
        <f aca="false">D34-SUM(D22:D25)</f>
        <v>44226</v>
      </c>
      <c r="E27" s="33"/>
      <c r="F27" s="51"/>
      <c r="G27" s="35" t="n">
        <f aca="false">C27/$C$34</f>
        <v>0.951102500230649</v>
      </c>
      <c r="H27" s="13"/>
      <c r="I27" s="15" t="n">
        <v>15897</v>
      </c>
      <c r="J27" s="15" t="n">
        <v>24198</v>
      </c>
      <c r="K27" s="31"/>
      <c r="L27" s="31"/>
      <c r="M27" s="15"/>
      <c r="N27" s="15"/>
      <c r="O27" s="60" t="n">
        <f aca="false">I27/I34</f>
        <v>0.875433669254915</v>
      </c>
      <c r="P27" s="17" t="n">
        <f aca="false">J27/D27</f>
        <v>0.547144213810881</v>
      </c>
      <c r="Q27" s="13" t="n">
        <f aca="false">B27</f>
        <v>0</v>
      </c>
      <c r="R27" s="17"/>
      <c r="S27" s="15" t="n">
        <f aca="false">S34-SUM(S23:S26)</f>
        <v>24623.9507896085</v>
      </c>
      <c r="T27" s="15" t="n">
        <f aca="false">T34-SUM(T23:T26)</f>
        <v>37404.2946042665</v>
      </c>
      <c r="U27" s="15"/>
      <c r="V27" s="15"/>
      <c r="W27" s="4"/>
      <c r="X27" s="60" t="n">
        <f aca="false">S27/S34</f>
        <v>0.886857517273486</v>
      </c>
      <c r="Y27" s="37" t="n">
        <f aca="false">T27/D27</f>
        <v>0.845753507083311</v>
      </c>
      <c r="Z27" s="4"/>
    </row>
    <row r="28" customFormat="false" ht="13.8" hidden="false" customHeight="false" outlineLevel="0" collapsed="false">
      <c r="A28" s="24" t="s">
        <v>39</v>
      </c>
      <c r="B28" s="13"/>
      <c r="C28" s="14"/>
      <c r="D28" s="14"/>
      <c r="E28" s="33"/>
      <c r="F28" s="51"/>
      <c r="G28" s="35"/>
      <c r="H28" s="13"/>
      <c r="I28" s="15"/>
      <c r="J28" s="15"/>
      <c r="K28" s="31"/>
      <c r="L28" s="31"/>
      <c r="M28" s="15"/>
      <c r="N28" s="15"/>
      <c r="O28" s="60"/>
      <c r="P28" s="17"/>
      <c r="Q28" s="13" t="n">
        <f aca="false">H28</f>
        <v>0</v>
      </c>
      <c r="R28" s="17"/>
      <c r="S28" s="15"/>
      <c r="T28" s="15"/>
      <c r="U28" s="15"/>
      <c r="V28" s="15"/>
      <c r="W28" s="4"/>
      <c r="X28" s="60"/>
      <c r="Y28" s="37"/>
      <c r="Z28" s="4"/>
    </row>
    <row r="29" customFormat="false" ht="13.8" hidden="false" customHeight="false" outlineLevel="0" collapsed="false">
      <c r="A29" s="24" t="s">
        <v>24</v>
      </c>
      <c r="B29" s="14" t="n">
        <v>2187500000</v>
      </c>
      <c r="C29" s="22"/>
      <c r="D29" s="22"/>
      <c r="E29" s="15"/>
      <c r="H29" s="13" t="n">
        <v>2280000000</v>
      </c>
      <c r="I29" s="39"/>
      <c r="J29" s="39"/>
      <c r="K29" s="31"/>
      <c r="L29" s="31"/>
      <c r="M29" s="15"/>
      <c r="N29" s="15"/>
      <c r="O29" s="60"/>
      <c r="Q29" s="13" t="n">
        <f aca="false">B29</f>
        <v>2187500000</v>
      </c>
      <c r="R29" s="17" t="n">
        <f aca="false">Q29/B29</f>
        <v>1</v>
      </c>
      <c r="Y29" s="63"/>
      <c r="Z29" s="4"/>
    </row>
    <row r="30" customFormat="false" ht="14.9" hidden="false" customHeight="false" outlineLevel="0" collapsed="false">
      <c r="A30" s="24" t="s">
        <v>25</v>
      </c>
      <c r="B30" s="38" t="n">
        <v>33600000</v>
      </c>
      <c r="C30" s="25"/>
      <c r="D30" s="25"/>
      <c r="E30" s="15"/>
      <c r="F30" s="15"/>
      <c r="G30" s="35"/>
      <c r="H30" s="13" t="n">
        <v>81984120</v>
      </c>
      <c r="I30" s="15"/>
      <c r="J30" s="15"/>
      <c r="K30" s="31"/>
      <c r="L30" s="31"/>
      <c r="M30" s="15"/>
      <c r="N30" s="15"/>
      <c r="O30" s="60"/>
      <c r="P30" s="60"/>
      <c r="Q30" s="13" t="n">
        <v>90000000</v>
      </c>
      <c r="R30" s="17" t="n">
        <f aca="false">Q30/B30</f>
        <v>2.67857142857143</v>
      </c>
      <c r="S30" s="31"/>
      <c r="T30" s="31"/>
      <c r="U30" s="15"/>
      <c r="V30" s="15"/>
      <c r="W30" s="15"/>
      <c r="X30" s="60"/>
      <c r="Y30" s="64"/>
      <c r="Z30" s="4"/>
      <c r="AA30" s="62"/>
    </row>
    <row r="31" customFormat="false" ht="13.8" hidden="false" customHeight="false" outlineLevel="0" collapsed="false">
      <c r="A31" s="24" t="s">
        <v>27</v>
      </c>
      <c r="B31" s="14" t="n">
        <v>100000000</v>
      </c>
      <c r="C31" s="25"/>
      <c r="D31" s="25"/>
      <c r="E31" s="15"/>
      <c r="F31" s="4"/>
      <c r="G31" s="17"/>
      <c r="H31" s="13" t="n">
        <v>27000000</v>
      </c>
      <c r="I31" s="15"/>
      <c r="J31" s="15"/>
      <c r="K31" s="51"/>
      <c r="L31" s="31"/>
      <c r="M31" s="15"/>
      <c r="N31" s="15"/>
      <c r="O31" s="60"/>
      <c r="P31" s="60"/>
      <c r="Q31" s="13" t="n">
        <f aca="false">H31</f>
        <v>27000000</v>
      </c>
      <c r="R31" s="17" t="n">
        <f aca="false">Q31/B31</f>
        <v>0.27</v>
      </c>
      <c r="S31" s="31"/>
      <c r="T31" s="31"/>
      <c r="U31" s="15"/>
      <c r="V31" s="15"/>
      <c r="W31" s="4"/>
      <c r="X31" s="60"/>
      <c r="Y31" s="37"/>
      <c r="Z31" s="4"/>
    </row>
    <row r="32" customFormat="false" ht="13.8" hidden="false" customHeight="false" outlineLevel="0" collapsed="false">
      <c r="A32" s="24" t="s">
        <v>28</v>
      </c>
      <c r="B32" s="14" t="n">
        <v>5000000000</v>
      </c>
      <c r="C32" s="15"/>
      <c r="D32" s="33"/>
      <c r="E32" s="34"/>
      <c r="F32" s="15"/>
      <c r="G32" s="35"/>
      <c r="H32" s="13" t="n">
        <v>4200000000</v>
      </c>
      <c r="I32" s="17"/>
      <c r="J32" s="51"/>
      <c r="K32" s="65"/>
      <c r="L32" s="65"/>
      <c r="M32" s="15"/>
      <c r="N32" s="15"/>
      <c r="O32" s="60"/>
      <c r="P32" s="60"/>
      <c r="Q32" s="13" t="n">
        <v>4200000000</v>
      </c>
      <c r="R32" s="17" t="n">
        <f aca="false">Q32/B32</f>
        <v>0.84</v>
      </c>
      <c r="S32" s="31"/>
      <c r="T32" s="31"/>
      <c r="U32" s="15"/>
      <c r="V32" s="15"/>
      <c r="W32" s="4"/>
      <c r="X32" s="60"/>
      <c r="Y32" s="37"/>
      <c r="Z32" s="4"/>
    </row>
    <row r="33" customFormat="false" ht="13.8" hidden="false" customHeight="false" outlineLevel="0" collapsed="false">
      <c r="A33" s="24" t="s">
        <v>29</v>
      </c>
      <c r="B33" s="13"/>
      <c r="C33" s="15"/>
      <c r="D33" s="15"/>
      <c r="E33" s="15"/>
      <c r="F33" s="15"/>
      <c r="G33" s="35" t="n">
        <f aca="false">C33/C34</f>
        <v>0</v>
      </c>
      <c r="H33" s="66"/>
      <c r="I33" s="31" t="n">
        <f aca="false">I34-SUM(I22:I31)</f>
        <v>0</v>
      </c>
      <c r="J33" s="31" t="n">
        <f aca="false">J34-SUM(J22:J31)</f>
        <v>0</v>
      </c>
      <c r="K33" s="31"/>
      <c r="L33" s="31"/>
      <c r="M33" s="15"/>
      <c r="N33" s="15"/>
      <c r="O33" s="60" t="n">
        <f aca="false">I33/I34</f>
        <v>0</v>
      </c>
      <c r="P33" s="60"/>
      <c r="Q33" s="13"/>
      <c r="R33" s="17"/>
      <c r="S33" s="15" t="n">
        <f aca="false">I33*30/21</f>
        <v>0</v>
      </c>
      <c r="T33" s="15" t="n">
        <f aca="false">J33*30/Sheet2!B7</f>
        <v>0</v>
      </c>
      <c r="U33" s="15"/>
      <c r="V33" s="15"/>
      <c r="W33" s="4"/>
      <c r="X33" s="60" t="n">
        <f aca="false">S33/S34</f>
        <v>0</v>
      </c>
      <c r="Y33" s="37"/>
      <c r="Z33" s="4"/>
    </row>
    <row r="34" customFormat="false" ht="14.9" hidden="false" customHeight="false" outlineLevel="0" collapsed="false">
      <c r="A34" s="42" t="s">
        <v>30</v>
      </c>
      <c r="B34" s="43" t="n">
        <f aca="false">SUM(B22:B33)</f>
        <v>7983100000</v>
      </c>
      <c r="C34" s="44" t="n">
        <v>32517</v>
      </c>
      <c r="D34" s="44" t="n">
        <v>46500</v>
      </c>
      <c r="E34" s="44" t="n">
        <f aca="false">SUM(B22:B31)/C34</f>
        <v>91739.7053848756</v>
      </c>
      <c r="F34" s="44" t="n">
        <f aca="false">SUM(B22:B31)/D34</f>
        <v>64152.688172043</v>
      </c>
      <c r="G34" s="45" t="n">
        <f aca="false">SUM(G22:G33)</f>
        <v>1</v>
      </c>
      <c r="H34" s="46" t="n">
        <f aca="false">SUM(H22:H32)</f>
        <v>7599394680</v>
      </c>
      <c r="I34" s="44" t="n">
        <v>18159</v>
      </c>
      <c r="J34" s="44" t="n">
        <v>27330</v>
      </c>
      <c r="K34" s="44" t="n">
        <f aca="false">SUM(H22:H31)/I34</f>
        <v>187201.645465059</v>
      </c>
      <c r="L34" s="67" t="n">
        <f aca="false">K34/E34-1</f>
        <v>1.04057386798542</v>
      </c>
      <c r="M34" s="44" t="n">
        <f aca="false">SUM(H22:H31)/J34</f>
        <v>124383.266739846</v>
      </c>
      <c r="N34" s="67" t="n">
        <f aca="false">M34/F34-1</f>
        <v>0.938862895445293</v>
      </c>
      <c r="O34" s="49" t="n">
        <f aca="false">SUM(O22:O33)</f>
        <v>1</v>
      </c>
      <c r="P34" s="68" t="n">
        <f aca="false">J34/D34</f>
        <v>0.587741935483871</v>
      </c>
      <c r="Q34" s="43" t="n">
        <f aca="false">SUM(Q22:Q32)</f>
        <v>7857608211.19881</v>
      </c>
      <c r="R34" s="17" t="n">
        <f aca="false">Q34/B34</f>
        <v>0.984280318572836</v>
      </c>
      <c r="S34" s="47" t="n">
        <f aca="false">T34*I34/J34</f>
        <v>27765.3967069155</v>
      </c>
      <c r="T34" s="47" t="n">
        <v>41788</v>
      </c>
      <c r="U34" s="44" t="n">
        <f aca="false">SUM(Q22:Q31)/S34</f>
        <v>131732.611271778</v>
      </c>
      <c r="V34" s="50" t="n">
        <f aca="false">U34/E34</f>
        <v>1.4359388960224</v>
      </c>
      <c r="W34" s="44" t="n">
        <f aca="false">SUM(Q22:Q31)/T34</f>
        <v>87527.7163587348</v>
      </c>
      <c r="X34" s="49" t="n">
        <v>1</v>
      </c>
      <c r="Y34" s="45" t="n">
        <f aca="false">T34/D34</f>
        <v>0.898666666666667</v>
      </c>
      <c r="Z34" s="31"/>
      <c r="AA34" s="52"/>
    </row>
    <row r="35" customFormat="false" ht="13.8" hidden="false" customHeight="false" outlineLevel="0" collapsed="false">
      <c r="A35" s="2" t="s">
        <v>40</v>
      </c>
      <c r="B35" s="53" t="s">
        <v>41</v>
      </c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4"/>
    </row>
    <row r="36" customFormat="false" ht="13.8" hidden="false" customHeight="false" outlineLevel="0" collapsed="false">
      <c r="A36" s="2"/>
      <c r="B36" s="5" t="s">
        <v>2</v>
      </c>
      <c r="C36" s="5"/>
      <c r="D36" s="5"/>
      <c r="E36" s="5"/>
      <c r="F36" s="5"/>
      <c r="G36" s="5"/>
      <c r="H36" s="54" t="s">
        <v>42</v>
      </c>
      <c r="I36" s="54"/>
      <c r="J36" s="54"/>
      <c r="K36" s="54"/>
      <c r="L36" s="54"/>
      <c r="M36" s="54"/>
      <c r="N36" s="54"/>
      <c r="O36" s="54"/>
      <c r="P36" s="54"/>
      <c r="Q36" s="5" t="s">
        <v>4</v>
      </c>
      <c r="R36" s="5"/>
      <c r="S36" s="5"/>
      <c r="T36" s="5"/>
      <c r="U36" s="5"/>
      <c r="V36" s="5"/>
      <c r="W36" s="5"/>
      <c r="X36" s="5"/>
      <c r="Y36" s="5"/>
      <c r="Z36" s="4"/>
    </row>
    <row r="37" customFormat="false" ht="13.8" hidden="false" customHeight="false" outlineLevel="0" collapsed="false">
      <c r="A37" s="2"/>
      <c r="B37" s="7" t="s">
        <v>5</v>
      </c>
      <c r="C37" s="8" t="s">
        <v>6</v>
      </c>
      <c r="D37" s="8" t="s">
        <v>33</v>
      </c>
      <c r="E37" s="8" t="s">
        <v>8</v>
      </c>
      <c r="F37" s="8" t="s">
        <v>34</v>
      </c>
      <c r="G37" s="8" t="s">
        <v>10</v>
      </c>
      <c r="H37" s="69" t="s">
        <v>5</v>
      </c>
      <c r="I37" s="70" t="s">
        <v>6</v>
      </c>
      <c r="J37" s="70" t="s">
        <v>33</v>
      </c>
      <c r="K37" s="70" t="s">
        <v>8</v>
      </c>
      <c r="L37" s="70" t="s">
        <v>11</v>
      </c>
      <c r="M37" s="70" t="s">
        <v>34</v>
      </c>
      <c r="N37" s="70" t="s">
        <v>35</v>
      </c>
      <c r="O37" s="70" t="s">
        <v>10</v>
      </c>
      <c r="P37" s="71" t="s">
        <v>36</v>
      </c>
      <c r="Q37" s="11" t="s">
        <v>5</v>
      </c>
      <c r="R37" s="11" t="s">
        <v>14</v>
      </c>
      <c r="S37" s="11" t="s">
        <v>6</v>
      </c>
      <c r="T37" s="11" t="s">
        <v>33</v>
      </c>
      <c r="U37" s="11" t="s">
        <v>8</v>
      </c>
      <c r="V37" s="11" t="s">
        <v>11</v>
      </c>
      <c r="W37" s="11" t="s">
        <v>34</v>
      </c>
      <c r="X37" s="11" t="s">
        <v>10</v>
      </c>
      <c r="Y37" s="72" t="s">
        <v>36</v>
      </c>
      <c r="Z37" s="4"/>
    </row>
    <row r="38" customFormat="false" ht="14.9" hidden="false" customHeight="false" outlineLevel="0" collapsed="false">
      <c r="A38" s="12" t="s">
        <v>37</v>
      </c>
      <c r="B38" s="15" t="n">
        <v>2253252468</v>
      </c>
      <c r="C38" s="14" t="n">
        <v>22354</v>
      </c>
      <c r="D38" s="14" t="n">
        <v>27495</v>
      </c>
      <c r="E38" s="14" t="n">
        <v>100800</v>
      </c>
      <c r="F38" s="15" t="n">
        <f aca="false">B38/D38</f>
        <v>81951.3536279324</v>
      </c>
      <c r="G38" s="73" t="n">
        <f aca="false">C38/$C$49</f>
        <v>0.145002367623879</v>
      </c>
      <c r="H38" s="13" t="n">
        <v>290666360</v>
      </c>
      <c r="I38" s="25" t="n">
        <v>7934</v>
      </c>
      <c r="J38" s="25" t="n">
        <v>9781.3507352567</v>
      </c>
      <c r="K38" s="15" t="n">
        <f aca="false">H38/I38</f>
        <v>36635.5381900681</v>
      </c>
      <c r="L38" s="17" t="n">
        <f aca="false">K38/E38-1</f>
        <v>-0.636552200495357</v>
      </c>
      <c r="M38" s="15" t="n">
        <f aca="false">H38/J38</f>
        <v>29716.3825188579</v>
      </c>
      <c r="N38" s="17" t="n">
        <f aca="false">M38/F38-1</f>
        <v>-0.637389973400887</v>
      </c>
      <c r="O38" s="17" t="n">
        <f aca="false">I38/$I$49</f>
        <v>0.112255581651999</v>
      </c>
      <c r="P38" s="74" t="n">
        <f aca="false">J38/D38</f>
        <v>0.355750163129904</v>
      </c>
      <c r="Q38" s="15" t="n">
        <f aca="false">S38*U38</f>
        <v>603117766.932189</v>
      </c>
      <c r="R38" s="17" t="n">
        <f aca="false">Q38/B38</f>
        <v>0.267665419431458</v>
      </c>
      <c r="S38" s="15" t="n">
        <f aca="false">X38*S49</f>
        <v>12062.3553386438</v>
      </c>
      <c r="T38" s="15" t="n">
        <f aca="false">S38*T39/S39</f>
        <v>15415.6082648252</v>
      </c>
      <c r="U38" s="15" t="n">
        <v>50000</v>
      </c>
      <c r="V38" s="17" t="n">
        <f aca="false">U38/E38-1</f>
        <v>-0.503968253968254</v>
      </c>
      <c r="W38" s="15" t="n">
        <f aca="false">Q38/T38</f>
        <v>39123.8384221506</v>
      </c>
      <c r="X38" s="19" t="n">
        <f aca="false">O38</f>
        <v>0.112255581651999</v>
      </c>
      <c r="Y38" s="75" t="n">
        <f aca="false">T38/D38</f>
        <v>0.560669513177856</v>
      </c>
      <c r="Z38" s="4"/>
      <c r="AA38" s="32"/>
      <c r="AB38" s="32"/>
      <c r="AC38" s="39"/>
    </row>
    <row r="39" customFormat="false" ht="14.9" hidden="false" customHeight="false" outlineLevel="0" collapsed="false">
      <c r="A39" s="24" t="s">
        <v>16</v>
      </c>
      <c r="B39" s="15" t="n">
        <v>270556793</v>
      </c>
      <c r="C39" s="14" t="n">
        <v>5411</v>
      </c>
      <c r="D39" s="14" t="n">
        <v>6656</v>
      </c>
      <c r="E39" s="14" t="n">
        <v>50000</v>
      </c>
      <c r="F39" s="15" t="n">
        <f aca="false">B39/D39</f>
        <v>40648.556640625</v>
      </c>
      <c r="G39" s="73" t="n">
        <f aca="false">C39/$C$49</f>
        <v>0.0350992131704754</v>
      </c>
      <c r="H39" s="13" t="n">
        <f aca="false">74500000+131800000</f>
        <v>206300000</v>
      </c>
      <c r="I39" s="4" t="n">
        <f aca="false">1490+2636</f>
        <v>4126</v>
      </c>
      <c r="J39" s="4" t="n">
        <f aca="false">1860+3413</f>
        <v>5273</v>
      </c>
      <c r="K39" s="15" t="n">
        <f aca="false">H39/I39</f>
        <v>50000</v>
      </c>
      <c r="L39" s="17" t="n">
        <f aca="false">K39/E39-1</f>
        <v>0</v>
      </c>
      <c r="M39" s="15" t="n">
        <f aca="false">H39/J39</f>
        <v>39123.8384221506</v>
      </c>
      <c r="N39" s="17" t="n">
        <f aca="false">M39/F39-1</f>
        <v>-0.0375097751183271</v>
      </c>
      <c r="O39" s="17" t="n">
        <f aca="false">I39/$I$49</f>
        <v>0.0583774300348057</v>
      </c>
      <c r="P39" s="74" t="n">
        <f aca="false">J39/D39</f>
        <v>0.792217548076923</v>
      </c>
      <c r="Q39" s="15" t="n">
        <f aca="false">S39*U39</f>
        <v>313645564.199926</v>
      </c>
      <c r="R39" s="17" t="n">
        <f aca="false">Q39/B39</f>
        <v>1.15925961688911</v>
      </c>
      <c r="S39" s="15" t="n">
        <f aca="false">X39*$S$49</f>
        <v>6272.91128399852</v>
      </c>
      <c r="T39" s="15" t="n">
        <f aca="false">S39*J39/I39</f>
        <v>8016.73805150852</v>
      </c>
      <c r="U39" s="15" t="n">
        <f aca="false">K39</f>
        <v>50000</v>
      </c>
      <c r="V39" s="17" t="n">
        <f aca="false">U39/E39-1</f>
        <v>0</v>
      </c>
      <c r="W39" s="15" t="n">
        <f aca="false">Q39/T39</f>
        <v>39123.8384221506</v>
      </c>
      <c r="X39" s="19" t="n">
        <f aca="false">O39</f>
        <v>0.0583774300348057</v>
      </c>
      <c r="Y39" s="75" t="n">
        <f aca="false">T39/D39</f>
        <v>1.20443780821943</v>
      </c>
      <c r="Z39" s="31"/>
      <c r="AA39" s="39"/>
    </row>
    <row r="40" customFormat="false" ht="14.9" hidden="false" customHeight="false" outlineLevel="0" collapsed="false">
      <c r="A40" s="24" t="s">
        <v>17</v>
      </c>
      <c r="B40" s="15" t="n">
        <v>238953293</v>
      </c>
      <c r="C40" s="14" t="n">
        <v>4779</v>
      </c>
      <c r="D40" s="14" t="n">
        <v>5878</v>
      </c>
      <c r="E40" s="14" t="n">
        <v>50000</v>
      </c>
      <c r="F40" s="15" t="n">
        <f aca="false">B40/D40</f>
        <v>40652.1423953726</v>
      </c>
      <c r="G40" s="73" t="n">
        <f aca="false">C40/$C$49</f>
        <v>0.0309996562080395</v>
      </c>
      <c r="H40" s="13" t="n">
        <v>116500000</v>
      </c>
      <c r="I40" s="4" t="n">
        <v>2327</v>
      </c>
      <c r="J40" s="4" t="n">
        <v>3085</v>
      </c>
      <c r="K40" s="15" t="n">
        <f aca="false">H40/I40</f>
        <v>50064.4606789858</v>
      </c>
      <c r="L40" s="17" t="n">
        <f aca="false">K40/E40-1</f>
        <v>0.00128921357971623</v>
      </c>
      <c r="M40" s="15" t="n">
        <f aca="false">H40/J40</f>
        <v>37763.3711507293</v>
      </c>
      <c r="N40" s="17" t="n">
        <f aca="false">M40/F40-1</f>
        <v>-0.0710607381167712</v>
      </c>
      <c r="O40" s="17" t="n">
        <f aca="false">I40/$I$49</f>
        <v>0.0329239650244772</v>
      </c>
      <c r="P40" s="74" t="n">
        <f aca="false">J40/D40</f>
        <v>0.524838380401497</v>
      </c>
      <c r="Q40" s="15" t="n">
        <f aca="false">S40*U40</f>
        <v>177119283.709604</v>
      </c>
      <c r="R40" s="17" t="n">
        <f aca="false">Q40/B40</f>
        <v>0.741229725214978</v>
      </c>
      <c r="S40" s="15" t="n">
        <f aca="false">X40*$S$49</f>
        <v>3537.82466259441</v>
      </c>
      <c r="T40" s="15" t="n">
        <f aca="false">S40*J40/I40</f>
        <v>4690.24025960626</v>
      </c>
      <c r="U40" s="15" t="n">
        <f aca="false">K40</f>
        <v>50064.4606789858</v>
      </c>
      <c r="V40" s="17" t="n">
        <f aca="false">U40/E40-1</f>
        <v>0.00128921357971623</v>
      </c>
      <c r="W40" s="15" t="n">
        <f aca="false">Q40/T40</f>
        <v>37763.3711507293</v>
      </c>
      <c r="X40" s="19" t="n">
        <f aca="false">O40</f>
        <v>0.0329239650244772</v>
      </c>
      <c r="Y40" s="75" t="n">
        <f aca="false">T40/D40</f>
        <v>0.797931313304909</v>
      </c>
      <c r="Z40" s="31"/>
      <c r="AA40" s="39"/>
    </row>
    <row r="41" customFormat="false" ht="14.9" hidden="false" customHeight="false" outlineLevel="0" collapsed="false">
      <c r="A41" s="24" t="s">
        <v>18</v>
      </c>
      <c r="B41" s="15" t="n">
        <v>244349012</v>
      </c>
      <c r="C41" s="14" t="n">
        <v>3685</v>
      </c>
      <c r="D41" s="14" t="n">
        <v>4532</v>
      </c>
      <c r="E41" s="14" t="n">
        <f aca="false">B41/C41</f>
        <v>66309.094165536</v>
      </c>
      <c r="F41" s="15" t="n">
        <f aca="false">B41/D41</f>
        <v>53916.3751103266</v>
      </c>
      <c r="G41" s="73" t="n">
        <f aca="false">C41/$C$49</f>
        <v>0.023903271212937</v>
      </c>
      <c r="H41" s="13" t="n">
        <v>55150000</v>
      </c>
      <c r="I41" s="4" t="n">
        <v>1103</v>
      </c>
      <c r="J41" s="4" t="n">
        <v>1554</v>
      </c>
      <c r="K41" s="15" t="n">
        <f aca="false">H41/I41</f>
        <v>50000</v>
      </c>
      <c r="L41" s="17" t="n">
        <f aca="false">K41/E41-1</f>
        <v>-0.245955616959892</v>
      </c>
      <c r="M41" s="15" t="n">
        <f aca="false">H41/J41</f>
        <v>35489.0604890605</v>
      </c>
      <c r="N41" s="17" t="n">
        <f aca="false">M41/F41-1</f>
        <v>-0.341775844232094</v>
      </c>
      <c r="O41" s="17" t="n">
        <f aca="false">I41/$I$49</f>
        <v>0.0156059877189507</v>
      </c>
      <c r="P41" s="74" t="n">
        <f aca="false">J41/D41</f>
        <v>0.342894969108561</v>
      </c>
      <c r="Q41" s="15" t="n">
        <f aca="false">S41*U41</f>
        <v>83846596.5372075</v>
      </c>
      <c r="R41" s="17" t="n">
        <f aca="false">Q41/B41</f>
        <v>0.343142768824486</v>
      </c>
      <c r="S41" s="15" t="n">
        <f aca="false">X41*S49</f>
        <v>1676.93193074415</v>
      </c>
      <c r="T41" s="15" t="n">
        <f aca="false">S41*J41/I41</f>
        <v>2362.60400759421</v>
      </c>
      <c r="U41" s="15" t="n">
        <f aca="false">K41</f>
        <v>50000</v>
      </c>
      <c r="V41" s="17" t="n">
        <f aca="false">U41/E41-1</f>
        <v>-0.245955616959892</v>
      </c>
      <c r="W41" s="15" t="n">
        <f aca="false">Q41/T41</f>
        <v>35489.0604890605</v>
      </c>
      <c r="X41" s="19" t="n">
        <f aca="false">O41</f>
        <v>0.0156059877189507</v>
      </c>
      <c r="Y41" s="75" t="n">
        <f aca="false">T41/D41</f>
        <v>0.521315976962534</v>
      </c>
      <c r="Z41" s="31"/>
      <c r="AA41" s="39"/>
    </row>
    <row r="42" customFormat="false" ht="14.9" hidden="false" customHeight="false" outlineLevel="0" collapsed="false">
      <c r="A42" s="24" t="s">
        <v>19</v>
      </c>
      <c r="B42" s="15" t="n">
        <f aca="false">C42*E42</f>
        <v>58230000</v>
      </c>
      <c r="C42" s="14" t="n">
        <v>647</v>
      </c>
      <c r="D42" s="14" t="n">
        <v>796</v>
      </c>
      <c r="E42" s="14" t="n">
        <v>90000</v>
      </c>
      <c r="F42" s="15" t="n">
        <f aca="false">B42/D42</f>
        <v>73153.2663316583</v>
      </c>
      <c r="G42" s="73" t="n">
        <f aca="false">C42/$C$49</f>
        <v>0.00419685657388608</v>
      </c>
      <c r="H42" s="13" t="n">
        <v>68360000</v>
      </c>
      <c r="I42" s="4" t="n">
        <v>703</v>
      </c>
      <c r="J42" s="4" t="n">
        <v>891</v>
      </c>
      <c r="K42" s="15" t="n">
        <f aca="false">H42/I42</f>
        <v>97240.3982930299</v>
      </c>
      <c r="L42" s="17" t="n">
        <f aca="false">K42/E42-1</f>
        <v>0.0804488699225541</v>
      </c>
      <c r="M42" s="15" t="n">
        <f aca="false">H42/J42</f>
        <v>76722.7833894501</v>
      </c>
      <c r="N42" s="17" t="n">
        <f aca="false">M42/F42-1</f>
        <v>0.0487950468487417</v>
      </c>
      <c r="O42" s="17" t="n">
        <f aca="false">I42/$I$49</f>
        <v>0.00994651801126235</v>
      </c>
      <c r="P42" s="74" t="n">
        <f aca="false">J42/D42</f>
        <v>1.11934673366834</v>
      </c>
      <c r="Q42" s="15" t="n">
        <f aca="false">S42*U42</f>
        <v>103930250.938957</v>
      </c>
      <c r="R42" s="17" t="n">
        <f aca="false">Q42/B42</f>
        <v>1.78482313135768</v>
      </c>
      <c r="S42" s="15" t="n">
        <f aca="false">X42*$S$49</f>
        <v>1068.79705105452</v>
      </c>
      <c r="T42" s="15" t="n">
        <f aca="false">S42*J42/I42</f>
        <v>1354.62044450865</v>
      </c>
      <c r="U42" s="15" t="n">
        <f aca="false">K42</f>
        <v>97240.3982930299</v>
      </c>
      <c r="V42" s="17" t="n">
        <f aca="false">U42/E42-1</f>
        <v>0.0804488699225541</v>
      </c>
      <c r="W42" s="15" t="n">
        <f aca="false">Q42/T42</f>
        <v>76722.7833894501</v>
      </c>
      <c r="X42" s="19" t="n">
        <f aca="false">O42</f>
        <v>0.00994651801126235</v>
      </c>
      <c r="Y42" s="75" t="n">
        <f aca="false">T42/D42</f>
        <v>1.70178447802594</v>
      </c>
      <c r="Z42" s="31"/>
      <c r="AA42" s="39"/>
    </row>
    <row r="43" customFormat="false" ht="14.9" hidden="false" customHeight="false" outlineLevel="0" collapsed="false">
      <c r="A43" s="24" t="s">
        <v>38</v>
      </c>
      <c r="B43" s="15"/>
      <c r="C43" s="15"/>
      <c r="D43" s="15"/>
      <c r="E43" s="15"/>
      <c r="F43" s="15"/>
      <c r="G43" s="73"/>
      <c r="H43" s="13" t="n">
        <f aca="false">132100000-131800000</f>
        <v>300000</v>
      </c>
      <c r="I43" s="4" t="n">
        <f aca="false">2639-2636</f>
        <v>3</v>
      </c>
      <c r="J43" s="4" t="n">
        <f aca="false">3417-3413</f>
        <v>4</v>
      </c>
      <c r="K43" s="15" t="n">
        <f aca="false">H43/I43</f>
        <v>100000</v>
      </c>
      <c r="L43" s="17" t="e">
        <f aca="false">K43/E43-1</f>
        <v>#DIV/0!</v>
      </c>
      <c r="M43" s="15" t="n">
        <f aca="false">H43/J43</f>
        <v>75000</v>
      </c>
      <c r="N43" s="17" t="n">
        <v>0</v>
      </c>
      <c r="O43" s="17" t="n">
        <f aca="false">I43/I49</f>
        <v>4.24460228076629E-005</v>
      </c>
      <c r="P43" s="76" t="str">
        <f aca="false">IFERROR(J43/D43,"")</f>
        <v/>
      </c>
      <c r="Q43" s="15" t="n">
        <f aca="false">S43*U43</f>
        <v>456101.159767221</v>
      </c>
      <c r="R43" s="17" t="str">
        <f aca="false">IFERROR(Q43/B43,"")</f>
        <v/>
      </c>
      <c r="S43" s="15" t="n">
        <f aca="false">X43*S49</f>
        <v>4.56101159767221</v>
      </c>
      <c r="T43" s="15" t="n">
        <f aca="false">S43*J43/I43</f>
        <v>6.08134879689628</v>
      </c>
      <c r="U43" s="15" t="n">
        <f aca="false">K43</f>
        <v>100000</v>
      </c>
      <c r="V43" s="17"/>
      <c r="W43" s="15" t="n">
        <f aca="false">Q43/T43</f>
        <v>75000</v>
      </c>
      <c r="X43" s="19" t="n">
        <f aca="false">O43</f>
        <v>4.24460228076629E-005</v>
      </c>
      <c r="Y43" s="75"/>
      <c r="Z43" s="31"/>
      <c r="AA43" s="39"/>
    </row>
    <row r="44" customFormat="false" ht="14.9" hidden="false" customHeight="false" outlineLevel="0" collapsed="false">
      <c r="A44" s="24" t="s">
        <v>22</v>
      </c>
      <c r="B44" s="15"/>
      <c r="C44" s="15" t="n">
        <f aca="false">C49-SUM(C38:C42)</f>
        <v>117287</v>
      </c>
      <c r="D44" s="15" t="n">
        <f aca="false">D49-SUM(D38:D42)</f>
        <v>144264</v>
      </c>
      <c r="E44" s="15"/>
      <c r="F44" s="15"/>
      <c r="G44" s="73" t="n">
        <f aca="false">C44/$C$49</f>
        <v>0.760798635210783</v>
      </c>
      <c r="H44" s="77"/>
      <c r="I44" s="15" t="n">
        <f aca="false">I49-SUM(I38:I43)</f>
        <v>54482</v>
      </c>
      <c r="J44" s="15" t="n">
        <f aca="false">J49-SUM(J38:J43)</f>
        <v>76327.6492647433</v>
      </c>
      <c r="K44" s="15"/>
      <c r="L44" s="15"/>
      <c r="M44" s="15"/>
      <c r="N44" s="15"/>
      <c r="O44" s="17" t="n">
        <f aca="false">I44/I49</f>
        <v>0.770848071535697</v>
      </c>
      <c r="P44" s="74" t="n">
        <f aca="false">J44/D44</f>
        <v>0.529083134148113</v>
      </c>
      <c r="Q44" s="15"/>
      <c r="R44" s="17"/>
      <c r="S44" s="15" t="n">
        <f aca="false">X44*S49</f>
        <v>82831.0112881258</v>
      </c>
      <c r="T44" s="15" t="n">
        <f aca="false">T49-SUM(T38:T43)</f>
        <v>115499.10762316</v>
      </c>
      <c r="U44" s="15"/>
      <c r="V44" s="15"/>
      <c r="W44" s="15"/>
      <c r="X44" s="19" t="n">
        <f aca="false">O44</f>
        <v>0.770848071535697</v>
      </c>
      <c r="Y44" s="75" t="n">
        <f aca="false">T44/D44</f>
        <v>0.800609352459105</v>
      </c>
      <c r="Z44" s="4"/>
      <c r="AA44" s="32"/>
    </row>
    <row r="45" customFormat="false" ht="13.8" hidden="false" customHeight="false" outlineLevel="0" collapsed="false">
      <c r="A45" s="24" t="s">
        <v>24</v>
      </c>
      <c r="B45" s="78" t="n">
        <v>524400000</v>
      </c>
      <c r="C45" s="15"/>
      <c r="D45" s="15"/>
      <c r="E45" s="15"/>
      <c r="F45" s="15"/>
      <c r="G45" s="79"/>
      <c r="H45" s="77" t="n">
        <v>584400000</v>
      </c>
      <c r="I45" s="15"/>
      <c r="J45" s="36"/>
      <c r="K45" s="15"/>
      <c r="L45" s="15"/>
      <c r="M45" s="15"/>
      <c r="N45" s="15"/>
      <c r="O45" s="19"/>
      <c r="P45" s="76"/>
      <c r="Q45" s="15" t="n">
        <f aca="false">H45</f>
        <v>584400000</v>
      </c>
      <c r="R45" s="17" t="n">
        <f aca="false">Q45/B45</f>
        <v>1.11441647597254</v>
      </c>
      <c r="S45" s="15"/>
      <c r="T45" s="36"/>
      <c r="U45" s="15"/>
      <c r="V45" s="15"/>
      <c r="W45" s="15"/>
      <c r="X45" s="15"/>
      <c r="Y45" s="75"/>
      <c r="Z45" s="34"/>
    </row>
    <row r="46" customFormat="false" ht="14.9" hidden="false" customHeight="false" outlineLevel="0" collapsed="false">
      <c r="A46" s="24" t="s">
        <v>25</v>
      </c>
      <c r="B46" s="80" t="n">
        <v>393116707</v>
      </c>
      <c r="C46" s="15"/>
      <c r="D46" s="34"/>
      <c r="E46" s="34"/>
      <c r="F46" s="15"/>
      <c r="G46" s="79"/>
      <c r="H46" s="77" t="n">
        <v>829400880</v>
      </c>
      <c r="I46" s="15"/>
      <c r="J46" s="36"/>
      <c r="K46" s="15"/>
      <c r="L46" s="15"/>
      <c r="M46" s="17"/>
      <c r="N46" s="15"/>
      <c r="O46" s="15"/>
      <c r="P46" s="76"/>
      <c r="Q46" s="15" t="n">
        <v>980000000</v>
      </c>
      <c r="R46" s="17" t="n">
        <f aca="false">Q46/B46</f>
        <v>2.492898374833</v>
      </c>
      <c r="S46" s="15"/>
      <c r="T46" s="36"/>
      <c r="U46" s="15"/>
      <c r="V46" s="15"/>
      <c r="W46" s="15"/>
      <c r="X46" s="15"/>
      <c r="Y46" s="75"/>
      <c r="Z46" s="51"/>
    </row>
    <row r="47" customFormat="false" ht="14.9" hidden="false" customHeight="false" outlineLevel="0" collapsed="false">
      <c r="A47" s="24" t="s">
        <v>39</v>
      </c>
      <c r="B47" s="80" t="n">
        <v>950000000</v>
      </c>
      <c r="C47" s="15"/>
      <c r="D47" s="34"/>
      <c r="E47" s="34"/>
      <c r="F47" s="15"/>
      <c r="G47" s="79"/>
      <c r="H47" s="77" t="n">
        <v>1000000000</v>
      </c>
      <c r="I47" s="15"/>
      <c r="J47" s="36"/>
      <c r="K47" s="15"/>
      <c r="L47" s="15"/>
      <c r="M47" s="17"/>
      <c r="N47" s="15"/>
      <c r="O47" s="15"/>
      <c r="P47" s="76"/>
      <c r="Q47" s="15" t="n">
        <f aca="false">H47</f>
        <v>1000000000</v>
      </c>
      <c r="R47" s="17" t="n">
        <f aca="false">Q47/B47</f>
        <v>1.05263157894737</v>
      </c>
      <c r="S47" s="15"/>
      <c r="T47" s="36"/>
      <c r="U47" s="15"/>
      <c r="V47" s="15"/>
      <c r="W47" s="15"/>
      <c r="X47" s="15"/>
      <c r="Y47" s="75"/>
      <c r="Z47" s="51"/>
    </row>
    <row r="48" customFormat="false" ht="14.9" hidden="false" customHeight="false" outlineLevel="0" collapsed="false">
      <c r="A48" s="24" t="s">
        <v>27</v>
      </c>
      <c r="B48" s="78" t="n">
        <v>60000000</v>
      </c>
      <c r="C48" s="15"/>
      <c r="D48" s="34"/>
      <c r="E48" s="34"/>
      <c r="F48" s="15"/>
      <c r="G48" s="79"/>
      <c r="H48" s="77"/>
      <c r="I48" s="15"/>
      <c r="J48" s="36"/>
      <c r="K48" s="15"/>
      <c r="L48" s="15"/>
      <c r="M48" s="17"/>
      <c r="N48" s="15"/>
      <c r="O48" s="15"/>
      <c r="P48" s="76"/>
      <c r="Q48" s="15" t="n">
        <v>0</v>
      </c>
      <c r="R48" s="17" t="n">
        <f aca="false">Q48/B48</f>
        <v>0</v>
      </c>
      <c r="S48" s="15"/>
      <c r="T48" s="36"/>
      <c r="U48" s="15"/>
      <c r="V48" s="15"/>
      <c r="W48" s="15"/>
      <c r="X48" s="15"/>
      <c r="Y48" s="75"/>
      <c r="Z48" s="51"/>
    </row>
    <row r="49" customFormat="false" ht="14.9" hidden="false" customHeight="false" outlineLevel="0" collapsed="false">
      <c r="A49" s="42" t="s">
        <v>30</v>
      </c>
      <c r="B49" s="81" t="n">
        <f aca="false">SUM(B38:B48)</f>
        <v>4992858273</v>
      </c>
      <c r="C49" s="81" t="n">
        <v>154163</v>
      </c>
      <c r="D49" s="81" t="n">
        <v>189621</v>
      </c>
      <c r="E49" s="81" t="n">
        <f aca="false">B49/C49</f>
        <v>32386.8779992605</v>
      </c>
      <c r="F49" s="81" t="n">
        <f aca="false">B49/D49</f>
        <v>26330.724302688</v>
      </c>
      <c r="G49" s="82" t="n">
        <f aca="false">SUM(G38:G48)</f>
        <v>1</v>
      </c>
      <c r="H49" s="83" t="n">
        <f aca="false">SUM(H38:H48)</f>
        <v>3151077240</v>
      </c>
      <c r="I49" s="84" t="n">
        <v>70678</v>
      </c>
      <c r="J49" s="84" t="n">
        <v>96916</v>
      </c>
      <c r="K49" s="84" t="n">
        <f aca="false">H49/I49</f>
        <v>44583.5654659158</v>
      </c>
      <c r="L49" s="85" t="n">
        <f aca="false">K49/E49-1</f>
        <v>0.376593491565746</v>
      </c>
      <c r="M49" s="84" t="n">
        <f aca="false">H49/J49</f>
        <v>32513.4883816914</v>
      </c>
      <c r="N49" s="85" t="n">
        <f aca="false">M49/F49-1</f>
        <v>0.234811773801915</v>
      </c>
      <c r="O49" s="86" t="n">
        <f aca="false">SUM(O38:O48)</f>
        <v>1</v>
      </c>
      <c r="P49" s="87" t="n">
        <f aca="false">J49/D49</f>
        <v>0.51110372796262</v>
      </c>
      <c r="Q49" s="81" t="n">
        <f aca="false">SUM(Q38:Q48)</f>
        <v>3846515563.47765</v>
      </c>
      <c r="R49" s="17" t="n">
        <f aca="false">Q49/B49</f>
        <v>0.770403515012342</v>
      </c>
      <c r="S49" s="81" t="n">
        <f aca="false">T49*I49/J49</f>
        <v>107454.392566759</v>
      </c>
      <c r="T49" s="81" t="n">
        <v>147345</v>
      </c>
      <c r="U49" s="81" t="n">
        <f aca="false">Q49/S49</f>
        <v>35796.7270727243</v>
      </c>
      <c r="V49" s="50" t="n">
        <f aca="false">U49/E49</f>
        <v>1.105284895739</v>
      </c>
      <c r="W49" s="81" t="n">
        <f aca="false">Q49/T49</f>
        <v>26105.5045198524</v>
      </c>
      <c r="X49" s="88" t="n">
        <v>1</v>
      </c>
      <c r="Y49" s="75" t="n">
        <f aca="false">T49/D49</f>
        <v>0.777050010283671</v>
      </c>
      <c r="Z49" s="31"/>
      <c r="AA49" s="55"/>
    </row>
    <row r="50" customFormat="false" ht="15.75" hidden="false" customHeight="true" outlineLevel="0" collapsed="false">
      <c r="A50" s="2" t="s">
        <v>43</v>
      </c>
      <c r="B50" s="53" t="s">
        <v>44</v>
      </c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4"/>
    </row>
    <row r="51" customFormat="false" ht="15.75" hidden="false" customHeight="true" outlineLevel="0" collapsed="false">
      <c r="A51" s="2"/>
      <c r="B51" s="89" t="s">
        <v>2</v>
      </c>
      <c r="C51" s="89"/>
      <c r="D51" s="89"/>
      <c r="E51" s="89"/>
      <c r="F51" s="89"/>
      <c r="G51" s="89"/>
      <c r="H51" s="54" t="s">
        <v>42</v>
      </c>
      <c r="I51" s="54"/>
      <c r="J51" s="54"/>
      <c r="K51" s="54"/>
      <c r="L51" s="54"/>
      <c r="M51" s="54"/>
      <c r="N51" s="54"/>
      <c r="O51" s="54"/>
      <c r="P51" s="54"/>
      <c r="Q51" s="5" t="s">
        <v>4</v>
      </c>
      <c r="R51" s="5"/>
      <c r="S51" s="5"/>
      <c r="T51" s="5"/>
      <c r="U51" s="5"/>
      <c r="V51" s="5"/>
      <c r="W51" s="5"/>
      <c r="X51" s="5"/>
      <c r="Y51" s="5"/>
      <c r="Z51" s="4"/>
    </row>
    <row r="52" customFormat="false" ht="13.8" hidden="false" customHeight="false" outlineLevel="0" collapsed="false">
      <c r="A52" s="2"/>
      <c r="B52" s="90" t="s">
        <v>5</v>
      </c>
      <c r="C52" s="91" t="s">
        <v>6</v>
      </c>
      <c r="D52" s="91" t="s">
        <v>33</v>
      </c>
      <c r="E52" s="91" t="s">
        <v>8</v>
      </c>
      <c r="F52" s="91" t="s">
        <v>34</v>
      </c>
      <c r="G52" s="91" t="s">
        <v>10</v>
      </c>
      <c r="H52" s="56" t="s">
        <v>5</v>
      </c>
      <c r="I52" s="57" t="s">
        <v>6</v>
      </c>
      <c r="J52" s="57" t="s">
        <v>33</v>
      </c>
      <c r="K52" s="57" t="s">
        <v>8</v>
      </c>
      <c r="L52" s="57" t="s">
        <v>11</v>
      </c>
      <c r="M52" s="57" t="s">
        <v>34</v>
      </c>
      <c r="N52" s="57" t="s">
        <v>35</v>
      </c>
      <c r="O52" s="57" t="s">
        <v>10</v>
      </c>
      <c r="P52" s="58" t="s">
        <v>36</v>
      </c>
      <c r="Q52" s="57" t="s">
        <v>5</v>
      </c>
      <c r="R52" s="57" t="s">
        <v>14</v>
      </c>
      <c r="S52" s="57" t="s">
        <v>6</v>
      </c>
      <c r="T52" s="57" t="s">
        <v>33</v>
      </c>
      <c r="U52" s="57" t="s">
        <v>8</v>
      </c>
      <c r="V52" s="57" t="s">
        <v>11</v>
      </c>
      <c r="W52" s="57" t="s">
        <v>34</v>
      </c>
      <c r="X52" s="57" t="s">
        <v>10</v>
      </c>
      <c r="Y52" s="72" t="s">
        <v>36</v>
      </c>
      <c r="Z52" s="4"/>
    </row>
    <row r="53" customFormat="false" ht="14.9" hidden="false" customHeight="false" outlineLevel="0" collapsed="false">
      <c r="A53" s="92" t="s">
        <v>37</v>
      </c>
      <c r="B53" s="15" t="n">
        <f aca="false">C53*E53</f>
        <v>564575000</v>
      </c>
      <c r="C53" s="15" t="n">
        <v>250</v>
      </c>
      <c r="D53" s="15" t="n">
        <v>395</v>
      </c>
      <c r="E53" s="25" t="n">
        <v>2258300</v>
      </c>
      <c r="F53" s="15" t="n">
        <f aca="false">B53/D53</f>
        <v>1429303.79746835</v>
      </c>
      <c r="G53" s="73" t="n">
        <f aca="false">C53/$C$64</f>
        <v>0.0309252845126175</v>
      </c>
      <c r="H53" s="13" t="n">
        <v>0</v>
      </c>
      <c r="I53" s="15" t="n">
        <v>0</v>
      </c>
      <c r="J53" s="15" t="n">
        <v>0</v>
      </c>
      <c r="K53" s="15" t="n">
        <f aca="false">IFERROR(H53/I53,0)</f>
        <v>0</v>
      </c>
      <c r="L53" s="17" t="n">
        <f aca="false">K53/E53-1</f>
        <v>-1</v>
      </c>
      <c r="M53" s="15" t="n">
        <f aca="false">IFERROR(H53/J53,0)</f>
        <v>0</v>
      </c>
      <c r="N53" s="17" t="n">
        <f aca="false">M53/F53-1</f>
        <v>-1</v>
      </c>
      <c r="O53" s="17" t="n">
        <f aca="false">I53/$I$64</f>
        <v>0</v>
      </c>
      <c r="P53" s="74" t="n">
        <f aca="false">J53/D53</f>
        <v>0</v>
      </c>
      <c r="Q53" s="15" t="n">
        <f aca="false">S53*U53</f>
        <v>0</v>
      </c>
      <c r="R53" s="17" t="n">
        <f aca="false">Q53/B53</f>
        <v>0</v>
      </c>
      <c r="S53" s="15" t="n">
        <v>0</v>
      </c>
      <c r="T53" s="15" t="n">
        <v>0</v>
      </c>
      <c r="U53" s="15" t="n">
        <f aca="false">K53</f>
        <v>0</v>
      </c>
      <c r="V53" s="17" t="n">
        <f aca="false">U53/E53-1</f>
        <v>-1</v>
      </c>
      <c r="W53" s="15" t="n">
        <f aca="false">IFERROR(Q53/T53,0)</f>
        <v>0</v>
      </c>
      <c r="X53" s="19" t="n">
        <f aca="false">S53/S64</f>
        <v>0</v>
      </c>
      <c r="Y53" s="75" t="n">
        <f aca="false">T53/D53</f>
        <v>0</v>
      </c>
      <c r="Z53" s="15"/>
    </row>
    <row r="54" customFormat="false" ht="14.9" hidden="false" customHeight="false" outlineLevel="0" collapsed="false">
      <c r="A54" s="92" t="s">
        <v>45</v>
      </c>
      <c r="B54" s="15" t="n">
        <f aca="false">C54*E54</f>
        <v>585000000</v>
      </c>
      <c r="C54" s="15" t="n">
        <v>650</v>
      </c>
      <c r="D54" s="15" t="n">
        <v>1027</v>
      </c>
      <c r="E54" s="25" t="n">
        <v>900000</v>
      </c>
      <c r="F54" s="15" t="n">
        <f aca="false">B54/D54</f>
        <v>569620.253164557</v>
      </c>
      <c r="G54" s="73" t="n">
        <f aca="false">C54/$C$64</f>
        <v>0.0804057397328055</v>
      </c>
      <c r="H54" s="13" t="n">
        <v>132300000</v>
      </c>
      <c r="I54" s="15" t="n">
        <v>147</v>
      </c>
      <c r="J54" s="15" t="n">
        <v>200</v>
      </c>
      <c r="K54" s="15" t="n">
        <f aca="false">IFERROR(H54/I54,0)</f>
        <v>900000</v>
      </c>
      <c r="L54" s="17" t="n">
        <f aca="false">K54/E54-1</f>
        <v>0</v>
      </c>
      <c r="M54" s="15" t="n">
        <f aca="false">IFERROR(H54/J54,0)</f>
        <v>661500</v>
      </c>
      <c r="N54" s="17" t="n">
        <f aca="false">M54/F54-1</f>
        <v>0.1613</v>
      </c>
      <c r="O54" s="17" t="n">
        <f aca="false">I54/$I$64</f>
        <v>0.0298537774167344</v>
      </c>
      <c r="P54" s="74" t="n">
        <f aca="false">J54/D54</f>
        <v>0.194741966893866</v>
      </c>
      <c r="Q54" s="15" t="n">
        <f aca="false">S54*U54</f>
        <v>196999443.090846</v>
      </c>
      <c r="R54" s="17" t="n">
        <f aca="false">Q54/B54</f>
        <v>0.336751184770677</v>
      </c>
      <c r="S54" s="15" t="n">
        <f aca="false">X54*$S$64</f>
        <v>218.88827010094</v>
      </c>
      <c r="T54" s="15" t="n">
        <f aca="false">S54*J54/I54</f>
        <v>297.80717020536</v>
      </c>
      <c r="U54" s="15" t="n">
        <f aca="false">K54</f>
        <v>900000</v>
      </c>
      <c r="V54" s="17" t="n">
        <f aca="false">U54/E54-1</f>
        <v>0</v>
      </c>
      <c r="W54" s="15" t="n">
        <f aca="false">IFERROR(Q54/T54,0)</f>
        <v>661500</v>
      </c>
      <c r="X54" s="19" t="n">
        <f aca="false">O54</f>
        <v>0.0298537774167344</v>
      </c>
      <c r="Y54" s="75" t="n">
        <f aca="false">T54/D54</f>
        <v>0.28997777040444</v>
      </c>
      <c r="Z54" s="15"/>
    </row>
    <row r="55" customFormat="false" ht="14.9" hidden="false" customHeight="false" outlineLevel="0" collapsed="false">
      <c r="A55" s="92" t="s">
        <v>17</v>
      </c>
      <c r="B55" s="15" t="n">
        <f aca="false">C55*E55</f>
        <v>630000000</v>
      </c>
      <c r="C55" s="15" t="n">
        <v>700</v>
      </c>
      <c r="D55" s="15" t="n">
        <v>1106</v>
      </c>
      <c r="E55" s="25" t="n">
        <v>900000</v>
      </c>
      <c r="F55" s="15" t="n">
        <f aca="false">B55/D55</f>
        <v>569620.253164557</v>
      </c>
      <c r="G55" s="73" t="n">
        <f aca="false">C55/$C$64</f>
        <v>0.0865907966353291</v>
      </c>
      <c r="H55" s="13" t="n">
        <v>93800000</v>
      </c>
      <c r="I55" s="15" t="n">
        <v>130</v>
      </c>
      <c r="J55" s="15" t="n">
        <v>224</v>
      </c>
      <c r="K55" s="15" t="n">
        <f aca="false">IFERROR(H55/I55,0)</f>
        <v>721538.461538462</v>
      </c>
      <c r="L55" s="17" t="n">
        <f aca="false">K55/E55-1</f>
        <v>-0.198290598290598</v>
      </c>
      <c r="M55" s="15" t="n">
        <f aca="false">IFERROR(H55/J55,0)</f>
        <v>418750</v>
      </c>
      <c r="N55" s="17" t="n">
        <f aca="false">M55/F55-1</f>
        <v>-0.264861111111111</v>
      </c>
      <c r="O55" s="17" t="n">
        <f aca="false">I55/$I$64</f>
        <v>0.0264012997562957</v>
      </c>
      <c r="P55" s="74" t="n">
        <f aca="false">J55/D55</f>
        <v>0.20253164556962</v>
      </c>
      <c r="Q55" s="15" t="n">
        <f aca="false">S55*U55</f>
        <v>139671562.826314</v>
      </c>
      <c r="R55" s="17" t="n">
        <f aca="false">Q55/B55</f>
        <v>0.221700893375102</v>
      </c>
      <c r="S55" s="15" t="n">
        <f aca="false">X55*$S$64</f>
        <v>193.574660633484</v>
      </c>
      <c r="T55" s="15" t="n">
        <f aca="false">S55*J55/I55</f>
        <v>333.544030630004</v>
      </c>
      <c r="U55" s="15" t="n">
        <f aca="false">K55</f>
        <v>721538.461538462</v>
      </c>
      <c r="V55" s="17" t="n">
        <f aca="false">U55/E55-1</f>
        <v>-0.198290598290598</v>
      </c>
      <c r="W55" s="15" t="n">
        <f aca="false">IFERROR(Q55/T55,0)</f>
        <v>418750</v>
      </c>
      <c r="X55" s="19" t="n">
        <f aca="false">O55</f>
        <v>0.0264012997562957</v>
      </c>
      <c r="Y55" s="75" t="n">
        <f aca="false">T55/D55</f>
        <v>0.301576881220618</v>
      </c>
      <c r="Z55" s="15"/>
    </row>
    <row r="56" customFormat="false" ht="14.9" hidden="false" customHeight="false" outlineLevel="0" collapsed="false">
      <c r="A56" s="92" t="s">
        <v>46</v>
      </c>
      <c r="B56" s="15" t="n">
        <f aca="false">C56*E56</f>
        <v>1729000000</v>
      </c>
      <c r="C56" s="15" t="n">
        <v>1330</v>
      </c>
      <c r="D56" s="15" t="n">
        <v>2101</v>
      </c>
      <c r="E56" s="25" t="n">
        <v>1300000</v>
      </c>
      <c r="F56" s="15" t="n">
        <f aca="false">B56/D56</f>
        <v>822941.45644931</v>
      </c>
      <c r="G56" s="73" t="n">
        <f aca="false">C56/$C$64</f>
        <v>0.164522513607125</v>
      </c>
      <c r="H56" s="13" t="n">
        <v>1184100000</v>
      </c>
      <c r="I56" s="15" t="n">
        <v>1249</v>
      </c>
      <c r="J56" s="15" t="n">
        <v>2068</v>
      </c>
      <c r="K56" s="15" t="n">
        <f aca="false">IFERROR(H56/I56,0)</f>
        <v>948038.430744596</v>
      </c>
      <c r="L56" s="17" t="n">
        <f aca="false">K56/E56-1</f>
        <v>-0.270739668658003</v>
      </c>
      <c r="M56" s="15" t="n">
        <f aca="false">IFERROR(H56/J56,0)</f>
        <v>572582.205029014</v>
      </c>
      <c r="N56" s="17" t="n">
        <f aca="false">M56/F56-1</f>
        <v>-0.304224862483541</v>
      </c>
      <c r="O56" s="17" t="n">
        <f aca="false">I56/$I$64</f>
        <v>0.253655564581641</v>
      </c>
      <c r="P56" s="74" t="n">
        <f aca="false">J56/D56</f>
        <v>0.984293193717278</v>
      </c>
      <c r="Q56" s="15" t="n">
        <f aca="false">S56*U56</f>
        <v>1260891112.89031</v>
      </c>
      <c r="R56" s="17" t="n">
        <f aca="false">Q56/B56</f>
        <v>0.729260331341997</v>
      </c>
      <c r="S56" s="15" t="n">
        <f aca="false">C56</f>
        <v>1330</v>
      </c>
      <c r="T56" s="15" t="n">
        <f aca="false">S56*J56/I56</f>
        <v>2202.11369095276</v>
      </c>
      <c r="U56" s="15" t="n">
        <f aca="false">K56</f>
        <v>948038.430744596</v>
      </c>
      <c r="V56" s="17" t="n">
        <f aca="false">U56/E56-1</f>
        <v>-0.270739668658003</v>
      </c>
      <c r="W56" s="15" t="n">
        <f aca="false">IFERROR(Q56/T56,0)</f>
        <v>572582.205029014</v>
      </c>
      <c r="X56" s="19" t="n">
        <f aca="false">S56/S64</f>
        <v>0.181396307558859</v>
      </c>
      <c r="Y56" s="75" t="n">
        <f aca="false">T56/D56</f>
        <v>1.04812645928261</v>
      </c>
      <c r="Z56" s="15"/>
    </row>
    <row r="57" customFormat="false" ht="14.9" hidden="false" customHeight="false" outlineLevel="0" collapsed="false">
      <c r="A57" s="92" t="s">
        <v>47</v>
      </c>
      <c r="B57" s="15" t="n">
        <f aca="false">C57*E57</f>
        <v>135000000</v>
      </c>
      <c r="C57" s="15" t="n">
        <v>135</v>
      </c>
      <c r="D57" s="15" t="n">
        <v>213</v>
      </c>
      <c r="E57" s="25" t="n">
        <v>1000000</v>
      </c>
      <c r="F57" s="15" t="n">
        <f aca="false">B57/D57</f>
        <v>633802.816901409</v>
      </c>
      <c r="G57" s="73" t="n">
        <f aca="false">C57/$C$64</f>
        <v>0.0166996536368135</v>
      </c>
      <c r="H57" s="13" t="n">
        <v>53891579.5</v>
      </c>
      <c r="I57" s="15" t="n">
        <v>48</v>
      </c>
      <c r="J57" s="15" t="n">
        <v>80</v>
      </c>
      <c r="K57" s="15" t="n">
        <f aca="false">IFERROR(H57/I57,0)</f>
        <v>1122741.23958333</v>
      </c>
      <c r="L57" s="17" t="n">
        <f aca="false">K57/E57-1</f>
        <v>0.122741239583333</v>
      </c>
      <c r="M57" s="15" t="n">
        <f aca="false">IFERROR(H57/J57,0)</f>
        <v>673644.74375</v>
      </c>
      <c r="N57" s="17" t="n">
        <f aca="false">M57/F57-1</f>
        <v>0.0628617068055548</v>
      </c>
      <c r="O57" s="17" t="n">
        <f aca="false">I57/$I$64</f>
        <v>0.00974817221770918</v>
      </c>
      <c r="P57" s="74" t="n">
        <f aca="false">J57/D57</f>
        <v>0.375586854460094</v>
      </c>
      <c r="Q57" s="15" t="n">
        <f aca="false">S57*U57</f>
        <v>80246493.9439608</v>
      </c>
      <c r="R57" s="17" t="n">
        <f aca="false">Q57/B57</f>
        <v>0.594418473658969</v>
      </c>
      <c r="S57" s="15" t="n">
        <f aca="false">X57*$S$64</f>
        <v>71.4737208492865</v>
      </c>
      <c r="T57" s="15" t="n">
        <f aca="false">S57*J57/I57</f>
        <v>119.122868082144</v>
      </c>
      <c r="U57" s="15" t="n">
        <f aca="false">K57</f>
        <v>1122741.23958333</v>
      </c>
      <c r="V57" s="17" t="n">
        <f aca="false">U57/E57-1</f>
        <v>0.122741239583333</v>
      </c>
      <c r="W57" s="15" t="n">
        <f aca="false">IFERROR(Q57/T57,0)</f>
        <v>673644.743749998</v>
      </c>
      <c r="X57" s="19" t="n">
        <f aca="false">O57</f>
        <v>0.00974817221770918</v>
      </c>
      <c r="Y57" s="75" t="n">
        <f aca="false">T57/D57</f>
        <v>0.559262291465465</v>
      </c>
      <c r="Z57" s="15"/>
    </row>
    <row r="58" customFormat="false" ht="13.8" hidden="false" customHeight="false" outlineLevel="0" collapsed="false">
      <c r="A58" s="92" t="s">
        <v>38</v>
      </c>
      <c r="B58" s="15"/>
      <c r="C58" s="15"/>
      <c r="D58" s="15"/>
      <c r="E58" s="25"/>
      <c r="F58" s="15"/>
      <c r="G58" s="73"/>
      <c r="H58" s="13" t="n">
        <v>463300000</v>
      </c>
      <c r="I58" s="15" t="n">
        <v>446</v>
      </c>
      <c r="J58" s="15" t="n">
        <v>666</v>
      </c>
      <c r="K58" s="15" t="n">
        <f aca="false">IFERROR(H58/I58,0)</f>
        <v>1038789.23766816</v>
      </c>
      <c r="L58" s="17" t="str">
        <f aca="false">IFERROR(K58/E58-1,"")</f>
        <v/>
      </c>
      <c r="M58" s="15" t="n">
        <f aca="false">IFERROR(H58/J58,0)</f>
        <v>695645.645645646</v>
      </c>
      <c r="N58" s="17" t="str">
        <f aca="false">IFERROR(M58/F58-1,"")</f>
        <v/>
      </c>
      <c r="O58" s="17" t="n">
        <f aca="false">I58/$I$64</f>
        <v>0.0905767668562145</v>
      </c>
      <c r="P58" s="74" t="str">
        <f aca="false">IFERROR(J58/D58, "")</f>
        <v/>
      </c>
      <c r="Q58" s="15" t="n">
        <f aca="false">S58*U58</f>
        <v>609313256.56686</v>
      </c>
      <c r="R58" s="17"/>
      <c r="S58" s="15" t="n">
        <f aca="false">X58*$S$64</f>
        <v>586.561002436478</v>
      </c>
      <c r="T58" s="15" t="n">
        <f aca="false">S58*J58/I58</f>
        <v>875.896026059852</v>
      </c>
      <c r="U58" s="15" t="n">
        <f aca="false">K58</f>
        <v>1038789.23766816</v>
      </c>
      <c r="V58" s="17"/>
      <c r="W58" s="15" t="n">
        <f aca="false">IFERROR(Q58/T58,0)</f>
        <v>695645.645645645</v>
      </c>
      <c r="X58" s="19" t="n">
        <v>0.08</v>
      </c>
      <c r="Y58" s="75"/>
      <c r="Z58" s="15"/>
    </row>
    <row r="59" customFormat="false" ht="13.8" hidden="false" customHeight="false" outlineLevel="0" collapsed="false">
      <c r="A59" s="93" t="s">
        <v>25</v>
      </c>
      <c r="B59" s="15" t="n">
        <v>639296200</v>
      </c>
      <c r="C59" s="15"/>
      <c r="D59" s="15"/>
      <c r="E59" s="25"/>
      <c r="F59" s="15"/>
      <c r="G59" s="73"/>
      <c r="H59" s="13" t="n">
        <v>556821960</v>
      </c>
      <c r="I59" s="15"/>
      <c r="J59" s="15"/>
      <c r="K59" s="15"/>
      <c r="L59" s="17"/>
      <c r="M59" s="15"/>
      <c r="N59" s="17"/>
      <c r="O59" s="17"/>
      <c r="P59" s="76"/>
      <c r="Q59" s="15" t="n">
        <f aca="false">H59+1500000</f>
        <v>558321960</v>
      </c>
      <c r="R59" s="17" t="n">
        <f aca="false">Q59/B59</f>
        <v>0.87333846188981</v>
      </c>
      <c r="S59" s="15"/>
      <c r="T59" s="15"/>
      <c r="U59" s="15"/>
      <c r="V59" s="17"/>
      <c r="W59" s="15"/>
      <c r="X59" s="19"/>
      <c r="Y59" s="75"/>
      <c r="Z59" s="15"/>
    </row>
    <row r="60" customFormat="false" ht="13.8" hidden="false" customHeight="false" outlineLevel="0" collapsed="false">
      <c r="A60" s="93" t="s">
        <v>27</v>
      </c>
      <c r="B60" s="15" t="n">
        <v>60000000</v>
      </c>
      <c r="C60" s="15"/>
      <c r="D60" s="15"/>
      <c r="E60" s="25"/>
      <c r="F60" s="15"/>
      <c r="G60" s="73"/>
      <c r="H60" s="13"/>
      <c r="I60" s="15"/>
      <c r="J60" s="15"/>
      <c r="K60" s="15"/>
      <c r="L60" s="17"/>
      <c r="M60" s="15"/>
      <c r="N60" s="17"/>
      <c r="O60" s="17"/>
      <c r="P60" s="76"/>
      <c r="Q60" s="15" t="n">
        <f aca="false">B60</f>
        <v>60000000</v>
      </c>
      <c r="R60" s="17" t="n">
        <f aca="false">Q60/B60</f>
        <v>1</v>
      </c>
      <c r="S60" s="15"/>
      <c r="T60" s="15"/>
      <c r="U60" s="15"/>
      <c r="V60" s="17"/>
      <c r="W60" s="15"/>
      <c r="X60" s="19"/>
      <c r="Y60" s="75"/>
      <c r="Z60" s="15"/>
    </row>
    <row r="61" customFormat="false" ht="13.8" hidden="false" customHeight="false" outlineLevel="0" collapsed="false">
      <c r="A61" s="92" t="s">
        <v>24</v>
      </c>
      <c r="B61" s="15" t="n">
        <v>660000000</v>
      </c>
      <c r="C61" s="15"/>
      <c r="D61" s="15"/>
      <c r="E61" s="25"/>
      <c r="F61" s="15"/>
      <c r="G61" s="73"/>
      <c r="H61" s="13" t="n">
        <v>720000000</v>
      </c>
      <c r="I61" s="15"/>
      <c r="J61" s="15"/>
      <c r="K61" s="15"/>
      <c r="L61" s="17"/>
      <c r="M61" s="15"/>
      <c r="N61" s="17"/>
      <c r="O61" s="17"/>
      <c r="P61" s="76"/>
      <c r="Q61" s="15" t="n">
        <f aca="false">H61</f>
        <v>720000000</v>
      </c>
      <c r="R61" s="17" t="n">
        <f aca="false">Q61/B61</f>
        <v>1.09090909090909</v>
      </c>
      <c r="S61" s="15"/>
      <c r="T61" s="15"/>
      <c r="U61" s="15"/>
      <c r="V61" s="17"/>
      <c r="W61" s="15"/>
      <c r="X61" s="19"/>
      <c r="Y61" s="75"/>
      <c r="Z61" s="15"/>
    </row>
    <row r="62" customFormat="false" ht="13.8" hidden="false" customHeight="false" outlineLevel="0" collapsed="false">
      <c r="A62" s="93" t="s">
        <v>39</v>
      </c>
      <c r="B62" s="15" t="n">
        <v>90000000</v>
      </c>
      <c r="C62" s="15"/>
      <c r="D62" s="15"/>
      <c r="E62" s="25"/>
      <c r="F62" s="15"/>
      <c r="G62" s="73"/>
      <c r="H62" s="13" t="n">
        <v>90000000</v>
      </c>
      <c r="I62" s="15"/>
      <c r="J62" s="15"/>
      <c r="K62" s="15"/>
      <c r="L62" s="17"/>
      <c r="M62" s="15"/>
      <c r="N62" s="17"/>
      <c r="O62" s="17"/>
      <c r="P62" s="76"/>
      <c r="Q62" s="15" t="n">
        <f aca="false">B62</f>
        <v>90000000</v>
      </c>
      <c r="R62" s="17" t="n">
        <f aca="false">Q62/B62</f>
        <v>1</v>
      </c>
      <c r="S62" s="15"/>
      <c r="T62" s="15"/>
      <c r="U62" s="15"/>
      <c r="V62" s="17"/>
      <c r="W62" s="15"/>
      <c r="X62" s="19"/>
      <c r="Y62" s="75"/>
      <c r="Z62" s="15"/>
    </row>
    <row r="63" customFormat="false" ht="14.9" hidden="false" customHeight="false" outlineLevel="0" collapsed="false">
      <c r="A63" s="93" t="s">
        <v>22</v>
      </c>
      <c r="B63" s="15"/>
      <c r="C63" s="25" t="n">
        <v>5019</v>
      </c>
      <c r="D63" s="25" t="n">
        <v>7930</v>
      </c>
      <c r="E63" s="15"/>
      <c r="F63" s="15"/>
      <c r="G63" s="73" t="n">
        <f aca="false">C63/C64</f>
        <v>0.620856011875309</v>
      </c>
      <c r="H63" s="13"/>
      <c r="I63" s="15" t="n">
        <f aca="false">I64-SUM(I54:I58)</f>
        <v>2904</v>
      </c>
      <c r="J63" s="15" t="n">
        <f aca="false">J64-SUM(J54:J58)</f>
        <v>5381</v>
      </c>
      <c r="K63" s="15"/>
      <c r="L63" s="17"/>
      <c r="M63" s="15"/>
      <c r="N63" s="17"/>
      <c r="O63" s="17" t="n">
        <f aca="false">I63/$I$64</f>
        <v>0.589764419171405</v>
      </c>
      <c r="P63" s="74" t="n">
        <f aca="false">J63/D63</f>
        <v>0.678562421185372</v>
      </c>
      <c r="Q63" s="15" t="n">
        <f aca="false">B63</f>
        <v>0</v>
      </c>
      <c r="R63" s="17"/>
      <c r="S63" s="15" t="n">
        <f aca="false">S64-SUM(S53:S58)</f>
        <v>4931.51487643578</v>
      </c>
      <c r="T63" s="15" t="n">
        <f aca="false">T64-SUM(T53:T58)</f>
        <v>9005.51621406988</v>
      </c>
      <c r="U63" s="15"/>
      <c r="V63" s="17"/>
      <c r="W63" s="15"/>
      <c r="X63" s="19" t="n">
        <f aca="false">S63/S64</f>
        <v>0.672600443050402</v>
      </c>
      <c r="Y63" s="75" t="n">
        <f aca="false">T63/D63</f>
        <v>1.13562625650314</v>
      </c>
      <c r="Z63" s="31"/>
    </row>
    <row r="64" customFormat="false" ht="14.9" hidden="false" customHeight="false" outlineLevel="0" collapsed="false">
      <c r="A64" s="94" t="s">
        <v>30</v>
      </c>
      <c r="B64" s="95" t="n">
        <f aca="false">SUM(B53:B63)</f>
        <v>5092871200</v>
      </c>
      <c r="C64" s="95" t="n">
        <v>8084</v>
      </c>
      <c r="D64" s="95" t="n">
        <v>12773</v>
      </c>
      <c r="E64" s="95" t="n">
        <f aca="false">B64/C64</f>
        <v>629993.963384463</v>
      </c>
      <c r="F64" s="95" t="n">
        <f aca="false">B64/D64</f>
        <v>398721.615908557</v>
      </c>
      <c r="G64" s="96" t="n">
        <f aca="false">SUM(G53:G63)</f>
        <v>1</v>
      </c>
      <c r="H64" s="97" t="n">
        <f aca="false">SUM(H53:H63)</f>
        <v>3294213539.5</v>
      </c>
      <c r="I64" s="81" t="n">
        <v>4924</v>
      </c>
      <c r="J64" s="81" t="n">
        <v>8619</v>
      </c>
      <c r="K64" s="81" t="n">
        <f aca="false">H64/I64</f>
        <v>669011.685519903</v>
      </c>
      <c r="L64" s="67" t="n">
        <f aca="false">K64/E64-1</f>
        <v>0.0619334857207645</v>
      </c>
      <c r="M64" s="81" t="n">
        <f aca="false">H64/J64</f>
        <v>382203.682503771</v>
      </c>
      <c r="N64" s="67" t="n">
        <f aca="false">M64/F64-1</f>
        <v>-0.0414272333019801</v>
      </c>
      <c r="O64" s="88" t="n">
        <f aca="false">I64/I64</f>
        <v>1</v>
      </c>
      <c r="P64" s="74" t="n">
        <f aca="false">J64/D64</f>
        <v>0.674782744852423</v>
      </c>
      <c r="Q64" s="81" t="n">
        <f aca="false">SUM(Q53:Q63)</f>
        <v>3715443829.31829</v>
      </c>
      <c r="R64" s="17" t="n">
        <f aca="false">Q64/B64</f>
        <v>0.729538149191421</v>
      </c>
      <c r="S64" s="81" t="n">
        <f aca="false">T64*I64/J64</f>
        <v>7332.01253045597</v>
      </c>
      <c r="T64" s="81" t="n">
        <v>12834</v>
      </c>
      <c r="U64" s="81" t="n">
        <f aca="false">Q64/S64</f>
        <v>506742.700436606</v>
      </c>
      <c r="V64" s="50" t="n">
        <f aca="false">U64/E64</f>
        <v>0.804361200088768</v>
      </c>
      <c r="W64" s="81" t="n">
        <f aca="false">Q64/T64</f>
        <v>289500.064618848</v>
      </c>
      <c r="X64" s="88" t="n">
        <v>1</v>
      </c>
      <c r="Y64" s="75" t="n">
        <f aca="false">T64/D64</f>
        <v>1.00477569873953</v>
      </c>
      <c r="Z64" s="31"/>
      <c r="AA64" s="52"/>
    </row>
    <row r="65" customFormat="false" ht="13.8" hidden="false" customHeight="false" outlineLevel="0" collapsed="false">
      <c r="A65" s="2" t="s">
        <v>48</v>
      </c>
      <c r="B65" s="53" t="s">
        <v>49</v>
      </c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4"/>
    </row>
    <row r="66" customFormat="false" ht="13.8" hidden="false" customHeight="false" outlineLevel="0" collapsed="false">
      <c r="A66" s="2"/>
      <c r="B66" s="98" t="s">
        <v>2</v>
      </c>
      <c r="C66" s="98"/>
      <c r="D66" s="98"/>
      <c r="E66" s="98"/>
      <c r="F66" s="98"/>
      <c r="G66" s="98"/>
      <c r="H66" s="54" t="s">
        <v>42</v>
      </c>
      <c r="I66" s="54"/>
      <c r="J66" s="54"/>
      <c r="K66" s="54"/>
      <c r="L66" s="54"/>
      <c r="M66" s="54"/>
      <c r="N66" s="54"/>
      <c r="O66" s="54"/>
      <c r="P66" s="54"/>
      <c r="Q66" s="99" t="s">
        <v>4</v>
      </c>
      <c r="R66" s="99"/>
      <c r="S66" s="99"/>
      <c r="T66" s="99"/>
      <c r="U66" s="99"/>
      <c r="V66" s="99"/>
      <c r="W66" s="99"/>
      <c r="X66" s="99"/>
      <c r="Y66" s="99"/>
      <c r="Z66" s="4"/>
    </row>
    <row r="67" customFormat="false" ht="13.8" hidden="false" customHeight="false" outlineLevel="0" collapsed="false">
      <c r="A67" s="2"/>
      <c r="B67" s="90" t="s">
        <v>5</v>
      </c>
      <c r="C67" s="91" t="s">
        <v>6</v>
      </c>
      <c r="D67" s="91" t="s">
        <v>7</v>
      </c>
      <c r="E67" s="91" t="s">
        <v>8</v>
      </c>
      <c r="F67" s="91" t="s">
        <v>9</v>
      </c>
      <c r="G67" s="91" t="s">
        <v>10</v>
      </c>
      <c r="H67" s="100" t="s">
        <v>5</v>
      </c>
      <c r="I67" s="57" t="s">
        <v>6</v>
      </c>
      <c r="J67" s="57" t="s">
        <v>7</v>
      </c>
      <c r="K67" s="57" t="s">
        <v>8</v>
      </c>
      <c r="L67" s="57" t="s">
        <v>11</v>
      </c>
      <c r="M67" s="57" t="s">
        <v>9</v>
      </c>
      <c r="N67" s="57" t="s">
        <v>12</v>
      </c>
      <c r="O67" s="57" t="s">
        <v>10</v>
      </c>
      <c r="P67" s="101" t="s">
        <v>50</v>
      </c>
      <c r="Q67" s="57" t="s">
        <v>5</v>
      </c>
      <c r="R67" s="57" t="s">
        <v>14</v>
      </c>
      <c r="S67" s="57" t="s">
        <v>6</v>
      </c>
      <c r="T67" s="57" t="s">
        <v>7</v>
      </c>
      <c r="U67" s="57" t="s">
        <v>8</v>
      </c>
      <c r="V67" s="57" t="s">
        <v>11</v>
      </c>
      <c r="W67" s="57" t="s">
        <v>9</v>
      </c>
      <c r="X67" s="57" t="s">
        <v>10</v>
      </c>
      <c r="Y67" s="58" t="s">
        <v>50</v>
      </c>
      <c r="Z67" s="4"/>
    </row>
    <row r="68" customFormat="false" ht="13.8" hidden="false" customHeight="false" outlineLevel="0" collapsed="false">
      <c r="A68" s="12" t="s">
        <v>15</v>
      </c>
      <c r="B68" s="15"/>
      <c r="C68" s="15"/>
      <c r="D68" s="15"/>
      <c r="E68" s="15"/>
      <c r="F68" s="15" t="str">
        <f aca="false">IFERROR(B68/D68, "")</f>
        <v/>
      </c>
      <c r="G68" s="73" t="n">
        <f aca="false">C68/$C$73</f>
        <v>0</v>
      </c>
      <c r="H68" s="77"/>
      <c r="I68" s="4"/>
      <c r="J68" s="102"/>
      <c r="K68" s="15" t="n">
        <v>0</v>
      </c>
      <c r="L68" s="17" t="str">
        <f aca="false">IFERROR(K68/E68-1,"")</f>
        <v/>
      </c>
      <c r="M68" s="15" t="n">
        <v>0</v>
      </c>
      <c r="N68" s="17" t="str">
        <f aca="false">IFERROR(M68/F68-1,"")</f>
        <v/>
      </c>
      <c r="O68" s="17" t="n">
        <f aca="false">I68/I73</f>
        <v>0</v>
      </c>
      <c r="P68" s="76" t="str">
        <f aca="false">IFERROR(J68/D68,"")</f>
        <v/>
      </c>
      <c r="Q68" s="15" t="n">
        <v>0</v>
      </c>
      <c r="R68" s="15"/>
      <c r="S68" s="15" t="n">
        <v>0</v>
      </c>
      <c r="T68" s="103" t="n">
        <v>0</v>
      </c>
      <c r="U68" s="31" t="n">
        <f aca="false">K68</f>
        <v>0</v>
      </c>
      <c r="V68" s="17" t="n">
        <v>0</v>
      </c>
      <c r="W68" s="31" t="n">
        <v>0</v>
      </c>
      <c r="X68" s="17" t="n">
        <f aca="false">O68</f>
        <v>0</v>
      </c>
      <c r="Y68" s="75" t="str">
        <f aca="false">IFERROR(T68/D68,"")</f>
        <v/>
      </c>
      <c r="Z68" s="4"/>
    </row>
    <row r="69" customFormat="false" ht="14.9" hidden="false" customHeight="false" outlineLevel="0" collapsed="false">
      <c r="A69" s="24" t="s">
        <v>51</v>
      </c>
      <c r="B69" s="15" t="n">
        <f aca="false">C69*E69</f>
        <v>650000000</v>
      </c>
      <c r="C69" s="15" t="n">
        <v>260</v>
      </c>
      <c r="D69" s="15" t="n">
        <v>675</v>
      </c>
      <c r="E69" s="15" t="n">
        <v>2500000</v>
      </c>
      <c r="F69" s="15" t="n">
        <f aca="false">B69/D69</f>
        <v>962962.962962963</v>
      </c>
      <c r="G69" s="73" t="n">
        <f aca="false">C69/$C$73</f>
        <v>0.500963391136802</v>
      </c>
      <c r="H69" s="77" t="n">
        <v>342300000</v>
      </c>
      <c r="I69" s="15" t="n">
        <v>137</v>
      </c>
      <c r="J69" s="15" t="n">
        <v>376</v>
      </c>
      <c r="K69" s="15" t="n">
        <f aca="false">IFERROR(H69/I69,"")</f>
        <v>2498540.1459854</v>
      </c>
      <c r="L69" s="17" t="n">
        <f aca="false">K69/E69-1</f>
        <v>-0.000583941605839522</v>
      </c>
      <c r="M69" s="15" t="n">
        <f aca="false">IFERROR(H69/J69,"")</f>
        <v>910372.340425532</v>
      </c>
      <c r="N69" s="17" t="n">
        <f aca="false">M69/F69-1</f>
        <v>-0.0546133387888708</v>
      </c>
      <c r="O69" s="17" t="n">
        <f aca="false">I69/I73</f>
        <v>0.276767676767677</v>
      </c>
      <c r="P69" s="74" t="n">
        <f aca="false">J69/D69</f>
        <v>0.557037037037037</v>
      </c>
      <c r="Q69" s="15" t="n">
        <f aca="false">S69*U69</f>
        <v>484658411.214953</v>
      </c>
      <c r="R69" s="17" t="n">
        <f aca="false">Q69/B69</f>
        <v>0.745628324946082</v>
      </c>
      <c r="S69" s="15" t="n">
        <f aca="false">X69*S73</f>
        <v>193.976635514019</v>
      </c>
      <c r="T69" s="15" t="n">
        <f aca="false">S69*J69/I69</f>
        <v>532.373831775701</v>
      </c>
      <c r="U69" s="31" t="n">
        <f aca="false">K69</f>
        <v>2498540.1459854</v>
      </c>
      <c r="V69" s="17" t="n">
        <f aca="false">U69/E69-1</f>
        <v>-0.000583941605839522</v>
      </c>
      <c r="W69" s="15" t="n">
        <f aca="false">M69</f>
        <v>910372.340425532</v>
      </c>
      <c r="X69" s="17" t="n">
        <f aca="false">O69</f>
        <v>0.276767676767677</v>
      </c>
      <c r="Y69" s="75" t="n">
        <f aca="false">T69/D69</f>
        <v>0.788701973001039</v>
      </c>
      <c r="Z69" s="4"/>
      <c r="AA69" s="62"/>
    </row>
    <row r="70" customFormat="false" ht="14" hidden="false" customHeight="false" outlineLevel="0" collapsed="false">
      <c r="A70" s="24" t="s">
        <v>25</v>
      </c>
      <c r="B70" s="15" t="n">
        <v>400000000</v>
      </c>
      <c r="F70" s="1" t="s">
        <v>23</v>
      </c>
      <c r="G70" s="79"/>
      <c r="H70" s="77" t="n">
        <v>32647440</v>
      </c>
      <c r="L70" s="4"/>
      <c r="O70" s="104"/>
      <c r="P70" s="105"/>
      <c r="Q70" s="15" t="n">
        <f aca="false">B70</f>
        <v>400000000</v>
      </c>
      <c r="R70" s="17" t="n">
        <f aca="false">Q70/B70</f>
        <v>1</v>
      </c>
      <c r="Y70" s="63"/>
      <c r="Z70" s="4"/>
      <c r="AA70" s="62"/>
    </row>
    <row r="71" customFormat="false" ht="13.8" hidden="false" customHeight="false" outlineLevel="0" collapsed="false">
      <c r="A71" s="24" t="s">
        <v>52</v>
      </c>
      <c r="B71" s="15" t="n">
        <v>200000000</v>
      </c>
      <c r="C71" s="62"/>
      <c r="G71" s="79"/>
      <c r="H71" s="77"/>
      <c r="I71" s="62"/>
      <c r="J71" s="62"/>
      <c r="L71" s="4"/>
      <c r="O71" s="104"/>
      <c r="P71" s="105"/>
      <c r="Q71" s="15" t="n">
        <f aca="false">B71</f>
        <v>200000000</v>
      </c>
      <c r="R71" s="15"/>
      <c r="T71" s="62"/>
      <c r="Y71" s="63"/>
      <c r="Z71" s="4"/>
    </row>
    <row r="72" customFormat="false" ht="14" hidden="false" customHeight="false" outlineLevel="0" collapsed="false">
      <c r="A72" s="24" t="s">
        <v>53</v>
      </c>
      <c r="C72" s="15" t="n">
        <f aca="false">C73-SUM(C68:C69)</f>
        <v>259</v>
      </c>
      <c r="D72" s="15" t="n">
        <f aca="false">D73-SUM(D68:D69)</f>
        <v>675</v>
      </c>
      <c r="F72" s="1" t="s">
        <v>23</v>
      </c>
      <c r="G72" s="73" t="n">
        <f aca="false">C72/$C$73</f>
        <v>0.499036608863198</v>
      </c>
      <c r="H72" s="77"/>
      <c r="I72" s="15" t="n">
        <f aca="false">I73-SUM(I68:I69)</f>
        <v>358</v>
      </c>
      <c r="J72" s="15" t="n">
        <f aca="false">J73-SUM(J68:J69)</f>
        <v>1122</v>
      </c>
      <c r="L72" s="4"/>
      <c r="O72" s="17" t="n">
        <f aca="false">I72/$I$73</f>
        <v>0.723232323232323</v>
      </c>
      <c r="P72" s="74" t="n">
        <f aca="false">J72/D72</f>
        <v>1.66222222222222</v>
      </c>
      <c r="Q72" s="15" t="n">
        <f aca="false">B72</f>
        <v>0</v>
      </c>
      <c r="R72" s="15"/>
      <c r="S72" s="15" t="n">
        <f aca="false">X72*S73</f>
        <v>506.88785046729</v>
      </c>
      <c r="T72" s="15" t="n">
        <f aca="false">S72*J72/I72</f>
        <v>1588.6261682243</v>
      </c>
      <c r="X72" s="17" t="n">
        <f aca="false">O72</f>
        <v>0.723232323232323</v>
      </c>
      <c r="Y72" s="75" t="n">
        <f aca="false">T72/D72</f>
        <v>2.35352024922118</v>
      </c>
      <c r="Z72" s="4"/>
    </row>
    <row r="73" customFormat="false" ht="14.9" hidden="false" customHeight="false" outlineLevel="0" collapsed="false">
      <c r="A73" s="42" t="s">
        <v>30</v>
      </c>
      <c r="B73" s="95" t="n">
        <f aca="false">SUM(B68:B72)</f>
        <v>1250000000</v>
      </c>
      <c r="C73" s="95" t="n">
        <v>519</v>
      </c>
      <c r="D73" s="95" t="n">
        <v>1350</v>
      </c>
      <c r="E73" s="95" t="n">
        <f aca="false">B73/C73</f>
        <v>2408477.84200385</v>
      </c>
      <c r="F73" s="95" t="n">
        <f aca="false">B73/D73</f>
        <v>925925.925925926</v>
      </c>
      <c r="G73" s="106" t="n">
        <f aca="false">SUM(G68:G72)</f>
        <v>1</v>
      </c>
      <c r="H73" s="107" t="n">
        <f aca="false">SUM(H68:H72)</f>
        <v>374947440</v>
      </c>
      <c r="I73" s="81" t="n">
        <v>495</v>
      </c>
      <c r="J73" s="81" t="n">
        <v>1498</v>
      </c>
      <c r="K73" s="81" t="n">
        <f aca="false">H73/I73</f>
        <v>757469.575757576</v>
      </c>
      <c r="L73" s="67" t="n">
        <f aca="false">K73/E73-1</f>
        <v>-0.685498632145454</v>
      </c>
      <c r="M73" s="81" t="n">
        <f aca="false">H73/J73</f>
        <v>250298.691588785</v>
      </c>
      <c r="N73" s="67" t="n">
        <f aca="false">M73/F73-1</f>
        <v>-0.729677413084112</v>
      </c>
      <c r="O73" s="88" t="n">
        <f aca="false">SUM(O68:O72)</f>
        <v>1</v>
      </c>
      <c r="P73" s="74" t="n">
        <f aca="false">J73/D73</f>
        <v>1.10962962962963</v>
      </c>
      <c r="Q73" s="81" t="n">
        <f aca="false">SUM(Q68:Q72)</f>
        <v>1084658411.21495</v>
      </c>
      <c r="R73" s="17" t="n">
        <f aca="false">Q73/B73</f>
        <v>0.867726728971963</v>
      </c>
      <c r="S73" s="108" t="n">
        <f aca="false">T73*I73/J73</f>
        <v>700.864485981309</v>
      </c>
      <c r="T73" s="108" t="n">
        <v>2121</v>
      </c>
      <c r="U73" s="81" t="n">
        <f aca="false">Q73/S73</f>
        <v>1547600.76007601</v>
      </c>
      <c r="V73" s="50" t="n">
        <f aca="false">U73/E73</f>
        <v>0.64256383558356</v>
      </c>
      <c r="W73" s="81" t="n">
        <f aca="false">Q73/T73</f>
        <v>511390.104297479</v>
      </c>
      <c r="X73" s="88" t="n">
        <f aca="false">S73/S73</f>
        <v>1</v>
      </c>
      <c r="Y73" s="109" t="n">
        <f aca="false">T73/D73</f>
        <v>1.57111111111111</v>
      </c>
      <c r="Z73" s="51"/>
      <c r="AA73" s="52"/>
    </row>
    <row r="74" customFormat="false" ht="13.8" hidden="false" customHeight="true" outlineLevel="0" collapsed="false">
      <c r="A74" s="110" t="s">
        <v>54</v>
      </c>
      <c r="B74" s="53" t="s">
        <v>54</v>
      </c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4"/>
    </row>
    <row r="75" customFormat="false" ht="13.8" hidden="false" customHeight="false" outlineLevel="0" collapsed="false">
      <c r="A75" s="110"/>
      <c r="B75" s="98" t="s">
        <v>2</v>
      </c>
      <c r="C75" s="98"/>
      <c r="D75" s="98"/>
      <c r="E75" s="98"/>
      <c r="F75" s="98"/>
      <c r="G75" s="98"/>
      <c r="H75" s="54" t="s">
        <v>42</v>
      </c>
      <c r="I75" s="54"/>
      <c r="J75" s="54"/>
      <c r="K75" s="54"/>
      <c r="L75" s="54"/>
      <c r="M75" s="54"/>
      <c r="N75" s="54"/>
      <c r="O75" s="54"/>
      <c r="P75" s="54"/>
      <c r="Q75" s="99" t="s">
        <v>4</v>
      </c>
      <c r="R75" s="99"/>
      <c r="S75" s="99"/>
      <c r="T75" s="99"/>
      <c r="U75" s="99"/>
      <c r="V75" s="99"/>
      <c r="W75" s="99"/>
      <c r="X75" s="99"/>
      <c r="Y75" s="99"/>
      <c r="Z75" s="4"/>
    </row>
    <row r="76" customFormat="false" ht="13.8" hidden="false" customHeight="false" outlineLevel="0" collapsed="false">
      <c r="A76" s="110"/>
      <c r="B76" s="90" t="s">
        <v>5</v>
      </c>
      <c r="C76" s="91" t="s">
        <v>6</v>
      </c>
      <c r="D76" s="91" t="s">
        <v>33</v>
      </c>
      <c r="E76" s="91" t="s">
        <v>8</v>
      </c>
      <c r="F76" s="91" t="s">
        <v>34</v>
      </c>
      <c r="G76" s="91" t="s">
        <v>10</v>
      </c>
      <c r="H76" s="69" t="s">
        <v>5</v>
      </c>
      <c r="I76" s="70" t="s">
        <v>6</v>
      </c>
      <c r="J76" s="70" t="s">
        <v>33</v>
      </c>
      <c r="K76" s="70" t="s">
        <v>8</v>
      </c>
      <c r="L76" s="70" t="s">
        <v>11</v>
      </c>
      <c r="M76" s="70" t="s">
        <v>34</v>
      </c>
      <c r="N76" s="70" t="s">
        <v>35</v>
      </c>
      <c r="O76" s="70" t="s">
        <v>10</v>
      </c>
      <c r="P76" s="71" t="s">
        <v>36</v>
      </c>
      <c r="Q76" s="57" t="s">
        <v>5</v>
      </c>
      <c r="R76" s="57" t="s">
        <v>14</v>
      </c>
      <c r="S76" s="57" t="s">
        <v>6</v>
      </c>
      <c r="T76" s="57" t="s">
        <v>33</v>
      </c>
      <c r="U76" s="57" t="s">
        <v>8</v>
      </c>
      <c r="V76" s="57" t="s">
        <v>11</v>
      </c>
      <c r="W76" s="57" t="s">
        <v>34</v>
      </c>
      <c r="X76" s="57" t="s">
        <v>10</v>
      </c>
      <c r="Y76" s="58" t="s">
        <v>36</v>
      </c>
      <c r="Z76" s="4"/>
    </row>
    <row r="77" customFormat="false" ht="14.9" hidden="false" customHeight="false" outlineLevel="0" collapsed="false">
      <c r="A77" s="12" t="s">
        <v>15</v>
      </c>
      <c r="B77" s="15" t="n">
        <f aca="false">C77*E77</f>
        <v>825000000</v>
      </c>
      <c r="C77" s="78" t="n">
        <v>2000</v>
      </c>
      <c r="D77" s="78" t="n">
        <v>4000</v>
      </c>
      <c r="E77" s="78" t="n">
        <v>412500</v>
      </c>
      <c r="F77" s="25" t="n">
        <f aca="false">B77/D77</f>
        <v>206250</v>
      </c>
      <c r="G77" s="73" t="n">
        <f aca="false">C77/$C$87</f>
        <v>0.0833333333333333</v>
      </c>
      <c r="H77" s="111"/>
      <c r="I77" s="4"/>
      <c r="J77" s="102"/>
      <c r="K77" s="15" t="n">
        <v>0</v>
      </c>
      <c r="L77" s="17" t="n">
        <f aca="false">IFERROR(K77/E77-1,"")</f>
        <v>-1</v>
      </c>
      <c r="M77" s="15" t="e">
        <f aca="false">H77/J77</f>
        <v>#DIV/0!</v>
      </c>
      <c r="N77" s="17" t="str">
        <f aca="false">IFERROR(M77/F77-1,"")</f>
        <v/>
      </c>
      <c r="O77" s="17" t="n">
        <f aca="false">I77/$I$87</f>
        <v>0</v>
      </c>
      <c r="P77" s="74" t="n">
        <f aca="false">J77/D77</f>
        <v>0</v>
      </c>
      <c r="Q77" s="15" t="n">
        <f aca="false">S77*U77</f>
        <v>0</v>
      </c>
      <c r="R77" s="17" t="n">
        <f aca="false">Q77/B77</f>
        <v>0</v>
      </c>
      <c r="S77" s="15" t="n">
        <v>0</v>
      </c>
      <c r="T77" s="15" t="n">
        <v>0</v>
      </c>
      <c r="U77" s="31" t="n">
        <v>0</v>
      </c>
      <c r="V77" s="17" t="n">
        <f aca="false">U77/E77-1</f>
        <v>-1</v>
      </c>
      <c r="W77" s="31" t="e">
        <f aca="false">Q77/T77</f>
        <v>#DIV/0!</v>
      </c>
      <c r="X77" s="17" t="n">
        <f aca="false">O77</f>
        <v>0</v>
      </c>
      <c r="Y77" s="75" t="n">
        <f aca="false">T77/D77</f>
        <v>0</v>
      </c>
      <c r="Z77" s="4"/>
    </row>
    <row r="78" customFormat="false" ht="14.9" hidden="false" customHeight="false" outlineLevel="0" collapsed="false">
      <c r="A78" s="24" t="s">
        <v>16</v>
      </c>
      <c r="B78" s="15" t="n">
        <f aca="false">C78*E78</f>
        <v>228000000</v>
      </c>
      <c r="C78" s="25" t="n">
        <v>1900</v>
      </c>
      <c r="D78" s="25" t="n">
        <v>3800</v>
      </c>
      <c r="E78" s="25" t="n">
        <v>120000</v>
      </c>
      <c r="F78" s="25" t="n">
        <f aca="false">B78/D78</f>
        <v>60000</v>
      </c>
      <c r="G78" s="73" t="n">
        <f aca="false">C78/$C$87</f>
        <v>0.0791666666666667</v>
      </c>
      <c r="H78" s="111"/>
      <c r="I78" s="112"/>
      <c r="J78" s="112"/>
      <c r="K78" s="15"/>
      <c r="L78" s="17" t="n">
        <f aca="false">IFERROR(K78/E78-1,"")</f>
        <v>-1</v>
      </c>
      <c r="M78" s="15" t="str">
        <f aca="false">IFERROR(H78/J78,"")</f>
        <v/>
      </c>
      <c r="N78" s="17" t="str">
        <f aca="false">IFERROR(M78/F78-1,"")</f>
        <v/>
      </c>
      <c r="O78" s="17" t="n">
        <f aca="false">I78/$I$87</f>
        <v>0</v>
      </c>
      <c r="P78" s="74" t="n">
        <f aca="false">J78/D78</f>
        <v>0</v>
      </c>
      <c r="Q78" s="15" t="n">
        <f aca="false">S78*U78</f>
        <v>0</v>
      </c>
      <c r="R78" s="17" t="n">
        <f aca="false">Q78/B78</f>
        <v>0</v>
      </c>
      <c r="S78" s="15" t="n">
        <f aca="false">30*I78/Sheet2!$B$7</f>
        <v>0</v>
      </c>
      <c r="T78" s="15" t="n">
        <v>0</v>
      </c>
      <c r="U78" s="31" t="n">
        <f aca="false">K78</f>
        <v>0</v>
      </c>
      <c r="V78" s="17" t="n">
        <f aca="false">U78/E78-1</f>
        <v>-1</v>
      </c>
      <c r="W78" s="15" t="e">
        <f aca="false">Q78/T78</f>
        <v>#DIV/0!</v>
      </c>
      <c r="X78" s="17" t="n">
        <f aca="false">O78</f>
        <v>0</v>
      </c>
      <c r="Y78" s="75" t="n">
        <f aca="false">T78/D78</f>
        <v>0</v>
      </c>
      <c r="Z78" s="4"/>
    </row>
    <row r="79" customFormat="false" ht="14.9" hidden="false" customHeight="false" outlineLevel="0" collapsed="false">
      <c r="A79" s="24" t="s">
        <v>17</v>
      </c>
      <c r="B79" s="15" t="n">
        <f aca="false">C79*E79</f>
        <v>100000000</v>
      </c>
      <c r="C79" s="25" t="n">
        <v>1000</v>
      </c>
      <c r="D79" s="25" t="n">
        <v>2000</v>
      </c>
      <c r="E79" s="25" t="n">
        <v>100000</v>
      </c>
      <c r="F79" s="25" t="n">
        <f aca="false">B79/D79</f>
        <v>50000</v>
      </c>
      <c r="G79" s="73" t="n">
        <f aca="false">C79/$C$87</f>
        <v>0.0416666666666667</v>
      </c>
      <c r="H79" s="111"/>
      <c r="I79" s="4"/>
      <c r="J79" s="102"/>
      <c r="K79" s="15" t="str">
        <f aca="false">IFERROR(H79/I79,"")</f>
        <v/>
      </c>
      <c r="L79" s="17" t="str">
        <f aca="false">IFERROR(K79/E79-1,"")</f>
        <v/>
      </c>
      <c r="M79" s="15" t="str">
        <f aca="false">IFERROR(H79/J79,"")</f>
        <v/>
      </c>
      <c r="N79" s="17" t="str">
        <f aca="false">IFERROR(M79/F79-1,"")</f>
        <v/>
      </c>
      <c r="O79" s="17" t="n">
        <f aca="false">I79/$I$87</f>
        <v>0</v>
      </c>
      <c r="P79" s="74" t="n">
        <f aca="false">J79/D79</f>
        <v>0</v>
      </c>
      <c r="Q79" s="15" t="n">
        <v>0</v>
      </c>
      <c r="R79" s="17" t="n">
        <f aca="false">Q79/B79</f>
        <v>0</v>
      </c>
      <c r="S79" s="15" t="n">
        <f aca="false">30*I79/Sheet2!$B$7</f>
        <v>0</v>
      </c>
      <c r="T79" s="15" t="n">
        <v>0</v>
      </c>
      <c r="U79" s="31" t="str">
        <f aca="false">K79</f>
        <v/>
      </c>
      <c r="V79" s="17" t="str">
        <f aca="false">IFERROR(U79/E79-1,"")</f>
        <v/>
      </c>
      <c r="W79" s="31" t="e">
        <f aca="false">Q79/T79</f>
        <v>#DIV/0!</v>
      </c>
      <c r="X79" s="17" t="n">
        <f aca="false">O79</f>
        <v>0</v>
      </c>
      <c r="Y79" s="75" t="n">
        <f aca="false">T79/D79</f>
        <v>0</v>
      </c>
      <c r="Z79" s="4"/>
    </row>
    <row r="80" customFormat="false" ht="14.9" hidden="false" customHeight="false" outlineLevel="0" collapsed="false">
      <c r="A80" s="24" t="s">
        <v>18</v>
      </c>
      <c r="B80" s="15" t="n">
        <v>555000000</v>
      </c>
      <c r="C80" s="25" t="n">
        <v>3650</v>
      </c>
      <c r="D80" s="25" t="n">
        <v>7300</v>
      </c>
      <c r="E80" s="25" t="n">
        <f aca="false">B80/C80</f>
        <v>152054.794520548</v>
      </c>
      <c r="F80" s="25" t="n">
        <f aca="false">B80/D80</f>
        <v>76027.397260274</v>
      </c>
      <c r="G80" s="73" t="n">
        <f aca="false">C80/$C$87</f>
        <v>0.152083333333333</v>
      </c>
      <c r="H80" s="111" t="n">
        <v>293845000</v>
      </c>
      <c r="I80" s="4" t="n">
        <v>1544</v>
      </c>
      <c r="J80" s="102" t="n">
        <v>2070</v>
      </c>
      <c r="K80" s="15" t="n">
        <f aca="false">IFERROR(H80/I80,"")</f>
        <v>190314.119170984</v>
      </c>
      <c r="L80" s="17" t="n">
        <f aca="false">IFERROR(K80/E80-1,"")</f>
        <v>0.251615378331699</v>
      </c>
      <c r="M80" s="15" t="n">
        <f aca="false">IFERROR(H80/J80,"")</f>
        <v>141954.106280193</v>
      </c>
      <c r="N80" s="17" t="n">
        <f aca="false">IFERROR(M80/F80-1,"")</f>
        <v>0.867144100622361</v>
      </c>
      <c r="O80" s="17" t="n">
        <f aca="false">I80/$I$87</f>
        <v>0.163906581740977</v>
      </c>
      <c r="P80" s="74" t="n">
        <f aca="false">J80/D80</f>
        <v>0.283561643835616</v>
      </c>
      <c r="Q80" s="15" t="n">
        <f aca="false">S80*U80</f>
        <v>524693315.527065</v>
      </c>
      <c r="R80" s="17" t="n">
        <f aca="false">Q80/B80</f>
        <v>0.945393361310028</v>
      </c>
      <c r="S80" s="15" t="n">
        <f aca="false">X80*$S$87</f>
        <v>2756.98575498575</v>
      </c>
      <c r="T80" s="15" t="n">
        <f aca="false">S80*J80/I80</f>
        <v>3696.21794871795</v>
      </c>
      <c r="U80" s="31" t="n">
        <f aca="false">K80</f>
        <v>190314.119170984</v>
      </c>
      <c r="V80" s="17" t="n">
        <f aca="false">U80/E80-1</f>
        <v>0.251615378331699</v>
      </c>
      <c r="W80" s="15" t="n">
        <f aca="false">Q80/T80</f>
        <v>141954.106280193</v>
      </c>
      <c r="X80" s="17" t="n">
        <f aca="false">O80</f>
        <v>0.163906581740977</v>
      </c>
      <c r="Y80" s="75" t="n">
        <f aca="false">T80/D80</f>
        <v>0.506331225851774</v>
      </c>
      <c r="Z80" s="4"/>
    </row>
    <row r="81" customFormat="false" ht="14.9" hidden="false" customHeight="false" outlineLevel="0" collapsed="false">
      <c r="A81" s="24" t="s">
        <v>19</v>
      </c>
      <c r="B81" s="15" t="n">
        <f aca="false">C81*E81</f>
        <v>210000000</v>
      </c>
      <c r="C81" s="25" t="n">
        <v>1000</v>
      </c>
      <c r="D81" s="25" t="n">
        <v>2000</v>
      </c>
      <c r="E81" s="25" t="n">
        <v>210000</v>
      </c>
      <c r="F81" s="25" t="n">
        <f aca="false">B81/D81</f>
        <v>105000</v>
      </c>
      <c r="G81" s="73" t="n">
        <f aca="false">C81/$C$87</f>
        <v>0.0416666666666667</v>
      </c>
      <c r="H81" s="111" t="n">
        <v>244670000</v>
      </c>
      <c r="I81" s="4" t="n">
        <v>1229</v>
      </c>
      <c r="J81" s="102" t="n">
        <v>1381</v>
      </c>
      <c r="K81" s="15" t="n">
        <f aca="false">IFERROR(H81/I81,"")</f>
        <v>199080.553295362</v>
      </c>
      <c r="L81" s="17" t="n">
        <f aca="false">IFERROR(K81/E81-1,"")</f>
        <v>-0.0519973652601806</v>
      </c>
      <c r="M81" s="15" t="n">
        <f aca="false">IFERROR(H81/J81,"")</f>
        <v>177168.718320058</v>
      </c>
      <c r="N81" s="17" t="n">
        <f aca="false">IFERROR(M81/F81-1,"")</f>
        <v>0.687321126857695</v>
      </c>
      <c r="O81" s="17" t="n">
        <f aca="false">I81/$I$87</f>
        <v>0.130467091295117</v>
      </c>
      <c r="P81" s="74" t="n">
        <f aca="false">J81/D81</f>
        <v>0.6905</v>
      </c>
      <c r="Q81" s="15" t="n">
        <f aca="false">S81*U81</f>
        <v>436885819.088319</v>
      </c>
      <c r="R81" s="17" t="n">
        <f aca="false">Q81/B81</f>
        <v>2.08040866232533</v>
      </c>
      <c r="S81" s="15" t="n">
        <f aca="false">X81*$S$87</f>
        <v>2194.51780626781</v>
      </c>
      <c r="T81" s="15" t="n">
        <f aca="false">S81*J81/I81</f>
        <v>2465.93091168091</v>
      </c>
      <c r="U81" s="31" t="n">
        <f aca="false">K81</f>
        <v>199080.553295362</v>
      </c>
      <c r="V81" s="17" t="n">
        <f aca="false">U81/E81-1</f>
        <v>-0.0519973652601806</v>
      </c>
      <c r="W81" s="31" t="n">
        <f aca="false">Q81/T81</f>
        <v>177168.718320058</v>
      </c>
      <c r="X81" s="17" t="n">
        <f aca="false">O81</f>
        <v>0.130467091295117</v>
      </c>
      <c r="Y81" s="75" t="n">
        <f aca="false">T81/D81</f>
        <v>1.23296545584046</v>
      </c>
      <c r="Z81" s="4"/>
    </row>
    <row r="82" customFormat="false" ht="14.9" hidden="false" customHeight="false" outlineLevel="0" collapsed="false">
      <c r="A82" s="24" t="s">
        <v>38</v>
      </c>
      <c r="B82" s="15"/>
      <c r="C82" s="25"/>
      <c r="D82" s="25"/>
      <c r="E82" s="25"/>
      <c r="F82" s="25"/>
      <c r="G82" s="73"/>
      <c r="H82" s="77" t="n">
        <v>34385000</v>
      </c>
      <c r="I82" s="4" t="n">
        <v>232</v>
      </c>
      <c r="J82" s="102" t="n">
        <v>350</v>
      </c>
      <c r="K82" s="15" t="n">
        <f aca="false">IFERROR(H82/I82,"")</f>
        <v>148211.206896552</v>
      </c>
      <c r="L82" s="17" t="str">
        <f aca="false">IFERROR(K82/E82-1,"")</f>
        <v/>
      </c>
      <c r="M82" s="15" t="n">
        <f aca="false">IFERROR(H82/J82,"")</f>
        <v>98242.8571428571</v>
      </c>
      <c r="N82" s="17" t="str">
        <f aca="false">IFERROR(M82/F82-1,"")</f>
        <v/>
      </c>
      <c r="O82" s="17" t="n">
        <f aca="false">I82/$I$87</f>
        <v>0.0246284501061571</v>
      </c>
      <c r="P82" s="74" t="e">
        <f aca="false">J82/D82</f>
        <v>#DIV/0!</v>
      </c>
      <c r="Q82" s="15" t="n">
        <f aca="false">S82*U82</f>
        <v>61398287.037037</v>
      </c>
      <c r="R82" s="17" t="e">
        <f aca="false">Q82/B82</f>
        <v>#DIV/0!</v>
      </c>
      <c r="S82" s="15" t="n">
        <f aca="false">X82*$S$87</f>
        <v>414.262108262108</v>
      </c>
      <c r="T82" s="15" t="n">
        <f aca="false">S82*J82/I82</f>
        <v>624.964387464388</v>
      </c>
      <c r="U82" s="31" t="n">
        <f aca="false">K82</f>
        <v>148211.206896552</v>
      </c>
      <c r="V82" s="17" t="str">
        <f aca="false">IFERROR(U82/E82-1,"")</f>
        <v/>
      </c>
      <c r="W82" s="15" t="n">
        <f aca="false">Q82/T82</f>
        <v>98242.8571428571</v>
      </c>
      <c r="X82" s="17" t="n">
        <f aca="false">O82</f>
        <v>0.0246284501061571</v>
      </c>
      <c r="Y82" s="75"/>
      <c r="Z82" s="4"/>
    </row>
    <row r="83" customFormat="false" ht="14.9" hidden="false" customHeight="false" outlineLevel="0" collapsed="false">
      <c r="A83" s="24" t="s">
        <v>22</v>
      </c>
      <c r="B83" s="15"/>
      <c r="C83" s="25" t="n">
        <f aca="false">C87-SUM(C77:C81)</f>
        <v>14450</v>
      </c>
      <c r="D83" s="25" t="n">
        <f aca="false">D87-SUM(D77:D81)</f>
        <v>28900</v>
      </c>
      <c r="E83" s="25"/>
      <c r="F83" s="25"/>
      <c r="G83" s="73" t="n">
        <f aca="false">C83/$C$87</f>
        <v>0.602083333333333</v>
      </c>
      <c r="H83" s="77"/>
      <c r="I83" s="15" t="n">
        <v>6415</v>
      </c>
      <c r="J83" s="15" t="n">
        <v>13047</v>
      </c>
      <c r="K83" s="15"/>
      <c r="L83" s="17" t="str">
        <f aca="false">IFERROR(K83/E83-1,"")</f>
        <v/>
      </c>
      <c r="M83" s="15" t="n">
        <f aca="false">IFERROR(H83/J83,"")</f>
        <v>0</v>
      </c>
      <c r="N83" s="17" t="str">
        <f aca="false">IFERROR(M83/F83-1,"")</f>
        <v/>
      </c>
      <c r="O83" s="17" t="n">
        <f aca="false">I83/$I$87</f>
        <v>0.68099787685775</v>
      </c>
      <c r="P83" s="74" t="n">
        <f aca="false">J83/D83</f>
        <v>0.451453287197232</v>
      </c>
      <c r="Q83" s="15"/>
      <c r="R83" s="17"/>
      <c r="S83" s="15" t="n">
        <f aca="false">S87-SUM(S77:S82)</f>
        <v>11454.7044159544</v>
      </c>
      <c r="T83" s="15" t="n">
        <f aca="false">T87-SUM(T77:T82)</f>
        <v>23296.8867521368</v>
      </c>
      <c r="U83" s="31"/>
      <c r="V83" s="17"/>
      <c r="W83" s="15"/>
      <c r="X83" s="17" t="n">
        <f aca="false">O83</f>
        <v>0.68099787685775</v>
      </c>
      <c r="Y83" s="75" t="n">
        <f aca="false">T83/D83</f>
        <v>0.806120648862863</v>
      </c>
      <c r="Z83" s="4"/>
    </row>
    <row r="84" customFormat="false" ht="13.8" hidden="false" customHeight="false" outlineLevel="0" collapsed="false">
      <c r="A84" s="24" t="s">
        <v>25</v>
      </c>
      <c r="B84" s="80" t="n">
        <v>1077600000</v>
      </c>
      <c r="C84" s="4"/>
      <c r="D84" s="4"/>
      <c r="E84" s="4"/>
      <c r="F84" s="4" t="s">
        <v>23</v>
      </c>
      <c r="G84" s="79"/>
      <c r="H84" s="77" t="n">
        <v>46976160</v>
      </c>
      <c r="I84" s="62"/>
      <c r="L84" s="4"/>
      <c r="O84" s="104"/>
      <c r="P84" s="105"/>
      <c r="Q84" s="15" t="n">
        <f aca="false">B84</f>
        <v>1077600000</v>
      </c>
      <c r="R84" s="17" t="n">
        <f aca="false">Q84/B84</f>
        <v>1</v>
      </c>
      <c r="W84" s="31"/>
      <c r="X84" s="17"/>
      <c r="Y84" s="75"/>
      <c r="Z84" s="4"/>
    </row>
    <row r="85" customFormat="false" ht="13.8" hidden="false" customHeight="false" outlineLevel="0" collapsed="false">
      <c r="A85" s="24" t="s">
        <v>52</v>
      </c>
      <c r="B85" s="78" t="n">
        <v>1000000000</v>
      </c>
      <c r="C85" s="51"/>
      <c r="D85" s="59"/>
      <c r="E85" s="4"/>
      <c r="F85" s="4"/>
      <c r="G85" s="79"/>
      <c r="H85" s="77"/>
      <c r="I85" s="62"/>
      <c r="J85" s="62"/>
      <c r="L85" s="4"/>
      <c r="O85" s="104"/>
      <c r="P85" s="105"/>
      <c r="Q85" s="15" t="n">
        <f aca="false">B85</f>
        <v>1000000000</v>
      </c>
      <c r="R85" s="17"/>
      <c r="Y85" s="63"/>
      <c r="Z85" s="4"/>
    </row>
    <row r="86" customFormat="false" ht="13.8" hidden="false" customHeight="false" outlineLevel="0" collapsed="false">
      <c r="A86" s="24" t="s">
        <v>39</v>
      </c>
      <c r="B86" s="78" t="n">
        <v>500000000</v>
      </c>
      <c r="C86" s="15"/>
      <c r="D86" s="15"/>
      <c r="E86" s="4" t="s">
        <v>23</v>
      </c>
      <c r="F86" s="4" t="s">
        <v>23</v>
      </c>
      <c r="G86" s="73" t="n">
        <f aca="false">C86/C87</f>
        <v>0</v>
      </c>
      <c r="H86" s="77" t="n">
        <v>500000000</v>
      </c>
      <c r="I86" s="15"/>
      <c r="J86" s="15"/>
      <c r="L86" s="4"/>
      <c r="P86" s="105"/>
      <c r="Q86" s="15" t="n">
        <f aca="false">B86</f>
        <v>500000000</v>
      </c>
      <c r="R86" s="15"/>
      <c r="Y86" s="75"/>
      <c r="Z86" s="4"/>
    </row>
    <row r="87" customFormat="false" ht="14.9" hidden="false" customHeight="false" outlineLevel="0" collapsed="false">
      <c r="A87" s="42" t="s">
        <v>30</v>
      </c>
      <c r="B87" s="95" t="n">
        <f aca="false">SUM(B77:B86)</f>
        <v>4495600000</v>
      </c>
      <c r="C87" s="95" t="n">
        <v>24000</v>
      </c>
      <c r="D87" s="95" t="n">
        <v>48000</v>
      </c>
      <c r="E87" s="95" t="n">
        <f aca="false">B87/C87</f>
        <v>187316.666666667</v>
      </c>
      <c r="F87" s="95" t="n">
        <f aca="false">B87/D87</f>
        <v>93658.3333333333</v>
      </c>
      <c r="G87" s="106" t="n">
        <f aca="false">SUM(G77:G86)</f>
        <v>1</v>
      </c>
      <c r="H87" s="83" t="n">
        <f aca="false">SUM(H77:H86)</f>
        <v>1119876160</v>
      </c>
      <c r="I87" s="84" t="n">
        <v>9420</v>
      </c>
      <c r="J87" s="84" t="n">
        <v>16848</v>
      </c>
      <c r="K87" s="84" t="n">
        <f aca="false">H87/I87</f>
        <v>118882.819532909</v>
      </c>
      <c r="L87" s="85" t="n">
        <f aca="false">K87/E87-1</f>
        <v>-0.365337737167496</v>
      </c>
      <c r="M87" s="84" t="n">
        <f aca="false">H87/J87</f>
        <v>66469.3827160494</v>
      </c>
      <c r="N87" s="85" t="n">
        <f aca="false">M87/F87-1</f>
        <v>-0.290299321476472</v>
      </c>
      <c r="O87" s="113" t="n">
        <f aca="false">I87/I87</f>
        <v>1</v>
      </c>
      <c r="P87" s="114" t="n">
        <f aca="false">J87/D87</f>
        <v>0.351</v>
      </c>
      <c r="Q87" s="81" t="n">
        <f aca="false">SUM(Q77:Q86)</f>
        <v>3600577421.65242</v>
      </c>
      <c r="R87" s="67" t="n">
        <f aca="false">Q87/B87</f>
        <v>0.800911429320318</v>
      </c>
      <c r="S87" s="108" t="n">
        <f aca="false">T87*I87/J87</f>
        <v>16820.4700854701</v>
      </c>
      <c r="T87" s="108" t="n">
        <f aca="false">23084+7000</f>
        <v>30084</v>
      </c>
      <c r="U87" s="81" t="n">
        <f aca="false">Q87/S87</f>
        <v>214059.262515064</v>
      </c>
      <c r="V87" s="50" t="n">
        <f aca="false">U87/E87</f>
        <v>1.14276677203522</v>
      </c>
      <c r="W87" s="81" t="n">
        <f aca="false">Q87/T87</f>
        <v>119684.13181932</v>
      </c>
      <c r="X87" s="88" t="n">
        <v>1</v>
      </c>
      <c r="Y87" s="109" t="n">
        <f aca="false">T87/D87</f>
        <v>0.62675</v>
      </c>
      <c r="Z87" s="31"/>
      <c r="AA87" s="55"/>
    </row>
    <row r="88" customFormat="false" ht="13.8" hidden="false" customHeight="false" outlineLevel="0" collapsed="false">
      <c r="A88" s="2" t="s">
        <v>55</v>
      </c>
      <c r="B88" s="115" t="s">
        <v>55</v>
      </c>
      <c r="C88" s="115"/>
      <c r="D88" s="115"/>
      <c r="E88" s="115"/>
    </row>
    <row r="89" customFormat="false" ht="13.8" hidden="false" customHeight="false" outlineLevel="0" collapsed="false">
      <c r="A89" s="2"/>
      <c r="B89" s="5" t="s">
        <v>2</v>
      </c>
      <c r="C89" s="5"/>
      <c r="D89" s="116" t="s">
        <v>42</v>
      </c>
      <c r="E89" s="5" t="s">
        <v>4</v>
      </c>
    </row>
    <row r="90" customFormat="false" ht="13.8" hidden="false" customHeight="false" outlineLevel="0" collapsed="false">
      <c r="A90" s="2"/>
      <c r="B90" s="7" t="s">
        <v>56</v>
      </c>
      <c r="C90" s="9" t="s">
        <v>57</v>
      </c>
      <c r="D90" s="10" t="s">
        <v>5</v>
      </c>
      <c r="E90" s="117" t="s">
        <v>5</v>
      </c>
    </row>
    <row r="91" customFormat="false" ht="13.8" hidden="false" customHeight="false" outlineLevel="0" collapsed="false">
      <c r="A91" s="24" t="s">
        <v>58</v>
      </c>
      <c r="B91" s="13" t="n">
        <v>200000000</v>
      </c>
      <c r="C91" s="118"/>
      <c r="D91" s="13" t="n">
        <v>200000000</v>
      </c>
      <c r="E91" s="119" t="n">
        <f aca="false">B91</f>
        <v>200000000</v>
      </c>
    </row>
    <row r="92" customFormat="false" ht="13.8" hidden="false" customHeight="false" outlineLevel="0" collapsed="false">
      <c r="A92" s="24" t="s">
        <v>59</v>
      </c>
      <c r="B92" s="13" t="n">
        <v>30000000</v>
      </c>
      <c r="C92" s="118"/>
      <c r="D92" s="13" t="n">
        <v>43600000</v>
      </c>
      <c r="E92" s="119" t="n">
        <v>43600000</v>
      </c>
    </row>
    <row r="93" customFormat="false" ht="13.8" hidden="false" customHeight="false" outlineLevel="0" collapsed="false">
      <c r="A93" s="24" t="s">
        <v>60</v>
      </c>
      <c r="B93" s="13" t="n">
        <v>25000000</v>
      </c>
      <c r="C93" s="118"/>
      <c r="D93" s="13"/>
      <c r="E93" s="119" t="n">
        <v>0</v>
      </c>
    </row>
    <row r="94" customFormat="false" ht="13.8" hidden="false" customHeight="false" outlineLevel="0" collapsed="false">
      <c r="A94" s="24" t="s">
        <v>61</v>
      </c>
      <c r="B94" s="13" t="n">
        <v>300000000</v>
      </c>
      <c r="C94" s="118"/>
      <c r="D94" s="13" t="n">
        <v>300000000</v>
      </c>
      <c r="E94" s="119" t="n">
        <f aca="false">B94</f>
        <v>300000000</v>
      </c>
    </row>
    <row r="95" customFormat="false" ht="13.8" hidden="false" customHeight="false" outlineLevel="0" collapsed="false">
      <c r="A95" s="24" t="s">
        <v>62</v>
      </c>
      <c r="B95" s="13" t="n">
        <v>30000000</v>
      </c>
      <c r="C95" s="118"/>
      <c r="D95" s="13" t="n">
        <v>43600000</v>
      </c>
      <c r="E95" s="119" t="n">
        <v>43600000</v>
      </c>
    </row>
    <row r="96" customFormat="false" ht="13.8" hidden="false" customHeight="false" outlineLevel="0" collapsed="false">
      <c r="A96" s="24" t="s">
        <v>63</v>
      </c>
      <c r="B96" s="13" t="n">
        <v>25000000</v>
      </c>
      <c r="C96" s="118"/>
      <c r="D96" s="13"/>
      <c r="E96" s="119" t="n">
        <v>0</v>
      </c>
    </row>
    <row r="97" customFormat="false" ht="13.8" hidden="false" customHeight="false" outlineLevel="0" collapsed="false">
      <c r="A97" s="24" t="s">
        <v>64</v>
      </c>
      <c r="B97" s="13" t="n">
        <v>0</v>
      </c>
      <c r="C97" s="118"/>
      <c r="D97" s="13"/>
      <c r="E97" s="119" t="n">
        <f aca="false">B97</f>
        <v>0</v>
      </c>
    </row>
    <row r="98" customFormat="false" ht="13.8" hidden="false" customHeight="false" outlineLevel="0" collapsed="false">
      <c r="A98" s="24" t="s">
        <v>65</v>
      </c>
      <c r="B98" s="13" t="n">
        <v>500000000</v>
      </c>
      <c r="C98" s="118"/>
      <c r="D98" s="13"/>
      <c r="E98" s="119" t="n">
        <f aca="false">B98</f>
        <v>500000000</v>
      </c>
    </row>
    <row r="99" customFormat="false" ht="13.8" hidden="false" customHeight="false" outlineLevel="0" collapsed="false">
      <c r="A99" s="42" t="s">
        <v>30</v>
      </c>
      <c r="B99" s="97" t="n">
        <f aca="false">SUM(B91:B98)</f>
        <v>1110000000</v>
      </c>
      <c r="C99" s="120"/>
      <c r="D99" s="97" t="n">
        <f aca="false">SUM(D91:D98)</f>
        <v>587200000</v>
      </c>
      <c r="E99" s="121" t="n">
        <f aca="false">SUM(E91:E98)</f>
        <v>1087200000</v>
      </c>
      <c r="G99" s="122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3">
    <mergeCell ref="A1:A3"/>
    <mergeCell ref="B1:Y1"/>
    <mergeCell ref="B2:G2"/>
    <mergeCell ref="H2:P2"/>
    <mergeCell ref="Q2:Y2"/>
    <mergeCell ref="A19:A21"/>
    <mergeCell ref="B19:Y19"/>
    <mergeCell ref="B20:G20"/>
    <mergeCell ref="H20:P20"/>
    <mergeCell ref="Q20:Y20"/>
    <mergeCell ref="A35:A37"/>
    <mergeCell ref="B35:Y35"/>
    <mergeCell ref="B36:G36"/>
    <mergeCell ref="H36:P36"/>
    <mergeCell ref="Q36:Y36"/>
    <mergeCell ref="A50:A52"/>
    <mergeCell ref="B50:Y50"/>
    <mergeCell ref="B51:G51"/>
    <mergeCell ref="H51:P51"/>
    <mergeCell ref="Q51:Y51"/>
    <mergeCell ref="A65:A67"/>
    <mergeCell ref="B65:Y65"/>
    <mergeCell ref="B66:G66"/>
    <mergeCell ref="H66:P66"/>
    <mergeCell ref="Q66:Y66"/>
    <mergeCell ref="A74:A76"/>
    <mergeCell ref="B74:Y74"/>
    <mergeCell ref="B75:G75"/>
    <mergeCell ref="H75:P75"/>
    <mergeCell ref="Q75:Y75"/>
    <mergeCell ref="A88:A90"/>
    <mergeCell ref="B88:E88"/>
    <mergeCell ref="B89:C89"/>
  </mergeCells>
  <conditionalFormatting sqref="Y4:Y11">
    <cfRule type="cellIs" priority="2" operator="lessThan" aboveAverage="0" equalAverage="0" bottom="0" percent="0" rank="0" text="" dxfId="0">
      <formula>1</formula>
    </cfRule>
    <cfRule type="cellIs" priority="3" operator="lessThan" aboveAverage="0" equalAverage="0" bottom="0" percent="0" rank="0" text="" dxfId="1">
      <formula>0.1</formula>
    </cfRule>
  </conditionalFormatting>
  <conditionalFormatting sqref="Y34 Y22:Y28">
    <cfRule type="cellIs" priority="4" operator="lessThan" aboveAverage="0" equalAverage="0" bottom="0" percent="0" rank="0" text="" dxfId="2">
      <formula>1</formula>
    </cfRule>
    <cfRule type="cellIs" priority="5" operator="greaterThan" aboveAverage="0" equalAverage="0" bottom="0" percent="0" rank="0" text="" dxfId="3">
      <formula>1</formula>
    </cfRule>
    <cfRule type="cellIs" priority="6" operator="lessThan" aboveAverage="0" equalAverage="0" bottom="0" percent="0" rank="0" text="" dxfId="4">
      <formula>1</formula>
    </cfRule>
  </conditionalFormatting>
  <conditionalFormatting sqref="Y40:Y44">
    <cfRule type="cellIs" priority="7" operator="lessThan" aboveAverage="0" equalAverage="0" bottom="0" percent="0" rank="0" text="" dxfId="5">
      <formula>1</formula>
    </cfRule>
  </conditionalFormatting>
  <conditionalFormatting sqref="Y31:Y34 Y22:Y28">
    <cfRule type="cellIs" priority="8" operator="greaterThan" aboveAverage="0" equalAverage="0" bottom="0" percent="0" rank="0" text="" dxfId="6">
      <formula>1</formula>
    </cfRule>
    <cfRule type="cellIs" priority="9" operator="greaterThan" aboveAverage="0" equalAverage="0" bottom="0" percent="0" rank="0" text="" dxfId="7">
      <formula>1</formula>
    </cfRule>
  </conditionalFormatting>
  <conditionalFormatting sqref="Y4:Y18">
    <cfRule type="cellIs" priority="10" operator="equal" aboveAverage="0" equalAverage="0" bottom="0" percent="0" rank="0" text="" dxfId="8">
      <formula>1</formula>
    </cfRule>
    <cfRule type="cellIs" priority="11" operator="equal" aboveAverage="0" equalAverage="0" bottom="0" percent="0" rank="0" text="" dxfId="9">
      <formula>1</formula>
    </cfRule>
    <cfRule type="cellIs" priority="12" operator="greaterThan" aboveAverage="0" equalAverage="0" bottom="0" percent="0" rank="0" text="" dxfId="10">
      <formula>1</formula>
    </cfRule>
    <cfRule type="cellIs" priority="13" operator="equal" aboveAverage="0" equalAverage="0" bottom="0" percent="0" rank="0" text="" dxfId="11">
      <formula>1</formula>
    </cfRule>
    <cfRule type="cellIs" priority="14" operator="greaterThan" aboveAverage="0" equalAverage="0" bottom="0" percent="0" rank="0" text="" dxfId="12">
      <formula>1</formula>
    </cfRule>
  </conditionalFormatting>
  <conditionalFormatting sqref="Y40:Y44 Y53:Y63">
    <cfRule type="cellIs" priority="15" operator="equal" aboveAverage="0" equalAverage="0" bottom="0" percent="0" rank="0" text="" dxfId="13">
      <formula>100</formula>
    </cfRule>
    <cfRule type="cellIs" priority="16" operator="lessThan" aboveAverage="0" equalAverage="0" bottom="0" percent="0" rank="0" text="" dxfId="14">
      <formula>1</formula>
    </cfRule>
    <cfRule type="cellIs" priority="17" operator="greaterThan" aboveAverage="0" equalAverage="0" bottom="0" percent="0" rank="0" text="" dxfId="15">
      <formula>1</formula>
    </cfRule>
    <cfRule type="cellIs" priority="18" operator="lessThan" aboveAverage="0" equalAverage="0" bottom="0" percent="0" rank="0" text="" dxfId="16">
      <formula>0.1</formula>
    </cfRule>
    <cfRule type="cellIs" priority="19" operator="lessThan" aboveAverage="0" equalAverage="0" bottom="0" percent="0" rank="0" text="" dxfId="17">
      <formula>0.1</formula>
    </cfRule>
    <cfRule type="cellIs" priority="20" operator="greaterThan" aboveAverage="0" equalAverage="0" bottom="0" percent="0" rank="0" text="" dxfId="18">
      <formula>0.1</formula>
    </cfRule>
    <cfRule type="cellIs" priority="21" operator="lessThan" aboveAverage="0" equalAverage="0" bottom="0" percent="0" rank="0" text="" dxfId="19">
      <formula>1</formula>
    </cfRule>
    <cfRule type="cellIs" priority="22" operator="equal" aboveAverage="0" equalAverage="0" bottom="0" percent="0" rank="0" text="" dxfId="20">
      <formula>1</formula>
    </cfRule>
    <cfRule type="cellIs" priority="23" operator="greaterThan" aboveAverage="0" equalAverage="0" bottom="0" percent="0" rank="0" text="" dxfId="21">
      <formula>1</formula>
    </cfRule>
  </conditionalFormatting>
  <conditionalFormatting sqref="Y18 Y4:Y11">
    <cfRule type="cellIs" priority="24" operator="lessThan" aboveAverage="0" equalAverage="0" bottom="0" percent="0" rank="0" text="" dxfId="22">
      <formula>1</formula>
    </cfRule>
    <cfRule type="cellIs" priority="25" operator="greaterThan" aboveAverage="0" equalAverage="0" bottom="0" percent="0" rank="0" text="" dxfId="23">
      <formula>1</formula>
    </cfRule>
  </conditionalFormatting>
  <conditionalFormatting sqref="Y24 Y26">
    <cfRule type="cellIs" priority="26" operator="equal" aboveAverage="0" equalAverage="0" bottom="0" percent="0" rank="0" text="" dxfId="24">
      <formula>0.99</formula>
    </cfRule>
    <cfRule type="cellIs" priority="27" operator="equal" aboveAverage="0" equalAverage="0" bottom="0" percent="0" rank="0" text="" dxfId="25">
      <formula>0.99</formula>
    </cfRule>
    <cfRule type="cellIs" priority="28" operator="greaterThan" aboveAverage="0" equalAverage="0" bottom="0" percent="0" rank="0" text="" dxfId="26">
      <formula>1</formula>
    </cfRule>
    <cfRule type="cellIs" priority="29" operator="equal" aboveAverage="0" equalAverage="0" bottom="0" percent="0" rank="0" text="" dxfId="27">
      <formula>1</formula>
    </cfRule>
  </conditionalFormatting>
  <conditionalFormatting sqref="Y34 Y22:Y28">
    <cfRule type="cellIs" priority="30" operator="greaterThan" aboveAverage="0" equalAverage="0" bottom="0" percent="0" rank="0" text="" dxfId="28">
      <formula>0.99</formula>
    </cfRule>
  </conditionalFormatting>
  <conditionalFormatting sqref="Y18">
    <cfRule type="cellIs" priority="31" operator="greaterThan" aboveAverage="0" equalAverage="0" bottom="0" percent="0" rank="0" text="" dxfId="29">
      <formula>0.991</formula>
    </cfRule>
    <cfRule type="cellIs" priority="32" operator="greaterThan" aboveAverage="0" equalAverage="0" bottom="0" percent="0" rank="0" text="" dxfId="30">
      <formula>99.1</formula>
    </cfRule>
    <cfRule type="cellIs" priority="33" operator="equal" aboveAverage="0" equalAverage="0" bottom="0" percent="0" rank="0" text="" dxfId="31">
      <formula>1</formula>
    </cfRule>
  </conditionalFormatting>
  <conditionalFormatting sqref="Y64">
    <cfRule type="cellIs" priority="34" operator="equal" aboveAverage="0" equalAverage="0" bottom="0" percent="0" rank="0" text="" dxfId="32">
      <formula>100</formula>
    </cfRule>
    <cfRule type="cellIs" priority="35" operator="lessThan" aboveAverage="0" equalAverage="0" bottom="0" percent="0" rank="0" text="" dxfId="33">
      <formula>1</formula>
    </cfRule>
    <cfRule type="cellIs" priority="36" operator="greaterThan" aboveAverage="0" equalAverage="0" bottom="0" percent="0" rank="0" text="" dxfId="34">
      <formula>1</formula>
    </cfRule>
    <cfRule type="cellIs" priority="37" operator="lessThan" aboveAverage="0" equalAverage="0" bottom="0" percent="0" rank="0" text="" dxfId="35">
      <formula>0.1</formula>
    </cfRule>
    <cfRule type="cellIs" priority="38" operator="lessThan" aboveAverage="0" equalAverage="0" bottom="0" percent="0" rank="0" text="" dxfId="36">
      <formula>0.1</formula>
    </cfRule>
    <cfRule type="cellIs" priority="39" operator="greaterThan" aboveAverage="0" equalAverage="0" bottom="0" percent="0" rank="0" text="" dxfId="37">
      <formula>0.1</formula>
    </cfRule>
    <cfRule type="cellIs" priority="40" operator="lessThan" aboveAverage="0" equalAverage="0" bottom="0" percent="0" rank="0" text="" dxfId="38">
      <formula>1</formula>
    </cfRule>
    <cfRule type="cellIs" priority="41" operator="equal" aboveAverage="0" equalAverage="0" bottom="0" percent="0" rank="0" text="" dxfId="39">
      <formula>1</formula>
    </cfRule>
    <cfRule type="cellIs" priority="42" operator="greaterThan" aboveAverage="0" equalAverage="0" bottom="0" percent="0" rank="0" text="" dxfId="40">
      <formula>1</formula>
    </cfRule>
  </conditionalFormatting>
  <conditionalFormatting sqref="Y38:Y42">
    <cfRule type="cellIs" priority="43" operator="equal" aboveAverage="0" equalAverage="0" bottom="0" percent="0" rank="0" text="" dxfId="41">
      <formula>100</formula>
    </cfRule>
    <cfRule type="cellIs" priority="44" operator="lessThan" aboveAverage="0" equalAverage="0" bottom="0" percent="0" rank="0" text="" dxfId="42">
      <formula>1</formula>
    </cfRule>
    <cfRule type="cellIs" priority="45" operator="greaterThan" aboveAverage="0" equalAverage="0" bottom="0" percent="0" rank="0" text="" dxfId="43">
      <formula>1</formula>
    </cfRule>
    <cfRule type="cellIs" priority="46" operator="lessThan" aboveAverage="0" equalAverage="0" bottom="0" percent="0" rank="0" text="" dxfId="44">
      <formula>0.1</formula>
    </cfRule>
    <cfRule type="cellIs" priority="47" operator="lessThan" aboveAverage="0" equalAverage="0" bottom="0" percent="0" rank="0" text="" dxfId="45">
      <formula>0.1</formula>
    </cfRule>
    <cfRule type="cellIs" priority="48" operator="greaterThan" aboveAverage="0" equalAverage="0" bottom="0" percent="0" rank="0" text="" dxfId="46">
      <formula>0.1</formula>
    </cfRule>
    <cfRule type="cellIs" priority="49" operator="lessThan" aboveAverage="0" equalAverage="0" bottom="0" percent="0" rank="0" text="" dxfId="47">
      <formula>1</formula>
    </cfRule>
    <cfRule type="cellIs" priority="50" operator="equal" aboveAverage="0" equalAverage="0" bottom="0" percent="0" rank="0" text="" dxfId="48">
      <formula>1</formula>
    </cfRule>
    <cfRule type="cellIs" priority="51" operator="greaterThan" aboveAverage="0" equalAverage="0" bottom="0" percent="0" rank="0" text="" dxfId="49">
      <formula>1</formula>
    </cfRule>
  </conditionalFormatting>
  <conditionalFormatting sqref="Y68:Y69 Y72:Y73 Y86:Y87 Y77:Y84">
    <cfRule type="cellIs" priority="52" operator="equal" aboveAverage="0" equalAverage="0" bottom="0" percent="0" rank="0" text="" dxfId="50">
      <formula>100</formula>
    </cfRule>
    <cfRule type="cellIs" priority="53" operator="lessThan" aboveAverage="0" equalAverage="0" bottom="0" percent="0" rank="0" text="" dxfId="51">
      <formula>1</formula>
    </cfRule>
    <cfRule type="cellIs" priority="54" operator="greaterThan" aboveAverage="0" equalAverage="0" bottom="0" percent="0" rank="0" text="" dxfId="52">
      <formula>1</formula>
    </cfRule>
    <cfRule type="cellIs" priority="55" operator="lessThan" aboveAverage="0" equalAverage="0" bottom="0" percent="0" rank="0" text="" dxfId="53">
      <formula>0.1</formula>
    </cfRule>
    <cfRule type="cellIs" priority="56" operator="lessThan" aboveAverage="0" equalAverage="0" bottom="0" percent="0" rank="0" text="" dxfId="54">
      <formula>0.1</formula>
    </cfRule>
    <cfRule type="cellIs" priority="57" operator="greaterThan" aboveAverage="0" equalAverage="0" bottom="0" percent="0" rank="0" text="" dxfId="55">
      <formula>0.1</formula>
    </cfRule>
    <cfRule type="cellIs" priority="58" operator="lessThan" aboveAverage="0" equalAverage="0" bottom="0" percent="0" rank="0" text="" dxfId="56">
      <formula>1</formula>
    </cfRule>
    <cfRule type="cellIs" priority="59" operator="equal" aboveAverage="0" equalAverage="0" bottom="0" percent="0" rank="0" text="" dxfId="57">
      <formula>1</formula>
    </cfRule>
    <cfRule type="cellIs" priority="60" operator="greaterThan" aboveAverage="0" equalAverage="0" bottom="0" percent="0" rank="0" text="" dxfId="58">
      <formula>1</formula>
    </cfRule>
  </conditionalFormatting>
  <conditionalFormatting sqref="V4:V10 N87 L87">
    <cfRule type="colorScale" priority="61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V23:V26">
    <cfRule type="colorScale" priority="6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V68:V69">
    <cfRule type="colorScale" priority="63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V22:V26">
    <cfRule type="colorScale" priority="6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V38:V43">
    <cfRule type="colorScale" priority="65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L4:L10">
    <cfRule type="colorScale" priority="66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N4:N10">
    <cfRule type="colorScale" priority="67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L18">
    <cfRule type="colorScale" priority="68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N18">
    <cfRule type="colorScale" priority="69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L23:L26">
    <cfRule type="colorScale" priority="70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N23:N26">
    <cfRule type="colorScale" priority="71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L34">
    <cfRule type="colorScale" priority="7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N34">
    <cfRule type="colorScale" priority="73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L64">
    <cfRule type="colorScale" priority="7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N64">
    <cfRule type="cellIs" priority="75" operator="greaterThan" aboveAverage="0" equalAverage="0" bottom="0" percent="0" rank="0" text="" dxfId="59">
      <formula>0</formula>
    </cfRule>
    <cfRule type="colorScale" priority="76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L4:L10 L18">
    <cfRule type="colorScale" priority="77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N4:N10 N18">
    <cfRule type="colorScale" priority="78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L22:L26 L34 N22:N26 N34">
    <cfRule type="colorScale" priority="79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N64 L64 N53:N62">
    <cfRule type="colorScale" priority="80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N68">
    <cfRule type="colorScale" priority="81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L70:L72">
    <cfRule type="cellIs" priority="82" operator="greaterThan" aboveAverage="0" equalAverage="0" bottom="0" percent="0" rank="0" text="" dxfId="60">
      <formula>0</formula>
    </cfRule>
  </conditionalFormatting>
  <conditionalFormatting sqref="L64">
    <cfRule type="colorScale" priority="83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L68:L69 L77:L83">
    <cfRule type="colorScale" priority="8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L68:L69 L77:L83">
    <cfRule type="colorScale" priority="85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V38:V43">
    <cfRule type="colorScale" priority="86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N53:N62">
    <cfRule type="colorScale" priority="87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V22">
    <cfRule type="colorScale" priority="88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L22">
    <cfRule type="colorScale" priority="89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N22">
    <cfRule type="colorScale" priority="90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V77:V83">
    <cfRule type="colorScale" priority="91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V68:V69 V77:V83">
    <cfRule type="colorScale" priority="9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Y49">
    <cfRule type="cellIs" priority="93" operator="lessThan" aboveAverage="0" equalAverage="0" bottom="0" percent="0" rank="0" text="" dxfId="61">
      <formula>1</formula>
    </cfRule>
    <cfRule type="cellIs" priority="94" operator="equal" aboveAverage="0" equalAverage="0" bottom="0" percent="0" rank="0" text="" dxfId="62">
      <formula>1</formula>
    </cfRule>
    <cfRule type="cellIs" priority="95" operator="greaterThan" aboveAverage="0" equalAverage="0" bottom="0" percent="0" rank="0" text="" dxfId="63">
      <formula>1</formula>
    </cfRule>
  </conditionalFormatting>
  <conditionalFormatting sqref="L53:L63">
    <cfRule type="cellIs" priority="96" operator="lessThan" aboveAverage="0" equalAverage="0" bottom="0" percent="0" rank="0" text="" dxfId="64">
      <formula>0</formula>
    </cfRule>
    <cfRule type="cellIs" priority="97" operator="greaterThan" aboveAverage="0" equalAverage="0" bottom="0" percent="0" rank="0" text="" dxfId="65">
      <formula>0</formula>
    </cfRule>
  </conditionalFormatting>
  <conditionalFormatting sqref="N63">
    <cfRule type="cellIs" priority="98" operator="greaterThan" aboveAverage="0" equalAverage="0" bottom="0" percent="0" rank="0" text="" dxfId="66">
      <formula>0</formula>
    </cfRule>
  </conditionalFormatting>
  <conditionalFormatting sqref="V53:V63">
    <cfRule type="cellIs" priority="99" operator="lessThan" aboveAverage="0" equalAverage="0" bottom="0" percent="0" rank="0" text="" dxfId="67">
      <formula>0</formula>
    </cfRule>
    <cfRule type="cellIs" priority="100" operator="greaterThan" aboveAverage="0" equalAverage="0" bottom="0" percent="0" rank="0" text="" dxfId="68">
      <formula>0</formula>
    </cfRule>
  </conditionalFormatting>
  <conditionalFormatting sqref="N69">
    <cfRule type="cellIs" priority="101" operator="lessThan" aboveAverage="0" equalAverage="0" bottom="0" percent="0" rank="0" text="" dxfId="69">
      <formula>0</formula>
    </cfRule>
    <cfRule type="cellIs" priority="102" operator="greaterThan" aboveAverage="0" equalAverage="0" bottom="0" percent="0" rank="0" text="" dxfId="70">
      <formula>0</formula>
    </cfRule>
  </conditionalFormatting>
  <conditionalFormatting sqref="R4:R10 R12:R18">
    <cfRule type="cellIs" priority="103" operator="lessThan" aboveAverage="0" equalAverage="0" bottom="0" percent="0" rank="0" text="" dxfId="71">
      <formula>1</formula>
    </cfRule>
    <cfRule type="cellIs" priority="104" operator="greaterThan" aboveAverage="0" equalAverage="0" bottom="0" percent="0" rank="0" text="" dxfId="72">
      <formula>1</formula>
    </cfRule>
  </conditionalFormatting>
  <conditionalFormatting sqref="R22:R34">
    <cfRule type="cellIs" priority="105" operator="lessThan" aboveAverage="0" equalAverage="0" bottom="0" percent="0" rank="0" text="" dxfId="73">
      <formula>1</formula>
    </cfRule>
    <cfRule type="cellIs" priority="106" operator="greaterThan" aboveAverage="0" equalAverage="0" bottom="0" percent="0" rank="0" text="" dxfId="74">
      <formula>1</formula>
    </cfRule>
  </conditionalFormatting>
  <conditionalFormatting sqref="R38:R49">
    <cfRule type="cellIs" priority="107" operator="lessThan" aboveAverage="0" equalAverage="0" bottom="0" percent="0" rank="0" text="" dxfId="75">
      <formula>1</formula>
    </cfRule>
    <cfRule type="cellIs" priority="108" operator="greaterThan" aboveAverage="0" equalAverage="0" bottom="0" percent="0" rank="0" text="" dxfId="76">
      <formula>1</formula>
    </cfRule>
  </conditionalFormatting>
  <conditionalFormatting sqref="R53:R64">
    <cfRule type="cellIs" priority="109" operator="lessThan" aboveAverage="0" equalAverage="0" bottom="0" percent="0" rank="0" text="" dxfId="77">
      <formula>1</formula>
    </cfRule>
    <cfRule type="cellIs" priority="110" operator="greaterThan" aboveAverage="0" equalAverage="0" bottom="0" percent="0" rank="0" text="" dxfId="78">
      <formula>1</formula>
    </cfRule>
  </conditionalFormatting>
  <conditionalFormatting sqref="R69:R70">
    <cfRule type="cellIs" priority="111" operator="lessThan" aboveAverage="0" equalAverage="0" bottom="0" percent="0" rank="0" text="" dxfId="79">
      <formula>1</formula>
    </cfRule>
    <cfRule type="cellIs" priority="112" operator="greaterThan" aboveAverage="0" equalAverage="0" bottom="0" percent="0" rank="0" text="" dxfId="80">
      <formula>1</formula>
    </cfRule>
  </conditionalFormatting>
  <conditionalFormatting sqref="R73">
    <cfRule type="cellIs" priority="113" operator="lessThan" aboveAverage="0" equalAverage="0" bottom="0" percent="0" rank="0" text="" dxfId="81">
      <formula>1</formula>
    </cfRule>
    <cfRule type="cellIs" priority="114" operator="greaterThan" aboveAverage="0" equalAverage="0" bottom="0" percent="0" rank="0" text="" dxfId="82">
      <formula>1</formula>
    </cfRule>
  </conditionalFormatting>
  <conditionalFormatting sqref="R77:R84">
    <cfRule type="cellIs" priority="115" operator="lessThan" aboveAverage="0" equalAverage="0" bottom="0" percent="0" rank="0" text="" dxfId="83">
      <formula>1</formula>
    </cfRule>
    <cfRule type="cellIs" priority="116" operator="greaterThan" aboveAverage="0" equalAverage="0" bottom="0" percent="0" rank="0" text="" dxfId="84">
      <formula>1</formula>
    </cfRule>
  </conditionalFormatting>
  <conditionalFormatting sqref="R87">
    <cfRule type="cellIs" priority="117" operator="lessThan" aboveAverage="0" equalAverage="0" bottom="0" percent="0" rank="0" text="" dxfId="85">
      <formula>1</formula>
    </cfRule>
    <cfRule type="cellIs" priority="118" operator="greaterThan" aboveAverage="0" equalAverage="0" bottom="0" percent="0" rank="0" text="" dxfId="86">
      <formula>1</formula>
    </cfRule>
  </conditionalFormatting>
  <conditionalFormatting sqref="N73">
    <cfRule type="colorScale" priority="119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N73">
    <cfRule type="colorScale" priority="120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L73">
    <cfRule type="colorScale" priority="121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P49">
    <cfRule type="cellIs" priority="122" operator="lessThan" aboveAverage="0" equalAverage="0" bottom="0" percent="0" rank="0" text="" dxfId="87">
      <formula>0.45</formula>
    </cfRule>
    <cfRule type="cellIs" priority="123" operator="greaterThan" aboveAverage="0" equalAverage="0" bottom="0" percent="0" rank="0" text="" dxfId="88">
      <formula>0.45</formula>
    </cfRule>
  </conditionalFormatting>
  <conditionalFormatting sqref="L49">
    <cfRule type="colorScale" priority="12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N49">
    <cfRule type="colorScale" priority="125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L49 N38:N43 N49 L39:L43">
    <cfRule type="colorScale" priority="126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N38:N43 L39:L43">
    <cfRule type="colorScale" priority="127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L40:L43">
    <cfRule type="colorScale" priority="128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L40:L43">
    <cfRule type="colorScale" priority="129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L38:L43">
    <cfRule type="colorScale" priority="130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L38:L43">
    <cfRule type="colorScale" priority="131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N77:N83">
    <cfRule type="colorScale" priority="13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L84:L86">
    <cfRule type="cellIs" priority="133" operator="greaterThan" aboveAverage="0" equalAverage="0" bottom="0" percent="0" rank="0" text="" dxfId="89">
      <formula>0</formula>
    </cfRule>
  </conditionalFormatting>
  <conditionalFormatting sqref="N78:N83 N87">
    <cfRule type="colorScale" priority="13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V34 V49 V18">
    <cfRule type="cellIs" priority="135" operator="equal" aboveAverage="0" equalAverage="0" bottom="0" percent="0" rank="0" text="" dxfId="90">
      <formula>1</formula>
    </cfRule>
    <cfRule type="cellIs" priority="136" operator="lessThan" aboveAverage="0" equalAverage="0" bottom="0" percent="0" rank="0" text="" dxfId="91">
      <formula>1</formula>
    </cfRule>
    <cfRule type="cellIs" priority="137" operator="greaterThan" aboveAverage="0" equalAverage="0" bottom="0" percent="0" rank="0" text="" dxfId="92">
      <formula>1</formula>
    </cfRule>
  </conditionalFormatting>
  <conditionalFormatting sqref="V64 V73 V87">
    <cfRule type="cellIs" priority="138" operator="equal" aboveAverage="0" equalAverage="0" bottom="0" percent="0" rank="0" text="" dxfId="93">
      <formula>1</formula>
    </cfRule>
    <cfRule type="cellIs" priority="139" operator="lessThan" aboveAverage="0" equalAverage="0" bottom="0" percent="0" rank="0" text="" dxfId="94">
      <formula>1</formula>
    </cfRule>
    <cfRule type="cellIs" priority="140" operator="greaterThan" aboveAverage="0" equalAverage="0" bottom="0" percent="0" rank="0" text="" dxfId="95">
      <formula>1</formula>
    </cfRule>
  </conditionalFormatting>
  <conditionalFormatting sqref="P34 P38:P42 P44 P53:P58 P63:P64 P69 P72:P73 P77:P83 P87 P22:P28">
    <cfRule type="cellIs" priority="141" operator="greaterThan" aboveAverage="0" equalAverage="0" bottom="0" percent="0" rank="0" text="" dxfId="96">
      <formula>Sheet2!$C$7</formula>
    </cfRule>
    <cfRule type="cellIs" priority="142" operator="lessThan" aboveAverage="0" equalAverage="0" bottom="0" percent="0" rank="0" text="" dxfId="97">
      <formula>Sheet2!$C$7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2" activeCellId="0" sqref="B2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16.57"/>
    <col collapsed="false" customWidth="true" hidden="false" outlineLevel="0" max="2" min="2" style="1" width="15.28"/>
    <col collapsed="false" customWidth="true" hidden="false" outlineLevel="0" max="3" min="3" style="1" width="20.71"/>
    <col collapsed="false" customWidth="true" hidden="false" outlineLevel="0" max="5" min="4" style="1" width="18.71"/>
  </cols>
  <sheetData>
    <row r="1" customFormat="false" ht="13.8" hidden="false" customHeight="false" outlineLevel="0" collapsed="false">
      <c r="A1" s="123" t="s">
        <v>66</v>
      </c>
      <c r="B1" s="124" t="n">
        <v>31</v>
      </c>
    </row>
    <row r="2" customFormat="false" ht="13.8" hidden="false" customHeight="false" outlineLevel="0" collapsed="false">
      <c r="A2" s="125" t="s">
        <v>67</v>
      </c>
      <c r="B2" s="126" t="n">
        <v>7</v>
      </c>
    </row>
    <row r="4" customFormat="false" ht="13.8" hidden="false" customHeight="false" outlineLevel="0" collapsed="false">
      <c r="B4" s="127" t="s">
        <v>68</v>
      </c>
      <c r="C4" s="127"/>
      <c r="D4" s="127"/>
      <c r="E4" s="127"/>
    </row>
    <row r="5" customFormat="false" ht="13.8" hidden="false" customHeight="false" outlineLevel="0" collapsed="false">
      <c r="B5" s="128" t="s">
        <v>69</v>
      </c>
      <c r="C5" s="128" t="s">
        <v>70</v>
      </c>
      <c r="D5" s="128" t="s">
        <v>71</v>
      </c>
      <c r="E5" s="129" t="s">
        <v>72</v>
      </c>
    </row>
    <row r="6" customFormat="false" ht="14.9" hidden="false" customHeight="false" outlineLevel="0" collapsed="false">
      <c r="A6" s="130" t="s">
        <v>15</v>
      </c>
      <c r="B6" s="131" t="n">
        <f aca="false">Sheet1!I4-Sheet1!C4*Deviation!$B$2/Deviation!$B$1</f>
        <v>918.161290322581</v>
      </c>
      <c r="C6" s="131" t="n">
        <f aca="false">Sheet1!J4-Sheet1!D4*Deviation!$B$2/Deviation!$B$1</f>
        <v>1468.94165901269</v>
      </c>
      <c r="D6" s="132" t="n">
        <f aca="false">Sheet1!K4-Sheet1!E4</f>
        <v>-83776.3035622097</v>
      </c>
      <c r="E6" s="132" t="n">
        <f aca="false">Sheet1!M4-Sheet1!F4</f>
        <v>-11844.6887799002</v>
      </c>
    </row>
    <row r="7" customFormat="false" ht="14.9" hidden="false" customHeight="false" outlineLevel="0" collapsed="false">
      <c r="A7" s="133" t="s">
        <v>73</v>
      </c>
      <c r="B7" s="131" t="n">
        <f aca="false">Sheet1!I5-Sheet1!C5*Deviation!$B$2/Deviation!$B$1</f>
        <v>600.193548387097</v>
      </c>
      <c r="C7" s="131" t="n">
        <f aca="false">Sheet1!J5-Sheet1!D5*Deviation!$B$2/Deviation!$B$1</f>
        <v>702.935483870968</v>
      </c>
      <c r="D7" s="132" t="n">
        <f aca="false">Sheet1!K5-Sheet1!E5</f>
        <v>-118851.152073733</v>
      </c>
      <c r="E7" s="132" t="n">
        <f aca="false">Sheet1!M5-Sheet1!F5</f>
        <v>40954.3561819347</v>
      </c>
    </row>
    <row r="8" customFormat="false" ht="14.9" hidden="false" customHeight="false" outlineLevel="0" collapsed="false">
      <c r="A8" s="133" t="s">
        <v>17</v>
      </c>
      <c r="B8" s="131" t="n">
        <f aca="false">Sheet1!I6-Sheet1!C6*Deviation!$B$2/Deviation!$B$1</f>
        <v>293.806451612903</v>
      </c>
      <c r="C8" s="131" t="n">
        <f aca="false">Sheet1!J6-Sheet1!D6*Deviation!$B$2/Deviation!$B$1</f>
        <v>422.741935483871</v>
      </c>
      <c r="D8" s="132" t="n">
        <f aca="false">Sheet1!K6-Sheet1!E6</f>
        <v>36018.9246378618</v>
      </c>
      <c r="E8" s="132" t="n">
        <f aca="false">Sheet1!M6-Sheet1!F6</f>
        <v>70505.1607434698</v>
      </c>
    </row>
    <row r="9" customFormat="false" ht="14.9" hidden="false" customHeight="false" outlineLevel="0" collapsed="false">
      <c r="A9" s="133" t="s">
        <v>18</v>
      </c>
      <c r="B9" s="131" t="n">
        <f aca="false">Sheet1!I7-Sheet1!C7*Deviation!$B$2/Deviation!$B$1</f>
        <v>2885.67741935484</v>
      </c>
      <c r="C9" s="131" t="n">
        <f aca="false">Sheet1!J7-Sheet1!D7*Deviation!$B$2/Deviation!$B$1</f>
        <v>4842.77419354839</v>
      </c>
      <c r="D9" s="132" t="n">
        <f aca="false">Sheet1!K7-Sheet1!E7</f>
        <v>-44410.3280376734</v>
      </c>
      <c r="E9" s="132" t="n">
        <f aca="false">Sheet1!M7-Sheet1!F7</f>
        <v>1722.5444167247</v>
      </c>
    </row>
    <row r="10" customFormat="false" ht="14.9" hidden="false" customHeight="false" outlineLevel="0" collapsed="false">
      <c r="A10" s="133" t="s">
        <v>19</v>
      </c>
      <c r="B10" s="131" t="n">
        <f aca="false">Sheet1!I8-Sheet1!C8*Deviation!$B$2/Deviation!$B$1</f>
        <v>66.2903225806452</v>
      </c>
      <c r="C10" s="131" t="n">
        <f aca="false">Sheet1!J8-Sheet1!D8*Deviation!$B$2/Deviation!$B$1</f>
        <v>224.451612903226</v>
      </c>
      <c r="D10" s="132" t="n">
        <f aca="false">Sheet1!K8-Sheet1!E8</f>
        <v>96989.4117647058</v>
      </c>
      <c r="E10" s="132" t="n">
        <f aca="false">Sheet1!M8-Sheet1!F8</f>
        <v>-136680.756302521</v>
      </c>
    </row>
    <row r="11" customFormat="false" ht="14.9" hidden="false" customHeight="false" outlineLevel="0" collapsed="false">
      <c r="A11" s="133" t="s">
        <v>74</v>
      </c>
      <c r="B11" s="131" t="n">
        <f aca="false">Sheet1!I9-Sheet1!C9*Deviation!$B$2/Deviation!$B$1</f>
        <v>29.9354838709677</v>
      </c>
      <c r="C11" s="131" t="n">
        <f aca="false">Sheet1!J9-Sheet1!D9*Deviation!$B$2/Deviation!$B$1</f>
        <v>61.3870967741935</v>
      </c>
      <c r="D11" s="132" t="n">
        <f aca="false">Sheet1!K9-Sheet1!E9</f>
        <v>-177477.477477478</v>
      </c>
      <c r="E11" s="132" t="n">
        <f aca="false">Sheet1!M9-Sheet1!F9</f>
        <v>-115649.256020862</v>
      </c>
    </row>
    <row r="12" customFormat="false" ht="14.9" hidden="false" customHeight="false" outlineLevel="0" collapsed="false">
      <c r="A12" s="133" t="s">
        <v>21</v>
      </c>
      <c r="B12" s="131" t="n">
        <f aca="false">Sheet1!I10-Sheet1!C10*Deviation!$B$2/Deviation!$B$1</f>
        <v>49.8387096774194</v>
      </c>
      <c r="C12" s="131" t="n">
        <f aca="false">Sheet1!J10-Sheet1!D10*Deviation!$B$2/Deviation!$B$1</f>
        <v>77.5161290322581</v>
      </c>
      <c r="D12" s="132" t="n">
        <f aca="false">Sheet1!K10-Sheet1!E10</f>
        <v>190316.455696203</v>
      </c>
      <c r="E12" s="132" t="n">
        <f aca="false">Sheet1!M9-Sheet1!F9</f>
        <v>-115649.256020862</v>
      </c>
    </row>
    <row r="13" customFormat="false" ht="14.9" hidden="false" customHeight="false" outlineLevel="0" collapsed="false">
      <c r="A13" s="133" t="s">
        <v>22</v>
      </c>
      <c r="B13" s="131" t="n">
        <f aca="false">Sheet1!I11-Sheet1!C11*Deviation!$B$2/Deviation!$B$1</f>
        <v>7233.12903225806</v>
      </c>
      <c r="C13" s="131" t="n">
        <f aca="false">Sheet1!J11-Sheet1!D11*Deviation!$B$2/Deviation!$B$1</f>
        <v>12191.7419354839</v>
      </c>
      <c r="D13" s="132"/>
      <c r="E13" s="132"/>
    </row>
    <row r="14" customFormat="false" ht="14.9" hidden="false" customHeight="false" outlineLevel="0" collapsed="false">
      <c r="A14" s="134" t="s">
        <v>30</v>
      </c>
      <c r="B14" s="135" t="n">
        <f aca="false">Sheet1!I18-Sheet1!C18*Deviation!$B$2/Deviation!$B$1</f>
        <v>11410.1612903226</v>
      </c>
      <c r="C14" s="135" t="n">
        <f aca="false">Sheet1!J18-Sheet1!D18*Deviation!$B$2/Deviation!$B$1</f>
        <v>18793.3548387097</v>
      </c>
      <c r="D14" s="136" t="n">
        <f aca="false">Sheet1!K18-Sheet1!E18</f>
        <v>55676.6440959935</v>
      </c>
      <c r="E14" s="136" t="n">
        <f aca="false">Sheet1!M18-Sheet1!F18</f>
        <v>51241.9904221183</v>
      </c>
    </row>
    <row r="16" customFormat="false" ht="13.8" hidden="false" customHeight="false" outlineLevel="0" collapsed="false">
      <c r="B16" s="127" t="s">
        <v>75</v>
      </c>
      <c r="C16" s="127"/>
      <c r="D16" s="127"/>
      <c r="E16" s="127"/>
    </row>
    <row r="17" customFormat="false" ht="13.8" hidden="false" customHeight="false" outlineLevel="0" collapsed="false">
      <c r="B17" s="128" t="s">
        <v>69</v>
      </c>
      <c r="C17" s="128" t="s">
        <v>76</v>
      </c>
      <c r="D17" s="128" t="s">
        <v>71</v>
      </c>
      <c r="E17" s="129" t="s">
        <v>77</v>
      </c>
    </row>
    <row r="18" customFormat="false" ht="14.9" hidden="false" customHeight="false" outlineLevel="0" collapsed="false">
      <c r="A18" s="12" t="s">
        <v>37</v>
      </c>
      <c r="B18" s="137" t="n">
        <f aca="false">Sheet1!I22-Sheet1!C22*Deviation!$B$2/Deviation!$B$1</f>
        <v>-56.4516129032258</v>
      </c>
      <c r="C18" s="137" t="n">
        <f aca="false">Sheet1!J22-Sheet1!D22*Deviation!$B$2/Deviation!$B$1</f>
        <v>-80.8387096774194</v>
      </c>
      <c r="D18" s="138" t="e">
        <f aca="false">Sheet1!K22-Sheet1!E22</f>
        <v>#DIV/0!</v>
      </c>
      <c r="E18" s="138" t="e">
        <f aca="false">Sheet1!M22-Sheet1!F22</f>
        <v>#DIV/0!</v>
      </c>
    </row>
    <row r="19" customFormat="false" ht="14.9" hidden="false" customHeight="false" outlineLevel="0" collapsed="false">
      <c r="A19" s="24" t="s">
        <v>45</v>
      </c>
      <c r="B19" s="131" t="n">
        <f aca="false">Sheet1!I23-Sheet1!C23*Deviation!$B$2/Deviation!$B$1</f>
        <v>988</v>
      </c>
      <c r="C19" s="131" t="n">
        <f aca="false">Sheet1!J23-Sheet1!D23*Deviation!$B$2/Deviation!$B$1</f>
        <v>1393.64516129032</v>
      </c>
      <c r="D19" s="132" t="n">
        <f aca="false">Sheet1!K23-Sheet1!E23</f>
        <v>84779.1798107256</v>
      </c>
      <c r="E19" s="132" t="n">
        <f aca="false">Sheet1!M23-Sheet1!F23</f>
        <v>62148.2210866454</v>
      </c>
    </row>
    <row r="20" customFormat="false" ht="14.9" hidden="false" customHeight="false" outlineLevel="0" collapsed="false">
      <c r="A20" s="24" t="s">
        <v>17</v>
      </c>
      <c r="B20" s="131" t="n">
        <f aca="false">Sheet1!I24-Sheet1!C24*Deviation!$B$2/Deviation!$B$1</f>
        <v>582</v>
      </c>
      <c r="C20" s="131" t="n">
        <f aca="false">Sheet1!J24-Sheet1!D24*Deviation!$B$2/Deviation!$B$1</f>
        <v>787</v>
      </c>
      <c r="D20" s="132" t="n">
        <f aca="false">Sheet1!K24-Sheet1!E24</f>
        <v>389690.721649485</v>
      </c>
      <c r="E20" s="132" t="e">
        <f aca="false">Sheet1!M24-Sheet1!F24</f>
        <v>#DIV/0!</v>
      </c>
    </row>
    <row r="21" customFormat="false" ht="14.9" hidden="false" customHeight="false" outlineLevel="0" collapsed="false">
      <c r="A21" s="24" t="s">
        <v>18</v>
      </c>
      <c r="B21" s="131" t="n">
        <f aca="false">Sheet1!I25-Sheet1!C25*Deviation!$B$2/Deviation!$B$1</f>
        <v>64.4193548387097</v>
      </c>
      <c r="C21" s="131" t="n">
        <f aca="false">Sheet1!J25-Sheet1!D25*Deviation!$B$2/Deviation!$B$1</f>
        <v>94.7096774193549</v>
      </c>
      <c r="D21" s="132" t="n">
        <f aca="false">Sheet1!K25-Sheet1!E25</f>
        <v>6896.55172413791</v>
      </c>
      <c r="E21" s="132" t="n">
        <f aca="false">Sheet1!M25-Sheet1!F25</f>
        <v>-980.122239965072</v>
      </c>
    </row>
    <row r="22" customFormat="false" ht="14.9" hidden="false" customHeight="false" outlineLevel="0" collapsed="false">
      <c r="A22" s="24" t="s">
        <v>21</v>
      </c>
      <c r="B22" s="131" t="n">
        <f aca="false">Sheet1!I26-Sheet1!C26*Deviation!$B$2/Deviation!$B$1</f>
        <v>325</v>
      </c>
      <c r="C22" s="131" t="n">
        <f aca="false">Sheet1!J26-Sheet1!D26*Deviation!$B$2/Deviation!$B$1</f>
        <v>424</v>
      </c>
      <c r="D22" s="132" t="n">
        <f aca="false">Sheet1!K26-Sheet1!E26</f>
        <v>800955.569230769</v>
      </c>
      <c r="E22" s="132" t="n">
        <f aca="false">Sheet1!M26-Sheet1!F26</f>
        <v>613940</v>
      </c>
    </row>
    <row r="23" customFormat="false" ht="14.9" hidden="false" customHeight="false" outlineLevel="0" collapsed="false">
      <c r="A23" s="24" t="s">
        <v>53</v>
      </c>
      <c r="B23" s="131" t="e">
        <f aca="false">sheet1 #REF!-sheet1 #REF!*Deviation!$B$2/Deviation!$B$1</f>
        <v>#VALUE!</v>
      </c>
      <c r="C23" s="131" t="e">
        <f aca="false">sheet1 #REF!-sheet1 #REF!*Deviation!$B$2/Deviation!$B$1</f>
        <v>#VALUE!</v>
      </c>
      <c r="D23" s="132"/>
      <c r="E23" s="132"/>
    </row>
    <row r="24" customFormat="false" ht="14.9" hidden="false" customHeight="false" outlineLevel="0" collapsed="false">
      <c r="A24" s="42" t="s">
        <v>30</v>
      </c>
      <c r="B24" s="135" t="n">
        <f aca="false">Sheet1!I34-Sheet1!C34*Deviation!$B$2/Deviation!$B$1</f>
        <v>10816.4516129032</v>
      </c>
      <c r="C24" s="135" t="n">
        <f aca="false">Sheet1!J34-Sheet1!D34*Deviation!$B$2/Deviation!$B$1</f>
        <v>16830</v>
      </c>
      <c r="D24" s="136" t="n">
        <f aca="false">Sheet1!K34-Sheet1!E34</f>
        <v>95461.9400801831</v>
      </c>
      <c r="E24" s="136" t="n">
        <f aca="false">Sheet1!M34-Sheet1!F34</f>
        <v>60230.5785678033</v>
      </c>
    </row>
    <row r="26" customFormat="false" ht="13.8" hidden="false" customHeight="false" outlineLevel="0" collapsed="false">
      <c r="B26" s="127" t="s">
        <v>41</v>
      </c>
      <c r="C26" s="127"/>
      <c r="D26" s="127"/>
      <c r="E26" s="127"/>
    </row>
    <row r="27" customFormat="false" ht="13.8" hidden="false" customHeight="false" outlineLevel="0" collapsed="false">
      <c r="B27" s="128" t="s">
        <v>69</v>
      </c>
      <c r="C27" s="128" t="s">
        <v>76</v>
      </c>
      <c r="D27" s="128" t="s">
        <v>71</v>
      </c>
      <c r="E27" s="129" t="s">
        <v>77</v>
      </c>
    </row>
    <row r="28" customFormat="false" ht="14.9" hidden="false" customHeight="false" outlineLevel="0" collapsed="false">
      <c r="A28" s="12" t="s">
        <v>37</v>
      </c>
      <c r="B28" s="137" t="n">
        <f aca="false">Sheet1!I38-Sheet1!C38*$B$2/$B$1</f>
        <v>2886.32258064516</v>
      </c>
      <c r="C28" s="137" t="n">
        <f aca="false">Sheet1!J38-Sheet1!D38*$B$2/$B$1</f>
        <v>3572.80234815993</v>
      </c>
      <c r="D28" s="138" t="n">
        <f aca="false">Sheet1!K38-Sheet1!E38</f>
        <v>-64164.4618099319</v>
      </c>
      <c r="E28" s="138" t="n">
        <f aca="false">Sheet1!M38-Sheet1!F38</f>
        <v>-52234.9711090745</v>
      </c>
    </row>
    <row r="29" customFormat="false" ht="14.9" hidden="false" customHeight="false" outlineLevel="0" collapsed="false">
      <c r="A29" s="24" t="s">
        <v>51</v>
      </c>
      <c r="B29" s="131" t="n">
        <f aca="false">Sheet1!I39-Sheet1!C39*$B$2/$B$1</f>
        <v>2904.16129032258</v>
      </c>
      <c r="C29" s="131" t="n">
        <f aca="false">Sheet1!J39-Sheet1!D39*$B$2/$B$1</f>
        <v>3770.03225806452</v>
      </c>
      <c r="D29" s="132" t="n">
        <f aca="false">Sheet1!K39-Sheet1!E39</f>
        <v>0</v>
      </c>
      <c r="E29" s="132" t="n">
        <f aca="false">Sheet1!M39-Sheet1!F39</f>
        <v>-1524.71821847442</v>
      </c>
    </row>
    <row r="30" customFormat="false" ht="14.9" hidden="false" customHeight="false" outlineLevel="0" collapsed="false">
      <c r="A30" s="24" t="s">
        <v>53</v>
      </c>
      <c r="B30" s="131" t="n">
        <f aca="false">Sheet1!I44-Sheet1!C44*Deviation!$B$2/Deviation!$B$1</f>
        <v>27997.8387096774</v>
      </c>
      <c r="C30" s="131" t="n">
        <f aca="false">Sheet1!J44-Sheet1!D44*Deviation!$B$2/Deviation!$B$1</f>
        <v>43751.9073292594</v>
      </c>
      <c r="D30" s="132"/>
      <c r="E30" s="132"/>
    </row>
    <row r="31" customFormat="false" ht="14.9" hidden="false" customHeight="false" outlineLevel="0" collapsed="false">
      <c r="A31" s="42" t="s">
        <v>30</v>
      </c>
      <c r="B31" s="135" t="n">
        <f aca="false">Sheet1!I49-Sheet1!C49*Deviation!$B$2/Deviation!$B$1</f>
        <v>35867</v>
      </c>
      <c r="C31" s="135" t="n">
        <f aca="false">Sheet1!J49-Sheet1!D49*Deviation!$B$2/Deviation!$B$1</f>
        <v>54098.3548387097</v>
      </c>
      <c r="D31" s="136" t="n">
        <f aca="false">Sheet1!K49-Sheet1!E49</f>
        <v>12196.6874666553</v>
      </c>
      <c r="E31" s="136" t="n">
        <f aca="false">Sheet1!M49-Sheet1!F49</f>
        <v>6182.76407900336</v>
      </c>
    </row>
    <row r="33" customFormat="false" ht="13.8" hidden="false" customHeight="false" outlineLevel="0" collapsed="false">
      <c r="B33" s="127" t="s">
        <v>78</v>
      </c>
      <c r="C33" s="127"/>
      <c r="D33" s="127"/>
      <c r="E33" s="127"/>
    </row>
    <row r="34" customFormat="false" ht="13.8" hidden="false" customHeight="false" outlineLevel="0" collapsed="false">
      <c r="B34" s="128" t="s">
        <v>69</v>
      </c>
      <c r="C34" s="128" t="s">
        <v>76</v>
      </c>
      <c r="D34" s="128" t="s">
        <v>71</v>
      </c>
      <c r="E34" s="129" t="s">
        <v>77</v>
      </c>
    </row>
    <row r="35" customFormat="false" ht="14.9" hidden="false" customHeight="false" outlineLevel="0" collapsed="false">
      <c r="A35" s="12" t="s">
        <v>37</v>
      </c>
      <c r="B35" s="137" t="n">
        <f aca="false">Sheet1!I53-Sheet1!C53*Deviation!$B$2/Deviation!$B$1</f>
        <v>-56.4516129032258</v>
      </c>
      <c r="C35" s="137" t="n">
        <f aca="false">Sheet1!J53-Sheet1!D53*Deviation!$B$2/Deviation!$B$1</f>
        <v>-89.1935483870968</v>
      </c>
      <c r="D35" s="138" t="n">
        <f aca="false">Sheet1!K53-Sheet1!E53</f>
        <v>-2258300</v>
      </c>
      <c r="E35" s="138" t="n">
        <f aca="false">Sheet1!M53-Sheet1!F53</f>
        <v>-1429303.79746835</v>
      </c>
    </row>
    <row r="36" customFormat="false" ht="14.9" hidden="false" customHeight="false" outlineLevel="0" collapsed="false">
      <c r="A36" s="24" t="s">
        <v>51</v>
      </c>
      <c r="B36" s="131" t="e">
        <f aca="false">sheet1 #REF!-Sheet1!C60*Deviation!$B$3/Deviation!$B$2</f>
        <v>#VALUE!</v>
      </c>
      <c r="C36" s="131" t="e">
        <f aca="false">sheet1 #REF!-Sheet1!D60*Deviation!$B$3/Deviation!$B$2</f>
        <v>#VALUE!</v>
      </c>
      <c r="D36" s="132" t="n">
        <f aca="false">Sheet1!K60-Sheet1!E60</f>
        <v>0</v>
      </c>
      <c r="E36" s="132" t="n">
        <f aca="false">Sheet1!M60-Sheet1!F60</f>
        <v>0</v>
      </c>
    </row>
    <row r="37" customFormat="false" ht="14.9" hidden="false" customHeight="false" outlineLevel="0" collapsed="false">
      <c r="A37" s="24" t="s">
        <v>79</v>
      </c>
      <c r="B37" s="131" t="n">
        <f aca="false">Sheet1!I66-Sheet1!C66*Deviation!$B$2/Deviation!$B$1</f>
        <v>0</v>
      </c>
      <c r="C37" s="131" t="n">
        <f aca="false">Sheet1!J66-Sheet1!D66*Deviation!$B$2/Deviation!$B$1</f>
        <v>0</v>
      </c>
      <c r="D37" s="132"/>
      <c r="E37" s="132"/>
    </row>
    <row r="38" customFormat="false" ht="14.9" hidden="false" customHeight="false" outlineLevel="0" collapsed="false">
      <c r="A38" s="42" t="s">
        <v>30</v>
      </c>
      <c r="B38" s="135" t="n">
        <f aca="false">Sheet1!I64-Sheet1!C64*Deviation!$B$2/Deviation!$B$1</f>
        <v>3098.58064516129</v>
      </c>
      <c r="C38" s="135" t="n">
        <f aca="false">Sheet1!J64-Sheet1!D64*Deviation!$B$2/Deviation!$B$1</f>
        <v>5734.77419354839</v>
      </c>
      <c r="D38" s="136" t="n">
        <f aca="false">Sheet1!K64-Sheet1!E64</f>
        <v>39017.7221354395</v>
      </c>
      <c r="E38" s="136" t="n">
        <f aca="false">Sheet1!M64-Sheet1!F64</f>
        <v>-16517.9334047863</v>
      </c>
    </row>
    <row r="40" customFormat="false" ht="13.8" hidden="false" customHeight="false" outlineLevel="0" collapsed="false">
      <c r="B40" s="127" t="s">
        <v>80</v>
      </c>
      <c r="C40" s="127"/>
      <c r="D40" s="127"/>
      <c r="E40" s="127"/>
    </row>
    <row r="41" customFormat="false" ht="13.8" hidden="false" customHeight="false" outlineLevel="0" collapsed="false">
      <c r="B41" s="128" t="s">
        <v>69</v>
      </c>
      <c r="C41" s="128" t="s">
        <v>76</v>
      </c>
      <c r="D41" s="128" t="s">
        <v>71</v>
      </c>
      <c r="E41" s="129" t="s">
        <v>72</v>
      </c>
    </row>
    <row r="42" customFormat="false" ht="14.9" hidden="false" customHeight="false" outlineLevel="0" collapsed="false">
      <c r="A42" s="12" t="s">
        <v>15</v>
      </c>
      <c r="B42" s="137" t="n">
        <f aca="false">Sheet1!I68-Sheet1!C68*Deviation!$B$2/Deviation!$B$1</f>
        <v>0</v>
      </c>
      <c r="C42" s="137" t="n">
        <f aca="false">Sheet1!J68-Sheet1!D68*Deviation!$B$2/Deviation!$B$1</f>
        <v>0</v>
      </c>
      <c r="D42" s="138" t="n">
        <f aca="false">IFERROR(Sheet1!K68-Sheet1!E68,"")</f>
        <v>0</v>
      </c>
      <c r="E42" s="138" t="str">
        <f aca="false">IFERROR(Sheet1!M68-Sheet1!F68,"")</f>
        <v/>
      </c>
    </row>
    <row r="43" customFormat="false" ht="14.9" hidden="false" customHeight="false" outlineLevel="0" collapsed="false">
      <c r="A43" s="24" t="s">
        <v>51</v>
      </c>
      <c r="B43" s="131" t="e">
        <f aca="false">sheet1 #REF!-Sheet1!C69*Deviation!$B$2/Deviation!$B$1</f>
        <v>#VALUE!</v>
      </c>
      <c r="C43" s="131" t="e">
        <f aca="false">sheet1 #REF!-Sheet1!D69*Deviation!$B$2/Deviation!$B$1</f>
        <v>#VALUE!</v>
      </c>
      <c r="D43" s="132" t="n">
        <f aca="false">Sheet1!K69-Sheet1!E69</f>
        <v>-1459.85401459876</v>
      </c>
      <c r="E43" s="132" t="n">
        <f aca="false">Sheet1!M69-Sheet1!F69</f>
        <v>-52590.6225374311</v>
      </c>
    </row>
    <row r="44" customFormat="false" ht="14.9" hidden="false" customHeight="false" outlineLevel="0" collapsed="false">
      <c r="A44" s="24" t="s">
        <v>53</v>
      </c>
      <c r="B44" s="131" t="n">
        <f aca="false">Sheet1!I72-Sheet1!C72*Deviation!$B$2/Deviation!$B$1</f>
        <v>299.516129032258</v>
      </c>
      <c r="C44" s="131" t="n">
        <f aca="false">Sheet1!J72-Sheet1!D72*Deviation!$B$2/Deviation!$B$1</f>
        <v>969.58064516129</v>
      </c>
      <c r="D44" s="132"/>
      <c r="E44" s="132"/>
    </row>
    <row r="45" customFormat="false" ht="14.9" hidden="false" customHeight="false" outlineLevel="0" collapsed="false">
      <c r="A45" s="42" t="s">
        <v>30</v>
      </c>
      <c r="B45" s="135" t="n">
        <f aca="false">Sheet1!I73-Sheet1!C73*Deviation!$B$2/Deviation!$B$1</f>
        <v>377.806451612903</v>
      </c>
      <c r="C45" s="135" t="n">
        <f aca="false">Sheet1!J73-Sheet1!D73*Deviation!$B$2/Deviation!$B$1</f>
        <v>1193.16129032258</v>
      </c>
      <c r="D45" s="136" t="n">
        <f aca="false">Sheet1!K73-Sheet1!E73</f>
        <v>-1651008.26624627</v>
      </c>
      <c r="E45" s="136" t="n">
        <f aca="false">Sheet1!M73-Sheet1!F73</f>
        <v>-675627.234337141</v>
      </c>
    </row>
  </sheetData>
  <mergeCells count="5">
    <mergeCell ref="B4:E4"/>
    <mergeCell ref="B16:E16"/>
    <mergeCell ref="B26:E26"/>
    <mergeCell ref="B33:E33"/>
    <mergeCell ref="B40:E40"/>
  </mergeCells>
  <conditionalFormatting sqref="B6:C14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  <cfRule type="colorScale" priority="3">
      <colorScale>
        <cfvo type="min" val="0"/>
        <cfvo type="max" val="0"/>
        <color rgb="FFF8696B"/>
        <color rgb="FFFCFCFF"/>
      </colorScale>
    </cfRule>
  </conditionalFormatting>
  <conditionalFormatting sqref="D6:E14">
    <cfRule type="colorScale" priority="4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B18:C24">
    <cfRule type="colorScale" priority="5">
      <colorScale>
        <cfvo type="min" val="0"/>
        <cfvo type="percentile" val="50"/>
        <cfvo type="max" val="0"/>
        <color rgb="FFF8696B"/>
        <color rgb="FFFCFCFF"/>
        <color rgb="FF63BE7B"/>
      </colorScale>
    </cfRule>
    <cfRule type="colorScale" priority="6">
      <colorScale>
        <cfvo type="min" val="0"/>
        <cfvo type="max" val="0"/>
        <color rgb="FFF8696B"/>
        <color rgb="FFFCFCFF"/>
      </colorScale>
    </cfRule>
  </conditionalFormatting>
  <conditionalFormatting sqref="D18:E24">
    <cfRule type="colorScale" priority="7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D6:D14">
    <cfRule type="colorScale" priority="8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6:E14">
    <cfRule type="colorScale" priority="9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18:D24">
    <cfRule type="colorScale" priority="10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18:E24">
    <cfRule type="colorScale" priority="11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28:B31">
    <cfRule type="colorScale" priority="12">
      <colorScale>
        <cfvo type="min" val="0"/>
        <cfvo type="percentile" val="50"/>
        <cfvo type="max" val="0"/>
        <color rgb="FFF8696B"/>
        <color rgb="FFFCFCFF"/>
        <color rgb="FF63BE7B"/>
      </colorScale>
    </cfRule>
    <cfRule type="colorScale" priority="13">
      <colorScale>
        <cfvo type="min" val="0"/>
        <cfvo type="max" val="0"/>
        <color rgb="FFF8696B"/>
        <color rgb="FFFCFCFF"/>
      </colorScale>
    </cfRule>
  </conditionalFormatting>
  <conditionalFormatting sqref="C28:C31">
    <cfRule type="colorScale" priority="14">
      <colorScale>
        <cfvo type="min" val="0"/>
        <cfvo type="percentile" val="50"/>
        <cfvo type="max" val="0"/>
        <color rgb="FFF8696B"/>
        <color rgb="FFFCFCFF"/>
        <color rgb="FF63BE7B"/>
      </colorScale>
    </cfRule>
    <cfRule type="colorScale" priority="15">
      <colorScale>
        <cfvo type="min" val="0"/>
        <cfvo type="max" val="0"/>
        <color rgb="FFF8696B"/>
        <color rgb="FFFCFCFF"/>
      </colorScale>
    </cfRule>
  </conditionalFormatting>
  <conditionalFormatting sqref="D28:E31">
    <cfRule type="colorScale" priority="16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D28:E31">
    <cfRule type="colorScale" priority="17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35:B38">
    <cfRule type="colorScale" priority="18">
      <colorScale>
        <cfvo type="min" val="0"/>
        <cfvo type="percentile" val="50"/>
        <cfvo type="max" val="0"/>
        <color rgb="FFF8696B"/>
        <color rgb="FFFCFCFF"/>
        <color rgb="FF63BE7B"/>
      </colorScale>
    </cfRule>
    <cfRule type="colorScale" priority="19">
      <colorScale>
        <cfvo type="min" val="0"/>
        <cfvo type="max" val="0"/>
        <color rgb="FFF8696B"/>
        <color rgb="FFFCFCFF"/>
      </colorScale>
    </cfRule>
  </conditionalFormatting>
  <conditionalFormatting sqref="C35:C38">
    <cfRule type="colorScale" priority="20">
      <colorScale>
        <cfvo type="min" val="0"/>
        <cfvo type="percentile" val="50"/>
        <cfvo type="max" val="0"/>
        <color rgb="FFF8696B"/>
        <color rgb="FFFCFCFF"/>
        <color rgb="FF63BE7B"/>
      </colorScale>
    </cfRule>
    <cfRule type="colorScale" priority="21">
      <colorScale>
        <cfvo type="min" val="0"/>
        <cfvo type="max" val="0"/>
        <color rgb="FFF8696B"/>
        <color rgb="FFFCFCFF"/>
      </colorScale>
    </cfRule>
  </conditionalFormatting>
  <conditionalFormatting sqref="D35:E38">
    <cfRule type="colorScale" priority="22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D35:E38">
    <cfRule type="colorScale" priority="23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42:B45">
    <cfRule type="colorScale" priority="24">
      <colorScale>
        <cfvo type="min" val="0"/>
        <cfvo type="percentile" val="50"/>
        <cfvo type="max" val="0"/>
        <color rgb="FFF8696B"/>
        <color rgb="FFFCFCFF"/>
        <color rgb="FF63BE7B"/>
      </colorScale>
    </cfRule>
    <cfRule type="colorScale" priority="25">
      <colorScale>
        <cfvo type="min" val="0"/>
        <cfvo type="max" val="0"/>
        <color rgb="FFF8696B"/>
        <color rgb="FFFCFCFF"/>
      </colorScale>
    </cfRule>
  </conditionalFormatting>
  <conditionalFormatting sqref="C42:C45">
    <cfRule type="colorScale" priority="26">
      <colorScale>
        <cfvo type="min" val="0"/>
        <cfvo type="percentile" val="50"/>
        <cfvo type="max" val="0"/>
        <color rgb="FFF8696B"/>
        <color rgb="FFFCFCFF"/>
        <color rgb="FF63BE7B"/>
      </colorScale>
    </cfRule>
    <cfRule type="colorScale" priority="27">
      <colorScale>
        <cfvo type="min" val="0"/>
        <cfvo type="max" val="0"/>
        <color rgb="FFF8696B"/>
        <color rgb="FFFCFCFF"/>
      </colorScale>
    </cfRule>
  </conditionalFormatting>
  <conditionalFormatting sqref="D42:E45">
    <cfRule type="colorScale" priority="28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D42:E45">
    <cfRule type="colorScale" priority="29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8" activeCellId="0" sqref="B8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24"/>
    <col collapsed="false" customWidth="true" hidden="false" outlineLevel="0" max="2" min="2" style="1" width="17"/>
    <col collapsed="false" customWidth="true" hidden="false" outlineLevel="0" max="3" min="3" style="1" width="10"/>
    <col collapsed="false" customWidth="true" hidden="false" outlineLevel="0" max="4" min="4" style="1" width="12.43"/>
    <col collapsed="false" customWidth="true" hidden="false" outlineLevel="0" max="5" min="5" style="1" width="14.28"/>
    <col collapsed="false" customWidth="true" hidden="false" outlineLevel="0" max="6" min="6" style="139" width="14.28"/>
    <col collapsed="false" customWidth="true" hidden="false" outlineLevel="0" max="7" min="7" style="1" width="19.28"/>
    <col collapsed="false" customWidth="true" hidden="false" outlineLevel="0" max="11" min="11" style="1" width="10.57"/>
    <col collapsed="false" customWidth="true" hidden="false" outlineLevel="0" max="13" min="13" style="1" width="9.57"/>
  </cols>
  <sheetData>
    <row r="1" customFormat="false" ht="13.8" hidden="false" customHeight="false" outlineLevel="0" collapsed="false">
      <c r="A1" s="1" t="s">
        <v>81</v>
      </c>
      <c r="B1" s="1" t="n">
        <v>31</v>
      </c>
      <c r="F1" s="139" t="s">
        <v>82</v>
      </c>
      <c r="G1" s="1" t="s">
        <v>83</v>
      </c>
      <c r="H1" s="1" t="s">
        <v>84</v>
      </c>
    </row>
    <row r="2" customFormat="false" ht="13.8" hidden="false" customHeight="false" outlineLevel="0" collapsed="false">
      <c r="A2" s="1" t="s">
        <v>85</v>
      </c>
      <c r="B2" s="1" t="n">
        <v>1.12</v>
      </c>
      <c r="E2" s="140"/>
      <c r="F2" s="139" t="n">
        <v>44889</v>
      </c>
      <c r="G2" s="1" t="n">
        <v>407</v>
      </c>
      <c r="H2" s="1" t="n">
        <v>677</v>
      </c>
    </row>
    <row r="3" customFormat="false" ht="13.8" hidden="false" customHeight="false" outlineLevel="0" collapsed="false">
      <c r="A3" s="1" t="s">
        <v>86</v>
      </c>
      <c r="B3" s="1" t="n">
        <v>1.1</v>
      </c>
      <c r="E3" s="140"/>
      <c r="F3" s="139" t="n">
        <v>44890</v>
      </c>
      <c r="G3" s="1" t="n">
        <v>307</v>
      </c>
      <c r="H3" s="1" t="n">
        <v>539</v>
      </c>
    </row>
    <row r="4" customFormat="false" ht="13.8" hidden="false" customHeight="false" outlineLevel="0" collapsed="false">
      <c r="A4" s="1" t="s">
        <v>87</v>
      </c>
      <c r="B4" s="1" t="n">
        <v>1.1</v>
      </c>
      <c r="E4" s="140"/>
      <c r="F4" s="139" t="n">
        <v>44891</v>
      </c>
      <c r="G4" s="1" t="n">
        <v>492</v>
      </c>
      <c r="H4" s="1" t="n">
        <v>887</v>
      </c>
    </row>
    <row r="5" customFormat="false" ht="13.8" hidden="false" customHeight="false" outlineLevel="0" collapsed="false">
      <c r="A5" s="1" t="s">
        <v>88</v>
      </c>
      <c r="B5" s="1" t="n">
        <v>1</v>
      </c>
      <c r="E5" s="140"/>
      <c r="F5" s="139" t="n">
        <v>44892</v>
      </c>
      <c r="G5" s="1" t="n">
        <v>478</v>
      </c>
      <c r="H5" s="1" t="n">
        <v>810</v>
      </c>
    </row>
    <row r="6" customFormat="false" ht="13.8" hidden="false" customHeight="false" outlineLevel="0" collapsed="false">
      <c r="A6" s="1" t="s">
        <v>89</v>
      </c>
      <c r="B6" s="1" t="n">
        <v>1</v>
      </c>
      <c r="E6" s="140"/>
      <c r="F6" s="139" t="n">
        <v>44893</v>
      </c>
      <c r="G6" s="1" t="n">
        <v>490</v>
      </c>
      <c r="H6" s="1" t="n">
        <v>839</v>
      </c>
    </row>
    <row r="7" customFormat="false" ht="13.8" hidden="false" customHeight="false" outlineLevel="0" collapsed="false">
      <c r="A7" s="1" t="s">
        <v>90</v>
      </c>
      <c r="B7" s="1" t="n">
        <v>21</v>
      </c>
      <c r="C7" s="141" t="n">
        <f aca="false">B7/B1</f>
        <v>0.67741935483871</v>
      </c>
      <c r="E7" s="140"/>
      <c r="F7" s="139" t="n">
        <v>44894</v>
      </c>
      <c r="G7" s="1" t="n">
        <v>454</v>
      </c>
      <c r="H7" s="1" t="n">
        <v>742</v>
      </c>
    </row>
    <row r="8" customFormat="false" ht="13.8" hidden="false" customHeight="false" outlineLevel="0" collapsed="false">
      <c r="A8" s="1" t="s">
        <v>91</v>
      </c>
      <c r="B8" s="1" t="n">
        <f aca="false">B1/B7</f>
        <v>1.47619047619048</v>
      </c>
      <c r="F8" s="139" t="n">
        <v>44895</v>
      </c>
      <c r="G8" s="1" t="n">
        <v>497</v>
      </c>
      <c r="H8" s="1" t="n">
        <v>814</v>
      </c>
    </row>
    <row r="9" customFormat="false" ht="13.8" hidden="false" customHeight="false" outlineLevel="0" collapsed="false">
      <c r="A9" s="1" t="s">
        <v>92</v>
      </c>
      <c r="B9" s="1" t="n">
        <f aca="false">B1-B7</f>
        <v>10</v>
      </c>
      <c r="F9" s="139" t="n">
        <v>44896</v>
      </c>
      <c r="G9" s="1" t="n">
        <v>425</v>
      </c>
      <c r="H9" s="1" t="n">
        <v>717</v>
      </c>
    </row>
    <row r="10" customFormat="false" ht="13.8" hidden="false" customHeight="false" outlineLevel="0" collapsed="false">
      <c r="F10" s="139" t="n">
        <v>44897</v>
      </c>
      <c r="G10" s="1" t="n">
        <v>307</v>
      </c>
      <c r="H10" s="1" t="n">
        <v>502</v>
      </c>
    </row>
    <row r="11" customFormat="false" ht="13.8" hidden="false" customHeight="false" outlineLevel="0" collapsed="false">
      <c r="B11" s="39"/>
      <c r="F11" s="139" t="n">
        <v>44898</v>
      </c>
      <c r="G11" s="1" t="n">
        <v>433</v>
      </c>
      <c r="H11" s="1" t="n">
        <v>707</v>
      </c>
    </row>
    <row r="12" customFormat="false" ht="13.8" hidden="false" customHeight="false" outlineLevel="0" collapsed="false">
      <c r="F12" s="139" t="n">
        <v>44899</v>
      </c>
      <c r="G12" s="1" t="n">
        <v>456</v>
      </c>
      <c r="H12" s="1" t="n">
        <v>757</v>
      </c>
    </row>
    <row r="13" customFormat="false" ht="13.8" hidden="false" customHeight="false" outlineLevel="0" collapsed="false">
      <c r="A13" s="1" t="s">
        <v>93</v>
      </c>
      <c r="B13" s="1" t="n">
        <v>1.5</v>
      </c>
      <c r="F13" s="139" t="n">
        <v>44900</v>
      </c>
      <c r="G13" s="1" t="n">
        <v>457</v>
      </c>
      <c r="H13" s="1" t="n">
        <v>773</v>
      </c>
    </row>
    <row r="14" customFormat="false" ht="13.8" hidden="false" customHeight="false" outlineLevel="0" collapsed="false">
      <c r="B14" s="142"/>
      <c r="F14" s="139" t="n">
        <v>44901</v>
      </c>
      <c r="G14" s="1" t="n">
        <v>469</v>
      </c>
      <c r="H14" s="1" t="n">
        <v>742</v>
      </c>
    </row>
    <row r="15" customFormat="false" ht="13.8" hidden="false" customHeight="false" outlineLevel="0" collapsed="false">
      <c r="A15" s="1" t="s">
        <v>94</v>
      </c>
      <c r="B15" s="142" t="s">
        <v>95</v>
      </c>
      <c r="C15" s="1" t="s">
        <v>96</v>
      </c>
      <c r="F15" s="139" t="n">
        <v>44902</v>
      </c>
      <c r="G15" s="1" t="n">
        <v>391</v>
      </c>
      <c r="H15" s="1" t="n">
        <v>663</v>
      </c>
    </row>
    <row r="16" customFormat="false" ht="13.8" hidden="false" customHeight="false" outlineLevel="0" collapsed="false">
      <c r="A16" s="12" t="s">
        <v>15</v>
      </c>
      <c r="B16" s="61" t="n">
        <f aca="false">Sheet1!J4/Sheet1!I4</f>
        <v>1.68932988208226</v>
      </c>
      <c r="C16" s="61" t="n">
        <v>1.88688858695652</v>
      </c>
      <c r="E16" s="15"/>
      <c r="F16" s="143" t="n">
        <v>44903</v>
      </c>
      <c r="G16" s="1" t="n">
        <v>383</v>
      </c>
      <c r="H16" s="1" t="n">
        <v>696</v>
      </c>
    </row>
    <row r="17" customFormat="false" ht="13.8" hidden="false" customHeight="false" outlineLevel="0" collapsed="false">
      <c r="A17" s="24" t="s">
        <v>73</v>
      </c>
      <c r="B17" s="61" t="n">
        <f aca="false">Sheet1!J5/Sheet1!I5</f>
        <v>1.43870967741935</v>
      </c>
      <c r="C17" s="61" t="n">
        <v>1.70604890604891</v>
      </c>
      <c r="E17" s="15"/>
      <c r="F17" s="143" t="n">
        <v>44904</v>
      </c>
      <c r="G17" s="1" t="n">
        <v>329</v>
      </c>
      <c r="H17" s="1" t="n">
        <v>543</v>
      </c>
    </row>
    <row r="18" customFormat="false" ht="13.8" hidden="false" customHeight="false" outlineLevel="0" collapsed="false">
      <c r="A18" s="24" t="s">
        <v>17</v>
      </c>
      <c r="B18" s="61" t="n">
        <f aca="false">Sheet1!J6/Sheet1!I6</f>
        <v>1.59965034965035</v>
      </c>
      <c r="C18" s="61" t="n">
        <v>1.69169960474308</v>
      </c>
      <c r="D18" s="22"/>
      <c r="E18" s="15"/>
      <c r="F18" s="143" t="n">
        <v>44905</v>
      </c>
      <c r="G18" s="1" t="n">
        <v>471</v>
      </c>
      <c r="H18" s="1" t="n">
        <v>787</v>
      </c>
    </row>
    <row r="19" customFormat="false" ht="13.8" hidden="false" customHeight="false" outlineLevel="0" collapsed="false">
      <c r="A19" s="24" t="s">
        <v>18</v>
      </c>
      <c r="B19" s="61" t="n">
        <f aca="false">Sheet1!J7/Sheet1!I7</f>
        <v>1.69199057714959</v>
      </c>
      <c r="C19" s="61" t="n">
        <v>1.739336492891</v>
      </c>
      <c r="D19" s="22"/>
      <c r="E19" s="15"/>
      <c r="F19" s="143" t="n">
        <v>44906</v>
      </c>
      <c r="G19" s="1" t="n">
        <v>456</v>
      </c>
      <c r="H19" s="1" t="n">
        <v>808</v>
      </c>
    </row>
    <row r="20" customFormat="false" ht="13.8" hidden="false" customHeight="false" outlineLevel="0" collapsed="false">
      <c r="A20" s="24" t="s">
        <v>19</v>
      </c>
      <c r="B20" s="61" t="n">
        <f aca="false">Sheet1!J8/Sheet1!I8</f>
        <v>2.47058823529412</v>
      </c>
      <c r="C20" s="61" t="n">
        <v>1.9438202247191</v>
      </c>
      <c r="D20" s="22"/>
      <c r="E20" s="15"/>
      <c r="F20" s="143" t="n">
        <v>44907</v>
      </c>
      <c r="G20" s="1" t="n">
        <v>486</v>
      </c>
      <c r="H20" s="1" t="n">
        <v>836</v>
      </c>
    </row>
    <row r="21" customFormat="false" ht="13.8" hidden="false" customHeight="false" outlineLevel="0" collapsed="false">
      <c r="A21" s="24" t="s">
        <v>74</v>
      </c>
      <c r="B21" s="61" t="n">
        <f aca="false">Sheet1!J9/Sheet1!I9</f>
        <v>1.84684684684685</v>
      </c>
      <c r="C21" s="61" t="n">
        <v>1.50135501355014</v>
      </c>
      <c r="D21" s="22"/>
      <c r="E21" s="15"/>
      <c r="F21" s="143" t="n">
        <v>44908</v>
      </c>
      <c r="G21" s="1" t="n">
        <v>521</v>
      </c>
      <c r="H21" s="1" t="n">
        <v>889</v>
      </c>
    </row>
    <row r="22" customFormat="false" ht="13.8" hidden="false" customHeight="false" outlineLevel="0" collapsed="false">
      <c r="A22" s="24" t="s">
        <v>21</v>
      </c>
      <c r="B22" s="61" t="n">
        <f aca="false">Sheet1!J9/Sheet1!I9</f>
        <v>1.84684684684685</v>
      </c>
      <c r="C22" s="61" t="n">
        <v>2.02914389799636</v>
      </c>
      <c r="D22" s="22"/>
      <c r="E22" s="15"/>
      <c r="F22" s="143" t="n">
        <v>44909</v>
      </c>
      <c r="G22" s="1" t="n">
        <v>481</v>
      </c>
      <c r="H22" s="1" t="n">
        <v>844</v>
      </c>
    </row>
    <row r="23" customFormat="false" ht="13.8" hidden="false" customHeight="false" outlineLevel="0" collapsed="false">
      <c r="A23" s="24" t="s">
        <v>22</v>
      </c>
      <c r="B23" s="61" t="n">
        <f aca="false">Sheet1!J10/Sheet1!I10</f>
        <v>1.70253164556962</v>
      </c>
      <c r="C23" s="61" t="n">
        <v>1.86239333813098</v>
      </c>
      <c r="D23" s="22"/>
      <c r="E23" s="15"/>
      <c r="F23" s="143" t="n">
        <v>44910</v>
      </c>
      <c r="G23" s="1" t="n">
        <v>424</v>
      </c>
      <c r="H23" s="1" t="n">
        <v>670</v>
      </c>
    </row>
    <row r="24" customFormat="false" ht="13.8" hidden="false" customHeight="false" outlineLevel="0" collapsed="false">
      <c r="C24" s="22"/>
      <c r="D24" s="22"/>
      <c r="E24" s="39"/>
      <c r="F24" s="139" t="n">
        <v>44911</v>
      </c>
      <c r="G24" s="1" t="n">
        <v>385</v>
      </c>
      <c r="H24" s="1" t="n">
        <v>699</v>
      </c>
    </row>
    <row r="25" customFormat="false" ht="13.8" hidden="false" customHeight="false" outlineLevel="0" collapsed="false">
      <c r="A25" s="1" t="s">
        <v>97</v>
      </c>
      <c r="C25" s="22"/>
      <c r="D25" s="22"/>
      <c r="F25" s="139" t="n">
        <v>44912</v>
      </c>
      <c r="G25" s="1" t="n">
        <v>464</v>
      </c>
      <c r="H25" s="1" t="n">
        <v>798</v>
      </c>
    </row>
    <row r="26" customFormat="false" ht="13.8" hidden="false" customHeight="false" outlineLevel="0" collapsed="false">
      <c r="A26" s="24" t="s">
        <v>45</v>
      </c>
      <c r="B26" s="61" t="n">
        <f aca="false">Sheet1!J23/Sheet1!I23</f>
        <v>1.41482649842271</v>
      </c>
      <c r="C26" s="61" t="n">
        <v>1.28618147223213</v>
      </c>
      <c r="F26" s="139" t="n">
        <v>44913</v>
      </c>
      <c r="G26" s="1" t="n">
        <v>511</v>
      </c>
      <c r="H26" s="1" t="n">
        <v>907</v>
      </c>
    </row>
    <row r="27" customFormat="false" ht="13.8" hidden="false" customHeight="false" outlineLevel="0" collapsed="false">
      <c r="A27" s="24" t="s">
        <v>17</v>
      </c>
      <c r="B27" s="61" t="n">
        <f aca="false">Sheet1!J24/Sheet1!I24</f>
        <v>1.35223367697595</v>
      </c>
      <c r="C27" s="61" t="n">
        <v>1.3042709123073</v>
      </c>
      <c r="F27" s="139" t="n">
        <v>44914</v>
      </c>
      <c r="G27" s="1" t="n">
        <v>510</v>
      </c>
      <c r="H27" s="1" t="n">
        <v>931</v>
      </c>
    </row>
    <row r="28" customFormat="false" ht="13.8" hidden="false" customHeight="false" outlineLevel="0" collapsed="false">
      <c r="A28" s="24" t="s">
        <v>18</v>
      </c>
      <c r="B28" s="61" t="n">
        <f aca="false">Sheet1!J25/Sheet1!I25</f>
        <v>1.45977011494253</v>
      </c>
      <c r="C28" s="61" t="n">
        <v>1.38125170811697</v>
      </c>
      <c r="F28" s="139" t="n">
        <v>44915</v>
      </c>
      <c r="G28" s="1" t="n">
        <v>435</v>
      </c>
      <c r="H28" s="1" t="n">
        <v>695</v>
      </c>
    </row>
    <row r="29" customFormat="false" ht="13.8" hidden="false" customHeight="false" outlineLevel="0" collapsed="false">
      <c r="A29" s="24" t="s">
        <v>21</v>
      </c>
      <c r="B29" s="61" t="n">
        <f aca="false">Sheet1!J26/Sheet1!I26</f>
        <v>1.30461538461538</v>
      </c>
      <c r="C29" s="61" t="n">
        <v>1.49120234604106</v>
      </c>
      <c r="F29" s="139" t="n">
        <v>44916</v>
      </c>
      <c r="G29" s="1" t="n">
        <v>438</v>
      </c>
      <c r="H29" s="1" t="n">
        <v>700</v>
      </c>
    </row>
    <row r="30" customFormat="false" ht="13.8" hidden="false" customHeight="false" outlineLevel="0" collapsed="false">
      <c r="A30" s="24" t="s">
        <v>53</v>
      </c>
      <c r="B30" s="61" t="e">
        <f aca="false">sheet1 #REF!/sheet1 #REF!</f>
        <v>#VALUE!</v>
      </c>
      <c r="C30" s="61" t="n">
        <v>1.55922277862848</v>
      </c>
      <c r="F30" s="139" t="n">
        <v>44917</v>
      </c>
      <c r="G30" s="1" t="n">
        <v>472</v>
      </c>
      <c r="H30" s="1" t="n">
        <v>798</v>
      </c>
    </row>
    <row r="31" customFormat="false" ht="13.8" hidden="false" customHeight="false" outlineLevel="0" collapsed="false">
      <c r="F31" s="139" t="n">
        <v>44918</v>
      </c>
      <c r="G31" s="1" t="n">
        <v>513</v>
      </c>
      <c r="H31" s="1" t="n">
        <v>900</v>
      </c>
    </row>
    <row r="32" customFormat="false" ht="13.8" hidden="false" customHeight="false" outlineLevel="0" collapsed="false">
      <c r="F32" s="139" t="n">
        <v>44919</v>
      </c>
      <c r="G32" s="1" t="n">
        <v>571</v>
      </c>
      <c r="H32" s="1" t="n">
        <v>956</v>
      </c>
    </row>
    <row r="33" customFormat="false" ht="13.8" hidden="false" customHeight="false" outlineLevel="0" collapsed="false">
      <c r="B33" s="1" t="s">
        <v>98</v>
      </c>
      <c r="C33" s="1" t="s">
        <v>6</v>
      </c>
      <c r="D33" s="1" t="s">
        <v>33</v>
      </c>
      <c r="E33" s="1" t="s">
        <v>8</v>
      </c>
      <c r="F33" s="139" t="n">
        <v>44920</v>
      </c>
      <c r="G33" s="1" t="n">
        <v>540</v>
      </c>
      <c r="H33" s="1" t="n">
        <v>939</v>
      </c>
    </row>
    <row r="34" customFormat="false" ht="13.8" hidden="false" customHeight="false" outlineLevel="0" collapsed="false">
      <c r="A34" s="1" t="s">
        <v>99</v>
      </c>
      <c r="B34" s="22" t="n">
        <v>285000000</v>
      </c>
      <c r="C34" s="22"/>
      <c r="E34" s="39" t="e">
        <f aca="false">B34/C34</f>
        <v>#DIV/0!</v>
      </c>
      <c r="F34" s="144" t="n">
        <v>44921</v>
      </c>
      <c r="G34" s="1" t="n">
        <v>558</v>
      </c>
      <c r="H34" s="1" t="n">
        <v>1031</v>
      </c>
    </row>
    <row r="35" customFormat="false" ht="13.8" hidden="false" customHeight="false" outlineLevel="0" collapsed="false">
      <c r="A35" s="1" t="s">
        <v>100</v>
      </c>
      <c r="B35" s="22" t="n">
        <v>375000000</v>
      </c>
      <c r="D35" s="22"/>
      <c r="E35" s="39" t="e">
        <f aca="false">B35/C35</f>
        <v>#DIV/0!</v>
      </c>
      <c r="F35" s="139" t="n">
        <v>44922</v>
      </c>
      <c r="G35" s="1" t="n">
        <v>495</v>
      </c>
      <c r="H35" s="1" t="n">
        <v>840</v>
      </c>
    </row>
    <row r="36" customFormat="false" ht="13.8" hidden="false" customHeight="false" outlineLevel="0" collapsed="false">
      <c r="A36" s="1" t="s">
        <v>101</v>
      </c>
      <c r="B36" s="22" t="n">
        <v>8000000</v>
      </c>
      <c r="C36" s="1" t="n">
        <v>3</v>
      </c>
      <c r="D36" s="1" t="n">
        <v>250</v>
      </c>
      <c r="E36" s="39" t="e">
        <f aca="false">B35/C35</f>
        <v>#DIV/0!</v>
      </c>
      <c r="F36" s="139" t="n">
        <v>44923</v>
      </c>
      <c r="G36" s="1" t="n">
        <v>483</v>
      </c>
      <c r="H36" s="1" t="n">
        <v>809</v>
      </c>
    </row>
    <row r="37" customFormat="false" ht="13.8" hidden="false" customHeight="false" outlineLevel="0" collapsed="false">
      <c r="A37" s="1" t="s">
        <v>102</v>
      </c>
      <c r="B37" s="22" t="n">
        <f aca="false">SUM(B34:B35)</f>
        <v>660000000</v>
      </c>
      <c r="C37" s="22" t="n">
        <f aca="false">SUM(C34:C35)</f>
        <v>0</v>
      </c>
      <c r="D37" s="1" t="n">
        <v>5</v>
      </c>
      <c r="E37" s="39" t="n">
        <f aca="false">B36/C36</f>
        <v>2666666.66666667</v>
      </c>
      <c r="F37" s="139" t="n">
        <v>44924</v>
      </c>
      <c r="G37" s="1" t="n">
        <v>460</v>
      </c>
      <c r="H37" s="1" t="n">
        <v>775</v>
      </c>
    </row>
    <row r="38" customFormat="false" ht="13.8" hidden="false" customHeight="false" outlineLevel="0" collapsed="false">
      <c r="A38" s="1" t="s">
        <v>103</v>
      </c>
      <c r="B38" s="22"/>
      <c r="C38" s="22" t="n">
        <f aca="false">31+93</f>
        <v>124</v>
      </c>
      <c r="D38" s="22" t="n">
        <f aca="false">SUM(D35:D36)</f>
        <v>250</v>
      </c>
      <c r="E38" s="39" t="e">
        <f aca="false">B37/C37</f>
        <v>#DIV/0!</v>
      </c>
      <c r="F38" s="139" t="n">
        <v>44925</v>
      </c>
      <c r="G38" s="1" t="n">
        <v>400</v>
      </c>
      <c r="H38" s="1" t="n">
        <v>704</v>
      </c>
    </row>
    <row r="39" customFormat="false" ht="13.8" hidden="false" customHeight="false" outlineLevel="0" collapsed="false">
      <c r="A39" s="1" t="s">
        <v>104</v>
      </c>
      <c r="B39" s="22"/>
      <c r="C39" s="22" t="n">
        <v>6</v>
      </c>
      <c r="D39" s="22" t="n">
        <f aca="false">38+97</f>
        <v>135</v>
      </c>
      <c r="E39" s="39"/>
      <c r="F39" s="139" t="n">
        <v>44926</v>
      </c>
      <c r="G39" s="1" t="n">
        <v>554</v>
      </c>
      <c r="H39" s="1" t="n">
        <v>882</v>
      </c>
    </row>
    <row r="40" customFormat="false" ht="13.8" hidden="false" customHeight="false" outlineLevel="0" collapsed="false">
      <c r="A40" s="1" t="s">
        <v>105</v>
      </c>
      <c r="B40" s="1" t="s">
        <v>106</v>
      </c>
      <c r="C40" s="1" t="s">
        <v>6</v>
      </c>
      <c r="D40" s="22" t="n">
        <v>7</v>
      </c>
      <c r="E40" s="39"/>
      <c r="F40" s="139" t="n">
        <v>44927</v>
      </c>
      <c r="G40" s="1" t="n">
        <v>539</v>
      </c>
      <c r="H40" s="1" t="n">
        <v>909</v>
      </c>
    </row>
    <row r="41" customFormat="false" ht="13.8" hidden="false" customHeight="false" outlineLevel="0" collapsed="false">
      <c r="A41" s="1" t="s">
        <v>37</v>
      </c>
      <c r="B41" s="22" t="n">
        <v>5719831930</v>
      </c>
      <c r="C41" s="39" t="n">
        <v>5088</v>
      </c>
      <c r="D41" s="1" t="s">
        <v>107</v>
      </c>
      <c r="E41" s="1" t="s">
        <v>8</v>
      </c>
      <c r="F41" s="139" t="n">
        <v>44928</v>
      </c>
      <c r="G41" s="1" t="n">
        <v>562</v>
      </c>
      <c r="H41" s="1" t="n">
        <v>911</v>
      </c>
    </row>
    <row r="42" customFormat="false" ht="13.8" hidden="false" customHeight="false" outlineLevel="0" collapsed="false">
      <c r="A42" s="1" t="s">
        <v>25</v>
      </c>
      <c r="B42" s="22" t="n">
        <v>12507750</v>
      </c>
      <c r="C42" s="39"/>
      <c r="D42" s="39" t="n">
        <v>8291</v>
      </c>
      <c r="E42" s="39" t="n">
        <f aca="false">B41/C41</f>
        <v>1124180.8038522</v>
      </c>
      <c r="F42" s="144" t="n">
        <v>44929</v>
      </c>
      <c r="G42" s="1" t="n">
        <v>558</v>
      </c>
      <c r="H42" s="1" t="n">
        <v>925</v>
      </c>
    </row>
    <row r="43" customFormat="false" ht="13.8" hidden="false" customHeight="false" outlineLevel="0" collapsed="false">
      <c r="A43" s="1" t="s">
        <v>45</v>
      </c>
      <c r="B43" s="22" t="n">
        <v>1809950000</v>
      </c>
      <c r="C43" s="39" t="n">
        <v>4945</v>
      </c>
      <c r="D43" s="39"/>
      <c r="E43" s="39" t="e">
        <f aca="false">B42/C42</f>
        <v>#DIV/0!</v>
      </c>
      <c r="F43" s="144" t="n">
        <v>44930</v>
      </c>
      <c r="G43" s="1" t="n">
        <v>467</v>
      </c>
      <c r="H43" s="1" t="n">
        <v>817</v>
      </c>
    </row>
    <row r="44" customFormat="false" ht="13.8" hidden="false" customHeight="false" outlineLevel="0" collapsed="false">
      <c r="A44" s="1" t="s">
        <v>17</v>
      </c>
      <c r="B44" s="22" t="n">
        <v>1143200000</v>
      </c>
      <c r="C44" s="39" t="n">
        <v>3732</v>
      </c>
      <c r="D44" s="39" t="n">
        <v>6580</v>
      </c>
      <c r="E44" s="39" t="n">
        <f aca="false">B43/C43</f>
        <v>366016.177957533</v>
      </c>
      <c r="F44" s="144" t="n">
        <v>44931</v>
      </c>
      <c r="G44" s="1" t="n">
        <v>429</v>
      </c>
      <c r="H44" s="1" t="n">
        <v>716</v>
      </c>
    </row>
    <row r="45" customFormat="false" ht="13.8" hidden="false" customHeight="false" outlineLevel="0" collapsed="false">
      <c r="A45" s="1" t="s">
        <v>18</v>
      </c>
      <c r="B45" s="22" t="n">
        <v>3387400000</v>
      </c>
      <c r="C45" s="39" t="n">
        <v>5494</v>
      </c>
      <c r="D45" s="39" t="n">
        <v>5069</v>
      </c>
      <c r="E45" s="39" t="n">
        <f aca="false">B44/C44</f>
        <v>306323.687031082</v>
      </c>
      <c r="F45" s="144" t="n">
        <v>44932</v>
      </c>
      <c r="G45" s="1" t="n">
        <v>365</v>
      </c>
      <c r="H45" s="1" t="n">
        <v>617</v>
      </c>
    </row>
    <row r="46" customFormat="false" ht="13.8" hidden="false" customHeight="false" outlineLevel="0" collapsed="false">
      <c r="A46" s="1" t="s">
        <v>21</v>
      </c>
      <c r="B46" s="22" t="n">
        <v>140100000</v>
      </c>
      <c r="C46" s="39" t="n">
        <v>540</v>
      </c>
      <c r="D46" s="39" t="n">
        <v>7163</v>
      </c>
      <c r="E46" s="39" t="n">
        <f aca="false">B45/C45</f>
        <v>616563.523844194</v>
      </c>
      <c r="F46" s="144" t="n">
        <v>44933</v>
      </c>
      <c r="G46" s="1" t="n">
        <v>512</v>
      </c>
      <c r="H46" s="1" t="n">
        <v>914</v>
      </c>
    </row>
    <row r="47" customFormat="false" ht="13.8" hidden="false" customHeight="false" outlineLevel="0" collapsed="false">
      <c r="A47" s="1" t="s">
        <v>52</v>
      </c>
      <c r="B47" s="22"/>
      <c r="C47" s="39"/>
      <c r="D47" s="39" t="n">
        <v>786</v>
      </c>
      <c r="E47" s="39" t="n">
        <f aca="false">B46/C46</f>
        <v>259444.444444444</v>
      </c>
      <c r="F47" s="144" t="n">
        <v>44934</v>
      </c>
      <c r="G47" s="1" t="n">
        <v>519</v>
      </c>
      <c r="H47" s="1" t="n">
        <v>848</v>
      </c>
    </row>
    <row r="48" customFormat="false" ht="13.8" hidden="false" customHeight="false" outlineLevel="0" collapsed="false">
      <c r="A48" s="1" t="s">
        <v>39</v>
      </c>
      <c r="B48" s="22"/>
      <c r="C48" s="39"/>
      <c r="D48" s="39"/>
      <c r="E48" s="1" t="e">
        <f aca="false">B47/C47</f>
        <v>#DIV/0!</v>
      </c>
      <c r="F48" s="139" t="n">
        <v>44935</v>
      </c>
      <c r="G48" s="1" t="n">
        <v>512</v>
      </c>
      <c r="H48" s="1" t="n">
        <v>853</v>
      </c>
    </row>
    <row r="49" customFormat="false" ht="13.8" hidden="false" customHeight="false" outlineLevel="0" collapsed="false">
      <c r="A49" s="1" t="s">
        <v>108</v>
      </c>
      <c r="B49" s="22"/>
      <c r="C49" s="39"/>
      <c r="D49" s="39"/>
      <c r="E49" s="1" t="e">
        <f aca="false">B48/C48</f>
        <v>#DIV/0!</v>
      </c>
      <c r="F49" s="139" t="n">
        <v>44936</v>
      </c>
      <c r="G49" s="1" t="n">
        <v>525</v>
      </c>
      <c r="H49" s="1" t="n">
        <v>872</v>
      </c>
    </row>
    <row r="50" customFormat="false" ht="13.8" hidden="false" customHeight="false" outlineLevel="0" collapsed="false">
      <c r="A50" s="1" t="s">
        <v>53</v>
      </c>
      <c r="B50" s="22"/>
      <c r="C50" s="22" t="n">
        <v>24302</v>
      </c>
      <c r="D50" s="39"/>
      <c r="E50" s="1" t="e">
        <f aca="false">B49/C49</f>
        <v>#DIV/0!</v>
      </c>
      <c r="F50" s="139" t="n">
        <v>44937</v>
      </c>
      <c r="G50" s="1" t="n">
        <v>501</v>
      </c>
      <c r="H50" s="1" t="n">
        <v>863</v>
      </c>
    </row>
    <row r="51" customFormat="false" ht="13.8" hidden="false" customHeight="false" outlineLevel="0" collapsed="false">
      <c r="A51" s="1" t="s">
        <v>109</v>
      </c>
      <c r="D51" s="22" t="n">
        <v>37856</v>
      </c>
      <c r="E51" s="1" t="n">
        <f aca="false">B50/C50</f>
        <v>0</v>
      </c>
      <c r="F51" s="139" t="n">
        <v>44938</v>
      </c>
      <c r="G51" s="1" t="n">
        <v>439</v>
      </c>
      <c r="H51" s="1" t="n">
        <v>775</v>
      </c>
    </row>
    <row r="52" customFormat="false" ht="13.8" hidden="false" customHeight="false" outlineLevel="0" collapsed="false">
      <c r="A52" s="1" t="s">
        <v>110</v>
      </c>
      <c r="E52" s="1" t="e">
        <f aca="false">B51/C51</f>
        <v>#DIV/0!</v>
      </c>
      <c r="F52" s="139" t="n">
        <v>44939</v>
      </c>
      <c r="G52" s="1" t="n">
        <v>328</v>
      </c>
      <c r="H52" s="1" t="n">
        <v>555</v>
      </c>
    </row>
    <row r="53" customFormat="false" ht="13.8" hidden="false" customHeight="false" outlineLevel="0" collapsed="false">
      <c r="A53" s="1" t="s">
        <v>30</v>
      </c>
      <c r="F53" s="139" t="n">
        <v>44940</v>
      </c>
      <c r="G53" s="1" t="n">
        <v>474</v>
      </c>
      <c r="H53" s="1" t="n">
        <v>784</v>
      </c>
    </row>
    <row r="54" customFormat="false" ht="13.8" hidden="false" customHeight="false" outlineLevel="0" collapsed="false">
      <c r="F54" s="139" t="n">
        <v>44941</v>
      </c>
      <c r="G54" s="1" t="n">
        <v>535</v>
      </c>
      <c r="H54" s="1" t="n">
        <v>893</v>
      </c>
    </row>
    <row r="55" customFormat="false" ht="13.8" hidden="false" customHeight="false" outlineLevel="0" collapsed="false">
      <c r="F55" s="139" t="n">
        <v>44942</v>
      </c>
      <c r="G55" s="1" t="n">
        <v>481</v>
      </c>
      <c r="H55" s="1" t="n">
        <v>786</v>
      </c>
    </row>
    <row r="56" customFormat="false" ht="13.8" hidden="false" customHeight="false" outlineLevel="0" collapsed="false">
      <c r="A56" s="1" t="s">
        <v>111</v>
      </c>
      <c r="F56" s="139" t="n">
        <v>44943</v>
      </c>
      <c r="G56" s="1" t="n">
        <v>515</v>
      </c>
      <c r="H56" s="1" t="n">
        <v>801</v>
      </c>
    </row>
    <row r="57" customFormat="false" ht="13.8" hidden="false" customHeight="false" outlineLevel="0" collapsed="false">
      <c r="A57" s="1" t="s">
        <v>1</v>
      </c>
      <c r="B57" s="145" t="n">
        <v>6863880</v>
      </c>
      <c r="C57" s="1" t="s">
        <v>112</v>
      </c>
      <c r="F57" s="139" t="n">
        <v>44944</v>
      </c>
      <c r="G57" s="1" t="n">
        <v>513</v>
      </c>
      <c r="H57" s="1" t="n">
        <v>811</v>
      </c>
    </row>
    <row r="58" customFormat="false" ht="13.8" hidden="false" customHeight="false" outlineLevel="0" collapsed="false">
      <c r="A58" s="1" t="s">
        <v>105</v>
      </c>
      <c r="B58" s="145" t="n">
        <v>16866880</v>
      </c>
      <c r="C58" s="1" t="s">
        <v>113</v>
      </c>
      <c r="F58" s="139" t="n">
        <v>44945</v>
      </c>
      <c r="G58" s="1" t="n">
        <v>430</v>
      </c>
      <c r="H58" s="1" t="n">
        <v>736</v>
      </c>
    </row>
    <row r="59" customFormat="false" ht="13.8" hidden="false" customHeight="false" outlineLevel="0" collapsed="false">
      <c r="A59" s="1" t="s">
        <v>78</v>
      </c>
      <c r="B59" s="145" t="n">
        <v>10527390</v>
      </c>
      <c r="C59" s="1" t="s">
        <v>114</v>
      </c>
      <c r="F59" s="139" t="n">
        <v>44946</v>
      </c>
      <c r="G59" s="1" t="n">
        <v>373</v>
      </c>
      <c r="H59" s="1" t="n">
        <v>644</v>
      </c>
    </row>
    <row r="60" customFormat="false" ht="13.8" hidden="false" customHeight="false" outlineLevel="0" collapsed="false">
      <c r="A60" s="1" t="s">
        <v>80</v>
      </c>
      <c r="B60" s="22" t="n">
        <v>870200</v>
      </c>
      <c r="F60" s="139" t="n">
        <v>44947</v>
      </c>
      <c r="G60" s="1" t="n">
        <v>571</v>
      </c>
      <c r="H60" s="1" t="n">
        <v>991</v>
      </c>
    </row>
    <row r="61" customFormat="false" ht="13.8" hidden="false" customHeight="false" outlineLevel="0" collapsed="false">
      <c r="A61" s="1" t="s">
        <v>41</v>
      </c>
      <c r="B61" s="22" t="n">
        <v>2100000</v>
      </c>
      <c r="F61" s="139" t="n">
        <v>44948</v>
      </c>
      <c r="G61" s="1" t="n">
        <v>667</v>
      </c>
      <c r="H61" s="1" t="n">
        <v>1145</v>
      </c>
    </row>
    <row r="62" customFormat="false" ht="13.8" hidden="false" customHeight="false" outlineLevel="0" collapsed="false">
      <c r="A62" s="1" t="s">
        <v>115</v>
      </c>
      <c r="B62" s="1" t="n">
        <v>1.3</v>
      </c>
      <c r="F62" s="139" t="n">
        <v>44949</v>
      </c>
      <c r="G62" s="1" t="n">
        <v>683</v>
      </c>
      <c r="H62" s="1" t="n">
        <v>1159</v>
      </c>
    </row>
    <row r="63" customFormat="false" ht="13.8" hidden="false" customHeight="false" outlineLevel="0" collapsed="false">
      <c r="F63" s="139" t="n">
        <v>44950</v>
      </c>
      <c r="G63" s="1" t="n">
        <v>683</v>
      </c>
      <c r="H63" s="1" t="n">
        <v>1158</v>
      </c>
    </row>
    <row r="64" customFormat="false" ht="13.8" hidden="false" customHeight="false" outlineLevel="0" collapsed="false">
      <c r="A64" s="1" t="s">
        <v>116</v>
      </c>
      <c r="F64" s="139" t="n">
        <v>44951</v>
      </c>
      <c r="G64" s="1" t="n">
        <v>615</v>
      </c>
      <c r="H64" s="1" t="n">
        <v>1029</v>
      </c>
    </row>
    <row r="65" customFormat="false" ht="13.8" hidden="false" customHeight="false" outlineLevel="0" collapsed="false">
      <c r="A65" s="1" t="s">
        <v>115</v>
      </c>
      <c r="B65" s="1" t="n">
        <v>1.5</v>
      </c>
      <c r="F65" s="139" t="n">
        <v>44952</v>
      </c>
      <c r="G65" s="1" t="n">
        <v>564</v>
      </c>
      <c r="H65" s="1" t="n">
        <v>967</v>
      </c>
    </row>
    <row r="66" customFormat="false" ht="13.8" hidden="false" customHeight="false" outlineLevel="0" collapsed="false">
      <c r="C66" s="1" t="s">
        <v>117</v>
      </c>
      <c r="F66" s="139" t="n">
        <v>44953</v>
      </c>
      <c r="G66" s="1" t="n">
        <v>481</v>
      </c>
      <c r="H66" s="1" t="n">
        <v>811</v>
      </c>
    </row>
    <row r="67" customFormat="false" ht="13.8" hidden="false" customHeight="false" outlineLevel="0" collapsed="false">
      <c r="A67" s="1" t="s">
        <v>118</v>
      </c>
      <c r="B67" s="1" t="n">
        <v>650</v>
      </c>
      <c r="F67" s="139" t="n">
        <v>44954</v>
      </c>
      <c r="G67" s="1" t="n">
        <v>642</v>
      </c>
      <c r="H67" s="1" t="n">
        <v>1122</v>
      </c>
    </row>
    <row r="68" customFormat="false" ht="13.8" hidden="false" customHeight="false" outlineLevel="0" collapsed="false">
      <c r="A68" s="1" t="s">
        <v>119</v>
      </c>
      <c r="B68" s="1" t="n">
        <f aca="false">180000*0.01</f>
        <v>1800</v>
      </c>
      <c r="C68" s="1" t="n">
        <f aca="false">B68*400000</f>
        <v>720000000</v>
      </c>
      <c r="F68" s="139" t="n">
        <v>44955</v>
      </c>
      <c r="G68" s="1" t="n">
        <v>658</v>
      </c>
      <c r="H68" s="1" t="n">
        <v>1164</v>
      </c>
    </row>
    <row r="69" customFormat="false" ht="13.8" hidden="false" customHeight="false" outlineLevel="0" collapsed="false">
      <c r="B69" s="1" t="s">
        <v>120</v>
      </c>
      <c r="C69" s="1" t="s">
        <v>121</v>
      </c>
      <c r="F69" s="139" t="n">
        <v>44956</v>
      </c>
      <c r="G69" s="1" t="n">
        <v>644</v>
      </c>
      <c r="H69" s="1" t="n">
        <v>1072</v>
      </c>
    </row>
    <row r="70" customFormat="false" ht="13.8" hidden="false" customHeight="false" outlineLevel="0" collapsed="false">
      <c r="A70" s="1" t="s">
        <v>105</v>
      </c>
      <c r="B70" s="1" t="n">
        <v>63248</v>
      </c>
      <c r="C70" s="1" t="n">
        <v>97210</v>
      </c>
      <c r="F70" s="139" t="n">
        <v>44957</v>
      </c>
      <c r="G70" s="1" t="n">
        <v>612</v>
      </c>
      <c r="H70" s="1" t="n">
        <v>1018</v>
      </c>
    </row>
    <row r="71" customFormat="false" ht="13.8" hidden="false" customHeight="false" outlineLevel="0" collapsed="false">
      <c r="F71" s="139" t="n">
        <v>44958</v>
      </c>
      <c r="G71" s="1" t="n">
        <v>583</v>
      </c>
      <c r="H71" s="1" t="n">
        <v>1007</v>
      </c>
    </row>
    <row r="72" customFormat="false" ht="13.8" hidden="false" customHeight="false" outlineLevel="0" collapsed="false">
      <c r="F72" s="139" t="n">
        <v>44959</v>
      </c>
      <c r="G72" s="1" t="n">
        <v>528</v>
      </c>
      <c r="H72" s="1" t="n">
        <v>904</v>
      </c>
    </row>
    <row r="73" customFormat="false" ht="13.8" hidden="false" customHeight="false" outlineLevel="0" collapsed="false">
      <c r="F73" s="139" t="n">
        <v>44960</v>
      </c>
      <c r="G73" s="1" t="n">
        <v>406</v>
      </c>
      <c r="H73" s="1" t="n">
        <v>684</v>
      </c>
    </row>
    <row r="74" customFormat="false" ht="13.8" hidden="false" customHeight="false" outlineLevel="0" collapsed="false">
      <c r="F74" s="139" t="n">
        <v>44961</v>
      </c>
      <c r="G74" s="1" t="n">
        <v>418</v>
      </c>
      <c r="H74" s="1" t="n">
        <v>735</v>
      </c>
    </row>
    <row r="75" customFormat="false" ht="13.8" hidden="false" customHeight="false" outlineLevel="0" collapsed="false">
      <c r="F75" s="139" t="n">
        <v>44962</v>
      </c>
      <c r="G75" s="1" t="n">
        <v>579</v>
      </c>
      <c r="H75" s="1" t="n">
        <v>998</v>
      </c>
    </row>
    <row r="76" customFormat="false" ht="13.8" hidden="false" customHeight="false" outlineLevel="0" collapsed="false">
      <c r="F76" s="139" t="n">
        <v>44963</v>
      </c>
      <c r="G76" s="1" t="n">
        <v>634</v>
      </c>
      <c r="H76" s="1" t="n">
        <v>1120</v>
      </c>
    </row>
    <row r="77" customFormat="false" ht="13.8" hidden="false" customHeight="false" outlineLevel="0" collapsed="false">
      <c r="F77" s="139" t="n">
        <v>44964</v>
      </c>
      <c r="G77" s="1" t="n">
        <v>592</v>
      </c>
      <c r="H77" s="1" t="n">
        <v>1046</v>
      </c>
    </row>
    <row r="78" customFormat="false" ht="13.8" hidden="false" customHeight="false" outlineLevel="0" collapsed="false">
      <c r="F78" s="139" t="n">
        <v>44965</v>
      </c>
      <c r="G78" s="1" t="n">
        <v>590</v>
      </c>
      <c r="H78" s="1" t="n">
        <v>1043</v>
      </c>
    </row>
    <row r="79" customFormat="false" ht="13.8" hidden="false" customHeight="false" outlineLevel="0" collapsed="false">
      <c r="F79" s="139" t="n">
        <v>44966</v>
      </c>
      <c r="G79" s="1" t="n">
        <v>535</v>
      </c>
      <c r="H79" s="1" t="n">
        <v>905</v>
      </c>
    </row>
    <row r="80" customFormat="false" ht="13.8" hidden="false" customHeight="false" outlineLevel="0" collapsed="false">
      <c r="F80" s="139" t="n">
        <v>44967</v>
      </c>
      <c r="G80" s="1" t="n">
        <v>472</v>
      </c>
      <c r="H80" s="1" t="n">
        <v>855</v>
      </c>
    </row>
    <row r="81" customFormat="false" ht="13.8" hidden="false" customHeight="false" outlineLevel="0" collapsed="false">
      <c r="F81" s="139" t="n">
        <v>44968</v>
      </c>
      <c r="G81" s="1" t="n">
        <v>460</v>
      </c>
      <c r="H81" s="1" t="n">
        <v>765</v>
      </c>
    </row>
    <row r="82" customFormat="false" ht="13.8" hidden="false" customHeight="false" outlineLevel="0" collapsed="false">
      <c r="F82" s="139" t="n">
        <v>44969</v>
      </c>
      <c r="G82" s="1" t="n">
        <v>558</v>
      </c>
      <c r="H82" s="1" t="n">
        <v>922</v>
      </c>
    </row>
    <row r="83" customFormat="false" ht="13.8" hidden="false" customHeight="false" outlineLevel="0" collapsed="false">
      <c r="F83" s="139" t="n">
        <v>44970</v>
      </c>
      <c r="G83" s="1" t="n">
        <v>593</v>
      </c>
      <c r="H83" s="1" t="n">
        <v>1005</v>
      </c>
    </row>
    <row r="84" customFormat="false" ht="13.8" hidden="false" customHeight="false" outlineLevel="0" collapsed="false">
      <c r="F84" s="139" t="n">
        <v>44971</v>
      </c>
      <c r="G84" s="1" t="n">
        <v>625</v>
      </c>
      <c r="H84" s="1" t="n">
        <v>1129</v>
      </c>
    </row>
    <row r="85" customFormat="false" ht="13.8" hidden="false" customHeight="false" outlineLevel="0" collapsed="false">
      <c r="F85" s="139" t="n">
        <v>44972</v>
      </c>
      <c r="G85" s="1" t="n">
        <v>579</v>
      </c>
      <c r="H85" s="1" t="n">
        <v>1019</v>
      </c>
    </row>
    <row r="86" customFormat="false" ht="13.8" hidden="false" customHeight="false" outlineLevel="0" collapsed="false">
      <c r="F86" s="139" t="n">
        <v>44973</v>
      </c>
      <c r="G86" s="1" t="n">
        <v>533</v>
      </c>
      <c r="H86" s="1" t="n">
        <v>952</v>
      </c>
    </row>
    <row r="87" customFormat="false" ht="13.8" hidden="false" customHeight="false" outlineLevel="0" collapsed="false">
      <c r="F87" s="139" t="n">
        <v>44974</v>
      </c>
      <c r="G87" s="1" t="n">
        <v>442</v>
      </c>
      <c r="H87" s="1" t="n">
        <v>752</v>
      </c>
    </row>
    <row r="88" customFormat="false" ht="13.8" hidden="false" customHeight="false" outlineLevel="0" collapsed="false">
      <c r="F88" s="139" t="n">
        <v>44975</v>
      </c>
      <c r="G88" s="1" t="n">
        <v>476</v>
      </c>
      <c r="H88" s="1" t="n">
        <v>829</v>
      </c>
    </row>
    <row r="89" customFormat="false" ht="13.8" hidden="false" customHeight="false" outlineLevel="0" collapsed="false">
      <c r="F89" s="139" t="n">
        <v>44976</v>
      </c>
      <c r="G89" s="1" t="n">
        <v>592</v>
      </c>
      <c r="H89" s="1" t="n">
        <v>1083</v>
      </c>
    </row>
    <row r="90" customFormat="false" ht="13.8" hidden="false" customHeight="false" outlineLevel="0" collapsed="false">
      <c r="F90" s="139" t="n">
        <v>44977</v>
      </c>
      <c r="G90" s="1" t="n">
        <v>619</v>
      </c>
      <c r="H90" s="1" t="n">
        <v>1186</v>
      </c>
    </row>
    <row r="91" customFormat="false" ht="13.8" hidden="false" customHeight="false" outlineLevel="0" collapsed="false">
      <c r="F91" s="139" t="n">
        <v>44978</v>
      </c>
      <c r="G91" s="1" t="n">
        <v>657</v>
      </c>
      <c r="H91" s="1" t="n">
        <v>1270</v>
      </c>
    </row>
    <row r="92" customFormat="false" ht="13.8" hidden="false" customHeight="false" outlineLevel="0" collapsed="false">
      <c r="F92" s="139" t="n">
        <v>44979</v>
      </c>
      <c r="G92" s="1" t="n">
        <v>565</v>
      </c>
      <c r="H92" s="1" t="n">
        <v>994</v>
      </c>
      <c r="I92" s="1" t="n">
        <f aca="false">G91/G84</f>
        <v>1.0512</v>
      </c>
      <c r="J92" s="1" t="n">
        <f aca="false">G92*$I$92</f>
        <v>593.928</v>
      </c>
    </row>
    <row r="93" customFormat="false" ht="13.8" hidden="false" customHeight="false" outlineLevel="0" collapsed="false">
      <c r="F93" s="139" t="n">
        <v>44980</v>
      </c>
      <c r="G93" s="1" t="n">
        <v>525</v>
      </c>
      <c r="H93" s="1" t="n">
        <v>891</v>
      </c>
      <c r="J93" s="1" t="n">
        <f aca="false">G93*$I$92</f>
        <v>551.88</v>
      </c>
    </row>
    <row r="94" customFormat="false" ht="13.8" hidden="false" customHeight="false" outlineLevel="0" collapsed="false">
      <c r="F94" s="139" t="n">
        <v>44981</v>
      </c>
      <c r="G94" s="1" t="n">
        <v>449</v>
      </c>
      <c r="H94" s="1" t="n">
        <v>796</v>
      </c>
      <c r="J94" s="1" t="n">
        <f aca="false">G94*$I$92</f>
        <v>471.9888</v>
      </c>
    </row>
    <row r="95" customFormat="false" ht="13.8" hidden="false" customHeight="false" outlineLevel="0" collapsed="false">
      <c r="F95" s="139" t="n">
        <v>44982</v>
      </c>
      <c r="G95" s="1" t="n">
        <v>471</v>
      </c>
      <c r="H95" s="1" t="n">
        <v>832</v>
      </c>
      <c r="J95" s="1" t="n">
        <f aca="false">G95*$I$92</f>
        <v>495.1152</v>
      </c>
      <c r="K95" s="142"/>
      <c r="M95" s="39"/>
    </row>
    <row r="96" customFormat="false" ht="13.8" hidden="false" customHeight="false" outlineLevel="0" collapsed="false">
      <c r="F96" s="139" t="n">
        <v>44983</v>
      </c>
      <c r="G96" s="1" t="n">
        <v>535</v>
      </c>
      <c r="H96" s="1" t="n">
        <v>915</v>
      </c>
      <c r="J96" s="1" t="n">
        <f aca="false">G96*$I$92</f>
        <v>562.392</v>
      </c>
      <c r="K96" s="142"/>
      <c r="M96" s="39"/>
    </row>
    <row r="97" customFormat="false" ht="13.8" hidden="false" customHeight="false" outlineLevel="0" collapsed="false">
      <c r="F97" s="139" t="n">
        <v>44984</v>
      </c>
      <c r="G97" s="1" t="n">
        <v>584</v>
      </c>
      <c r="H97" s="1" t="n">
        <v>986</v>
      </c>
      <c r="J97" s="1" t="n">
        <f aca="false">G97*$I$92</f>
        <v>613.9008</v>
      </c>
      <c r="K97" s="142"/>
      <c r="M97" s="39"/>
    </row>
    <row r="98" customFormat="false" ht="13.8" hidden="false" customHeight="false" outlineLevel="0" collapsed="false">
      <c r="F98" s="139" t="n">
        <v>44985</v>
      </c>
      <c r="G98" s="1" t="n">
        <v>595</v>
      </c>
      <c r="H98" s="1" t="n">
        <v>1030</v>
      </c>
      <c r="J98" s="1" t="n">
        <f aca="false">G98*$I$92</f>
        <v>625.464</v>
      </c>
      <c r="K98" s="142"/>
      <c r="M98" s="39"/>
    </row>
    <row r="99" customFormat="false" ht="13.8" hidden="false" customHeight="false" outlineLevel="0" collapsed="false">
      <c r="K99" s="142"/>
      <c r="M99" s="39"/>
    </row>
    <row r="100" customFormat="false" ht="13.8" hidden="false" customHeight="false" outlineLevel="0" collapsed="false">
      <c r="K100" s="142"/>
      <c r="M100" s="39"/>
    </row>
    <row r="101" customFormat="false" ht="13.8" hidden="false" customHeight="false" outlineLevel="0" collapsed="false">
      <c r="K101" s="142"/>
      <c r="M101" s="3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83"/>
  <sheetViews>
    <sheetView showFormulas="false" showGridLines="false" showRowColHeaders="true" showZeros="true" rightToLeft="false" tabSelected="false" showOutlineSymbols="true" defaultGridColor="true" view="normal" topLeftCell="A82" colorId="64" zoomScale="65" zoomScaleNormal="65" zoomScalePageLayoutView="100" workbookViewId="0">
      <selection pane="topLeft" activeCell="C4" activeCellId="0" sqref="C4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17.85"/>
  </cols>
  <sheetData>
    <row r="1" customFormat="false" ht="13.8" hidden="false" customHeight="false" outlineLevel="0" collapsed="false">
      <c r="A1" s="146" t="s">
        <v>56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</row>
    <row r="2" customFormat="false" ht="13.8" hidden="false" customHeight="false" outlineLevel="0" collapsed="false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</row>
    <row r="18" customFormat="false" ht="13.8" hidden="false" customHeight="false" outlineLevel="0" collapsed="false">
      <c r="A18" s="146" t="s">
        <v>122</v>
      </c>
      <c r="B18" s="146"/>
      <c r="C18" s="146"/>
      <c r="D18" s="146"/>
      <c r="E18" s="146"/>
      <c r="F18" s="146"/>
      <c r="G18" s="146"/>
      <c r="H18" s="146"/>
      <c r="I18" s="146"/>
      <c r="J18" s="146"/>
      <c r="K18" s="146"/>
      <c r="L18" s="146"/>
      <c r="M18" s="146"/>
      <c r="N18" s="146"/>
    </row>
    <row r="19" customFormat="false" ht="13.8" hidden="false" customHeight="false" outlineLevel="0" collapsed="false">
      <c r="A19" s="146"/>
      <c r="B19" s="146"/>
      <c r="C19" s="146"/>
      <c r="D19" s="146"/>
      <c r="E19" s="146"/>
      <c r="F19" s="146"/>
      <c r="G19" s="146"/>
      <c r="H19" s="146"/>
      <c r="I19" s="146"/>
      <c r="J19" s="146"/>
      <c r="K19" s="146"/>
      <c r="L19" s="146"/>
      <c r="M19" s="146"/>
      <c r="N19" s="146"/>
    </row>
    <row r="41" customFormat="false" ht="13.8" hidden="false" customHeight="false" outlineLevel="0" collapsed="false">
      <c r="A41" s="146" t="s">
        <v>123</v>
      </c>
      <c r="B41" s="146"/>
      <c r="C41" s="146"/>
      <c r="D41" s="146"/>
      <c r="E41" s="146"/>
      <c r="F41" s="146"/>
      <c r="G41" s="146"/>
      <c r="H41" s="146"/>
      <c r="I41" s="146"/>
      <c r="J41" s="146"/>
      <c r="K41" s="146"/>
      <c r="L41" s="146"/>
      <c r="M41" s="146"/>
      <c r="N41" s="146"/>
    </row>
    <row r="42" customFormat="false" ht="13.8" hidden="false" customHeight="false" outlineLevel="0" collapsed="false">
      <c r="A42" s="146"/>
      <c r="B42" s="146"/>
      <c r="C42" s="146"/>
      <c r="D42" s="146"/>
      <c r="E42" s="146"/>
      <c r="F42" s="146"/>
      <c r="G42" s="146"/>
      <c r="H42" s="146"/>
      <c r="I42" s="146"/>
      <c r="J42" s="146"/>
      <c r="K42" s="146"/>
      <c r="L42" s="146"/>
      <c r="M42" s="146"/>
      <c r="N42" s="146"/>
    </row>
    <row r="60" customFormat="false" ht="13.8" hidden="false" customHeight="false" outlineLevel="0" collapsed="false">
      <c r="A60" s="146" t="s">
        <v>124</v>
      </c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</row>
    <row r="61" customFormat="false" ht="13.8" hidden="false" customHeight="false" outlineLevel="0" collapsed="false">
      <c r="A61" s="146"/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</row>
    <row r="82" customFormat="false" ht="13.8" hidden="false" customHeight="false" outlineLevel="0" collapsed="false">
      <c r="A82" s="146" t="s">
        <v>125</v>
      </c>
      <c r="B82" s="146"/>
      <c r="C82" s="146"/>
      <c r="D82" s="146"/>
      <c r="E82" s="146"/>
      <c r="F82" s="146"/>
      <c r="G82" s="146"/>
      <c r="H82" s="146"/>
      <c r="I82" s="146"/>
      <c r="J82" s="146"/>
      <c r="K82" s="146"/>
      <c r="L82" s="146"/>
      <c r="M82" s="146"/>
      <c r="N82" s="146"/>
    </row>
    <row r="83" customFormat="false" ht="13.8" hidden="false" customHeight="false" outlineLevel="0" collapsed="false">
      <c r="A83" s="146"/>
      <c r="B83" s="146"/>
      <c r="C83" s="146"/>
      <c r="D83" s="146"/>
      <c r="E83" s="146"/>
      <c r="F83" s="146"/>
      <c r="G83" s="146"/>
      <c r="H83" s="146"/>
      <c r="I83" s="146"/>
      <c r="J83" s="146"/>
      <c r="K83" s="146"/>
      <c r="L83" s="146"/>
      <c r="M83" s="146"/>
      <c r="N83" s="146"/>
    </row>
  </sheetData>
  <mergeCells count="5">
    <mergeCell ref="A1:N2"/>
    <mergeCell ref="A18:N19"/>
    <mergeCell ref="A41:N42"/>
    <mergeCell ref="A60:N61"/>
    <mergeCell ref="A82:N8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49" activeCellId="0" sqref="D49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17.85"/>
    <col collapsed="false" customWidth="true" hidden="false" outlineLevel="0" max="2" min="2" style="1" width="18"/>
    <col collapsed="false" customWidth="true" hidden="false" outlineLevel="0" max="3" min="3" style="1" width="16.57"/>
    <col collapsed="false" customWidth="true" hidden="false" outlineLevel="0" max="6" min="6" style="1" width="30.42"/>
    <col collapsed="false" customWidth="true" hidden="false" outlineLevel="0" max="7" min="7" style="1" width="14.71"/>
    <col collapsed="false" customWidth="true" hidden="false" outlineLevel="0" max="8" min="8" style="1" width="11.57"/>
  </cols>
  <sheetData>
    <row r="1" customFormat="false" ht="13.8" hidden="false" customHeight="false" outlineLevel="0" collapsed="false">
      <c r="A1" s="147" t="s">
        <v>126</v>
      </c>
      <c r="B1" s="147"/>
      <c r="C1" s="147"/>
      <c r="F1" s="147" t="s">
        <v>127</v>
      </c>
      <c r="G1" s="147"/>
      <c r="H1" s="147"/>
    </row>
    <row r="2" customFormat="false" ht="13.8" hidden="false" customHeight="false" outlineLevel="0" collapsed="false">
      <c r="B2" s="1" t="s">
        <v>128</v>
      </c>
      <c r="C2" s="1" t="s">
        <v>129</v>
      </c>
      <c r="G2" s="1" t="s">
        <v>128</v>
      </c>
      <c r="H2" s="1" t="s">
        <v>129</v>
      </c>
    </row>
    <row r="3" customFormat="false" ht="13.8" hidden="false" customHeight="false" outlineLevel="0" collapsed="false">
      <c r="A3" s="1" t="s">
        <v>15</v>
      </c>
      <c r="B3" s="148" t="n">
        <f aca="false">IFERROR(Sheet1!H4/Sheet1!B4,"")</f>
        <v>0.403610261524823</v>
      </c>
      <c r="C3" s="104" t="n">
        <f aca="false">Sheet2!$C$7</f>
        <v>0.67741935483871</v>
      </c>
      <c r="F3" s="1" t="s">
        <v>37</v>
      </c>
      <c r="G3" s="104" t="n">
        <f aca="false">IFERROR(Sheet1!H22/Sheet1!B22, "")</f>
        <v>0</v>
      </c>
      <c r="H3" s="104" t="n">
        <f aca="false">Sheet2!$C$7</f>
        <v>0.67741935483871</v>
      </c>
    </row>
    <row r="4" customFormat="false" ht="13.8" hidden="false" customHeight="false" outlineLevel="0" collapsed="false">
      <c r="A4" s="1" t="s">
        <v>73</v>
      </c>
      <c r="B4" s="148" t="n">
        <f aca="false">IFERROR(Sheet1!H5/Sheet1!B5,"")</f>
        <v>0.44213296398892</v>
      </c>
      <c r="C4" s="104" t="n">
        <f aca="false">Sheet2!$C$7</f>
        <v>0.67741935483871</v>
      </c>
      <c r="F4" s="1" t="s">
        <v>25</v>
      </c>
      <c r="G4" s="104" t="e">
        <f aca="false">IFERROR(Sheet1!H30/sheet1 #REF!, "")</f>
        <v>#VALUE!</v>
      </c>
      <c r="H4" s="104" t="n">
        <f aca="false">Sheet2!$C$7</f>
        <v>0.67741935483871</v>
      </c>
    </row>
    <row r="5" customFormat="false" ht="13.8" hidden="false" customHeight="false" outlineLevel="0" collapsed="false">
      <c r="A5" s="1" t="s">
        <v>17</v>
      </c>
      <c r="B5" s="148" t="n">
        <f aca="false">IFERROR(Sheet1!H6/Sheet1!B6,"")</f>
        <v>0.4851942527252</v>
      </c>
      <c r="C5" s="104" t="n">
        <f aca="false">Sheet2!$C$7</f>
        <v>0.67741935483871</v>
      </c>
      <c r="F5" s="1" t="s">
        <v>45</v>
      </c>
      <c r="G5" s="104" t="n">
        <f aca="false">IFERROR(Sheet1!H23/Sheet1!B30, "")</f>
        <v>14.5208333333333</v>
      </c>
      <c r="H5" s="104" t="n">
        <f aca="false">Sheet2!$C$7</f>
        <v>0.67741935483871</v>
      </c>
    </row>
    <row r="6" customFormat="false" ht="13.8" hidden="false" customHeight="false" outlineLevel="0" collapsed="false">
      <c r="A6" s="1" t="s">
        <v>18</v>
      </c>
      <c r="B6" s="148" t="n">
        <f aca="false">IFERROR(Sheet1!H7/Sheet1!B7,"")</f>
        <v>1.44057418609006</v>
      </c>
      <c r="C6" s="104" t="n">
        <f aca="false">Sheet2!$C$7</f>
        <v>0.67741935483871</v>
      </c>
      <c r="F6" s="1" t="s">
        <v>17</v>
      </c>
      <c r="G6" s="104" t="str">
        <f aca="false">IFERROR(Sheet1!H24/Sheet1!B24, "")</f>
        <v/>
      </c>
      <c r="H6" s="104" t="n">
        <f aca="false">Sheet2!$C$7</f>
        <v>0.67741935483871</v>
      </c>
    </row>
    <row r="7" customFormat="false" ht="13.8" hidden="false" customHeight="false" outlineLevel="0" collapsed="false">
      <c r="A7" s="1" t="s">
        <v>19</v>
      </c>
      <c r="B7" s="148" t="n">
        <f aca="false">IFERROR(Sheet1!H8/Sheet1!B8,"")</f>
        <v>0.433568607954545</v>
      </c>
      <c r="C7" s="104" t="n">
        <f aca="false">Sheet2!$C$7</f>
        <v>0.67741935483871</v>
      </c>
      <c r="F7" s="1" t="s">
        <v>18</v>
      </c>
      <c r="G7" s="104" t="n">
        <f aca="false">IFERROR(Sheet1!H25/Sheet1!B25, "")</f>
        <v>0.885</v>
      </c>
      <c r="H7" s="104" t="n">
        <f aca="false">Sheet2!$C$7</f>
        <v>0.67741935483871</v>
      </c>
    </row>
    <row r="8" customFormat="false" ht="13.8" hidden="false" customHeight="false" outlineLevel="0" collapsed="false">
      <c r="A8" s="1" t="s">
        <v>74</v>
      </c>
      <c r="B8" s="148" t="e">
        <f aca="false">IFERROR(sheet1 #REF!/sheet1 #REF!,"")</f>
        <v>#VALUE!</v>
      </c>
      <c r="C8" s="104" t="n">
        <f aca="false">Sheet2!$C$7</f>
        <v>0.67741935483871</v>
      </c>
      <c r="F8" s="1" t="s">
        <v>21</v>
      </c>
      <c r="G8" s="104" t="str">
        <f aca="false">IFERROR(Sheet1!H26/Sheet1!B26, "")</f>
        <v/>
      </c>
      <c r="H8" s="104" t="n">
        <f aca="false">Sheet2!$C$7</f>
        <v>0.67741935483871</v>
      </c>
    </row>
    <row r="9" customFormat="false" ht="13.8" hidden="false" customHeight="false" outlineLevel="0" collapsed="false">
      <c r="A9" s="1" t="s">
        <v>21</v>
      </c>
      <c r="B9" s="148" t="n">
        <f aca="false">IFERROR(Sheet1!H9/Sheet1!B9,"")</f>
        <v>0.244633786662297</v>
      </c>
      <c r="C9" s="104" t="n">
        <f aca="false">Sheet2!$C$7</f>
        <v>0.67741935483871</v>
      </c>
      <c r="F9" s="1" t="s">
        <v>52</v>
      </c>
      <c r="G9" s="104" t="e">
        <f aca="false">IFERROR(sheet1 #REF!/sheet1 #REF!, "")</f>
        <v>#VALUE!</v>
      </c>
      <c r="H9" s="104" t="n">
        <f aca="false">Sheet2!$C$7</f>
        <v>0.67741935483871</v>
      </c>
    </row>
    <row r="10" customFormat="false" ht="13.8" hidden="false" customHeight="false" outlineLevel="0" collapsed="false">
      <c r="A10" s="1" t="s">
        <v>24</v>
      </c>
      <c r="B10" s="148" t="str">
        <f aca="false">IFERROR(#REF!/#REF!,"")</f>
        <v/>
      </c>
      <c r="C10" s="104" t="n">
        <f aca="false">Sheet2!$C$7</f>
        <v>0.67741935483871</v>
      </c>
      <c r="F10" s="1" t="s">
        <v>39</v>
      </c>
      <c r="G10" s="104" t="n">
        <f aca="false">IFERROR(Sheet1!H30/Sheet1!B30, "")</f>
        <v>2.44000357142857</v>
      </c>
      <c r="H10" s="104" t="n">
        <f aca="false">Sheet2!$C$7</f>
        <v>0.67741935483871</v>
      </c>
    </row>
    <row r="11" customFormat="false" ht="13.8" hidden="false" customHeight="false" outlineLevel="0" collapsed="false">
      <c r="A11" s="1" t="s">
        <v>25</v>
      </c>
      <c r="B11" s="148" t="n">
        <f aca="false">IFERROR(Sheet1!H12/Sheet1!B12,"")</f>
        <v>1.06382978723404</v>
      </c>
      <c r="C11" s="104" t="n">
        <f aca="false">Sheet2!$C$7</f>
        <v>0.67741935483871</v>
      </c>
      <c r="F11" s="1" t="s">
        <v>108</v>
      </c>
      <c r="G11" s="104" t="str">
        <f aca="false">IFERROR(Sheet1!H30/#REF!, "")</f>
        <v/>
      </c>
      <c r="H11" s="104" t="n">
        <f aca="false">Sheet2!$C$7</f>
        <v>0.67741935483871</v>
      </c>
    </row>
    <row r="12" customFormat="false" ht="13.8" hidden="false" customHeight="false" outlineLevel="0" collapsed="false">
      <c r="A12" s="1" t="s">
        <v>39</v>
      </c>
      <c r="B12" s="148" t="n">
        <f aca="false">IFERROR(Sheet1!H13/Sheet1!B13,"")</f>
        <v>0.882670073101237</v>
      </c>
      <c r="C12" s="104" t="n">
        <f aca="false">Sheet2!$C$7</f>
        <v>0.67741935483871</v>
      </c>
      <c r="F12" s="1" t="s">
        <v>30</v>
      </c>
      <c r="G12" s="104" t="n">
        <f aca="false">IFERROR(Sheet1!H34/Sheet1!B34, "")</f>
        <v>0.951935298317696</v>
      </c>
      <c r="H12" s="104" t="n">
        <f aca="false">Sheet2!$C$7</f>
        <v>0.67741935483871</v>
      </c>
    </row>
    <row r="13" customFormat="false" ht="13.8" hidden="false" customHeight="false" outlineLevel="0" collapsed="false">
      <c r="A13" s="1" t="s">
        <v>30</v>
      </c>
      <c r="B13" s="148" t="n">
        <f aca="false">IFERROR(Sheet1!H18/Sheet1!B18,"")</f>
        <v>0.73915400482924</v>
      </c>
      <c r="C13" s="104" t="n">
        <f aca="false">Sheet2!$C$7</f>
        <v>0.67741935483871</v>
      </c>
      <c r="G13" s="104"/>
      <c r="H13" s="104"/>
    </row>
    <row r="15" customFormat="false" ht="13.8" hidden="false" customHeight="false" outlineLevel="0" collapsed="false">
      <c r="A15" s="147" t="s">
        <v>130</v>
      </c>
      <c r="B15" s="147"/>
      <c r="C15" s="147"/>
      <c r="F15" s="147" t="s">
        <v>131</v>
      </c>
      <c r="G15" s="147"/>
      <c r="H15" s="147"/>
    </row>
    <row r="16" customFormat="false" ht="13.8" hidden="false" customHeight="false" outlineLevel="0" collapsed="false">
      <c r="B16" s="1" t="s">
        <v>2</v>
      </c>
      <c r="C16" s="1" t="s">
        <v>3</v>
      </c>
      <c r="G16" s="1" t="s">
        <v>2</v>
      </c>
      <c r="H16" s="1" t="s">
        <v>3</v>
      </c>
    </row>
    <row r="17" customFormat="false" ht="13.8" hidden="false" customHeight="false" outlineLevel="0" collapsed="false">
      <c r="A17" s="1" t="s">
        <v>37</v>
      </c>
      <c r="B17" s="32" t="n">
        <f aca="false">Sheet1!E22</f>
        <v>1000000</v>
      </c>
      <c r="C17" s="39" t="e">
        <f aca="false">Sheet1!K22</f>
        <v>#DIV/0!</v>
      </c>
      <c r="F17" s="1" t="s">
        <v>37</v>
      </c>
      <c r="G17" s="39" t="n">
        <f aca="false">Sheet1!F22</f>
        <v>698324.022346369</v>
      </c>
      <c r="H17" s="39" t="e">
        <f aca="false">Sheet1!M22</f>
        <v>#DIV/0!</v>
      </c>
    </row>
    <row r="18" customFormat="false" ht="13.8" hidden="false" customHeight="false" outlineLevel="0" collapsed="false">
      <c r="A18" s="1" t="s">
        <v>45</v>
      </c>
      <c r="B18" s="32" t="n">
        <f aca="false">Sheet1!E23</f>
        <v>300000</v>
      </c>
      <c r="C18" s="39" t="n">
        <f aca="false">Sheet1!K23</f>
        <v>384779.179810726</v>
      </c>
      <c r="F18" s="1" t="s">
        <v>45</v>
      </c>
      <c r="G18" s="39" t="n">
        <f aca="false">Sheet1!F23</f>
        <v>209813.874788494</v>
      </c>
      <c r="H18" s="39" t="n">
        <f aca="false">Sheet1!M23</f>
        <v>271962.095875139</v>
      </c>
    </row>
    <row r="19" customFormat="false" ht="13.8" hidden="false" customHeight="false" outlineLevel="0" collapsed="false">
      <c r="A19" s="1" t="s">
        <v>17</v>
      </c>
      <c r="B19" s="32" t="n">
        <f aca="false">Sheet1!E24</f>
        <v>0</v>
      </c>
      <c r="C19" s="39" t="n">
        <f aca="false">Sheet1!K24</f>
        <v>389690.721649485</v>
      </c>
      <c r="F19" s="1" t="s">
        <v>17</v>
      </c>
      <c r="G19" s="39" t="e">
        <f aca="false">Sheet1!F24</f>
        <v>#DIV/0!</v>
      </c>
      <c r="H19" s="39" t="n">
        <f aca="false">Sheet1!M24</f>
        <v>288182.973316391</v>
      </c>
    </row>
    <row r="20" customFormat="false" ht="13.8" hidden="false" customHeight="false" outlineLevel="0" collapsed="false">
      <c r="A20" s="1" t="s">
        <v>18</v>
      </c>
      <c r="B20" s="32" t="n">
        <f aca="false">Sheet1!E25</f>
        <v>400000</v>
      </c>
      <c r="C20" s="39" t="n">
        <f aca="false">Sheet1!K25</f>
        <v>406896.551724138</v>
      </c>
      <c r="F20" s="1" t="s">
        <v>18</v>
      </c>
      <c r="G20" s="39" t="n">
        <f aca="false">Sheet1!F25</f>
        <v>279720.27972028</v>
      </c>
      <c r="H20" s="39" t="n">
        <f aca="false">Sheet1!M25</f>
        <v>278740.157480315</v>
      </c>
    </row>
    <row r="21" customFormat="false" ht="13.8" hidden="false" customHeight="false" outlineLevel="0" collapsed="false">
      <c r="A21" s="1" t="s">
        <v>21</v>
      </c>
      <c r="B21" s="32" t="n">
        <f aca="false">Sheet1!E26</f>
        <v>0</v>
      </c>
      <c r="C21" s="39" t="n">
        <f aca="false">Sheet1!K26</f>
        <v>800955.569230769</v>
      </c>
      <c r="F21" s="1" t="s">
        <v>21</v>
      </c>
      <c r="G21" s="39" t="n">
        <f aca="false">Sheet1!F26</f>
        <v>0</v>
      </c>
      <c r="H21" s="39" t="n">
        <f aca="false">Sheet1!M26</f>
        <v>613940</v>
      </c>
    </row>
    <row r="22" customFormat="false" ht="13.8" hidden="false" customHeight="false" outlineLevel="0" collapsed="false">
      <c r="A22" s="1" t="s">
        <v>30</v>
      </c>
      <c r="B22" s="32" t="n">
        <f aca="false">Sheet1!E34</f>
        <v>91739.7053848756</v>
      </c>
      <c r="C22" s="39" t="n">
        <f aca="false">Sheet1!K34</f>
        <v>187201.645465059</v>
      </c>
      <c r="F22" s="1" t="s">
        <v>30</v>
      </c>
      <c r="G22" s="39" t="n">
        <f aca="false">Sheet1!F34</f>
        <v>64152.688172043</v>
      </c>
      <c r="H22" s="39" t="n">
        <f aca="false">Sheet1!M34</f>
        <v>124383.266739846</v>
      </c>
    </row>
    <row r="24" customFormat="false" ht="13.8" hidden="false" customHeight="false" outlineLevel="0" collapsed="false">
      <c r="A24" s="147" t="s">
        <v>132</v>
      </c>
      <c r="B24" s="147"/>
      <c r="C24" s="147"/>
      <c r="D24" s="147"/>
      <c r="F24" s="147" t="s">
        <v>133</v>
      </c>
      <c r="G24" s="147"/>
      <c r="H24" s="147"/>
      <c r="I24" s="147"/>
    </row>
    <row r="25" customFormat="false" ht="13.8" hidden="false" customHeight="false" outlineLevel="0" collapsed="false">
      <c r="B25" s="1" t="s">
        <v>134</v>
      </c>
      <c r="C25" s="1" t="s">
        <v>135</v>
      </c>
      <c r="D25" s="1" t="s">
        <v>129</v>
      </c>
      <c r="G25" s="1" t="s">
        <v>134</v>
      </c>
      <c r="H25" s="1" t="s">
        <v>135</v>
      </c>
      <c r="I25" s="1" t="s">
        <v>129</v>
      </c>
    </row>
    <row r="26" customFormat="false" ht="13.8" hidden="false" customHeight="false" outlineLevel="0" collapsed="false">
      <c r="A26" s="1" t="s">
        <v>37</v>
      </c>
      <c r="B26" s="104" t="n">
        <f aca="false">Sheet1!I22/Sheet1!C22</f>
        <v>0</v>
      </c>
      <c r="C26" s="104" t="n">
        <f aca="false">Sheet1!S22/Sheet1!C22</f>
        <v>0</v>
      </c>
      <c r="D26" s="104" t="n">
        <f aca="false">Sheet2!$C$7</f>
        <v>0.67741935483871</v>
      </c>
      <c r="F26" s="1" t="s">
        <v>37</v>
      </c>
      <c r="G26" s="104" t="n">
        <f aca="false">Sheet1!J22/Sheet1!$D$22</f>
        <v>0</v>
      </c>
      <c r="H26" s="104" t="n">
        <f aca="false">Sheet1!T22/Sheet1!$D$22</f>
        <v>0</v>
      </c>
      <c r="I26" s="104" t="n">
        <f aca="false">Sheet2!$C$7</f>
        <v>0.67741935483871</v>
      </c>
    </row>
    <row r="27" customFormat="false" ht="13.8" hidden="false" customHeight="false" outlineLevel="0" collapsed="false">
      <c r="A27" s="1" t="s">
        <v>45</v>
      </c>
      <c r="B27" s="104" t="n">
        <f aca="false">Sheet1!I23/Sheet1!C23</f>
        <v>1.02258064516129</v>
      </c>
      <c r="C27" s="104" t="n">
        <f aca="false">Sheet1!S23/Sheet1!C23</f>
        <v>1.56354189535309</v>
      </c>
      <c r="D27" s="104" t="n">
        <f aca="false">Sheet2!$C$7</f>
        <v>0.67741935483871</v>
      </c>
      <c r="F27" s="1" t="s">
        <v>45</v>
      </c>
      <c r="G27" s="104" t="n">
        <f aca="false">Sheet1!J23/Sheet1!$D$23</f>
        <v>1.01184433164129</v>
      </c>
      <c r="H27" s="104" t="n">
        <f aca="false">Sheet1!T23/Sheet1!$D$23</f>
        <v>1.54712590305986</v>
      </c>
      <c r="I27" s="104" t="n">
        <f aca="false">Sheet2!$C$7</f>
        <v>0.67741935483871</v>
      </c>
    </row>
    <row r="28" customFormat="false" ht="13.8" hidden="false" customHeight="false" outlineLevel="0" collapsed="false">
      <c r="A28" s="1" t="s">
        <v>17</v>
      </c>
      <c r="B28" s="104" t="e">
        <f aca="false">Sheet1!I24/Sheet1!C24</f>
        <v>#DIV/0!</v>
      </c>
      <c r="C28" s="104" t="e">
        <f aca="false">Sheet1!S24/Sheet1!C24</f>
        <v>#DIV/0!</v>
      </c>
      <c r="D28" s="104" t="n">
        <f aca="false">Sheet2!$C$7</f>
        <v>0.67741935483871</v>
      </c>
      <c r="F28" s="1" t="s">
        <v>17</v>
      </c>
      <c r="G28" s="104" t="e">
        <f aca="false">Sheet1!J24/Sheet1!$D$24</f>
        <v>#DIV/0!</v>
      </c>
      <c r="H28" s="104" t="e">
        <f aca="false">Sheet1!T24/Sheet1!$D$24</f>
        <v>#DIV/0!</v>
      </c>
      <c r="I28" s="104" t="n">
        <f aca="false">Sheet2!$C$7</f>
        <v>0.67741935483871</v>
      </c>
    </row>
    <row r="29" customFormat="false" ht="13.8" hidden="false" customHeight="false" outlineLevel="0" collapsed="false">
      <c r="A29" s="1" t="s">
        <v>18</v>
      </c>
      <c r="B29" s="104" t="n">
        <f aca="false">Sheet1!I25/Sheet1!C25</f>
        <v>0.87</v>
      </c>
      <c r="C29" s="104" t="n">
        <f aca="false">Sheet1!S25/Sheet1!C25</f>
        <v>2.77653967069155</v>
      </c>
      <c r="D29" s="104" t="n">
        <f aca="false">Sheet2!$C$7</f>
        <v>0.67741935483871</v>
      </c>
      <c r="F29" s="1" t="s">
        <v>18</v>
      </c>
      <c r="G29" s="104" t="n">
        <f aca="false">Sheet1!J25/Sheet1!$D$25</f>
        <v>0.888111888111888</v>
      </c>
      <c r="H29" s="104" t="n">
        <f aca="false">Sheet1!T25/Sheet1!$D$25</f>
        <v>2.83434240155797</v>
      </c>
      <c r="I29" s="104" t="n">
        <f aca="false">Sheet2!$C$7</f>
        <v>0.67741935483871</v>
      </c>
    </row>
    <row r="30" customFormat="false" ht="13.8" hidden="false" customHeight="false" outlineLevel="0" collapsed="false">
      <c r="A30" s="1" t="s">
        <v>21</v>
      </c>
      <c r="B30" s="104" t="e">
        <f aca="false">Sheet1!I26/Sheet1!C26</f>
        <v>#DIV/0!</v>
      </c>
      <c r="C30" s="104" t="e">
        <f aca="false">Sheet1!S26/Sheet1!C26</f>
        <v>#DIV/0!</v>
      </c>
      <c r="D30" s="104" t="n">
        <f aca="false">Sheet2!$C$7</f>
        <v>0.67741935483871</v>
      </c>
      <c r="F30" s="1" t="s">
        <v>21</v>
      </c>
      <c r="G30" s="104" t="e">
        <f aca="false">Sheet1!J26/Sheet1!$D$26</f>
        <v>#DIV/0!</v>
      </c>
      <c r="H30" s="104" t="e">
        <f aca="false">Sheet1!T26/Sheet1!$D$26</f>
        <v>#DIV/0!</v>
      </c>
      <c r="I30" s="104" t="n">
        <f aca="false">Sheet2!$C$7</f>
        <v>0.67741935483871</v>
      </c>
    </row>
    <row r="31" customFormat="false" ht="13.8" hidden="false" customHeight="false" outlineLevel="0" collapsed="false">
      <c r="A31" s="1" t="s">
        <v>53</v>
      </c>
      <c r="B31" s="104" t="e">
        <f aca="false">#REF!/#REF!</f>
        <v>#REF!</v>
      </c>
      <c r="C31" s="104" t="e">
        <f aca="false">#REF!/#REF!</f>
        <v>#REF!</v>
      </c>
      <c r="D31" s="104" t="n">
        <f aca="false">Sheet2!$C$7</f>
        <v>0.67741935483871</v>
      </c>
      <c r="F31" s="1" t="s">
        <v>53</v>
      </c>
      <c r="G31" s="104" t="e">
        <f aca="false">#REF!/#REF!</f>
        <v>#REF!</v>
      </c>
      <c r="H31" s="104" t="e">
        <f aca="false">#REF!/#REF!</f>
        <v>#REF!</v>
      </c>
      <c r="I31" s="104" t="n">
        <f aca="false">Sheet2!$C$7</f>
        <v>0.67741935483871</v>
      </c>
    </row>
    <row r="32" customFormat="false" ht="13.8" hidden="false" customHeight="false" outlineLevel="0" collapsed="false">
      <c r="A32" s="1" t="s">
        <v>30</v>
      </c>
      <c r="B32" s="104" t="n">
        <f aca="false">Sheet1!I34/Sheet1!C34</f>
        <v>0.558446351139404</v>
      </c>
      <c r="C32" s="104" t="n">
        <f aca="false">Sheet1!S34/Sheet1!C34</f>
        <v>0.853873257278208</v>
      </c>
      <c r="D32" s="104" t="n">
        <f aca="false">Sheet2!$C$7</f>
        <v>0.67741935483871</v>
      </c>
      <c r="F32" s="1" t="s">
        <v>30</v>
      </c>
      <c r="G32" s="104" t="n">
        <f aca="false">Sheet1!J34/Sheet1!$D$34</f>
        <v>0.587741935483871</v>
      </c>
      <c r="H32" s="104" t="n">
        <f aca="false">Sheet1!T34/Sheet1!$D$34</f>
        <v>0.898666666666667</v>
      </c>
      <c r="I32" s="104" t="n">
        <f aca="false">Sheet2!$C$7</f>
        <v>0.67741935483871</v>
      </c>
    </row>
    <row r="35" customFormat="false" ht="13.8" hidden="false" customHeight="false" outlineLevel="0" collapsed="false">
      <c r="A35" s="147" t="s">
        <v>136</v>
      </c>
      <c r="B35" s="147"/>
      <c r="C35" s="147"/>
      <c r="F35" s="147" t="s">
        <v>137</v>
      </c>
      <c r="G35" s="147"/>
      <c r="H35" s="147"/>
    </row>
    <row r="36" customFormat="false" ht="13.8" hidden="false" customHeight="false" outlineLevel="0" collapsed="false">
      <c r="B36" s="1" t="s">
        <v>2</v>
      </c>
      <c r="C36" s="1" t="s">
        <v>3</v>
      </c>
      <c r="G36" s="1" t="s">
        <v>2</v>
      </c>
      <c r="H36" s="1" t="s">
        <v>3</v>
      </c>
    </row>
    <row r="37" customFormat="false" ht="13.8" hidden="false" customHeight="false" outlineLevel="0" collapsed="false">
      <c r="A37" s="1" t="s">
        <v>15</v>
      </c>
      <c r="B37" s="39" t="n">
        <f aca="false">Sheet1!E4</f>
        <v>1400000</v>
      </c>
      <c r="C37" s="39" t="n">
        <f aca="false">Sheet1!K4</f>
        <v>1316223.69643779</v>
      </c>
      <c r="F37" s="1" t="s">
        <v>15</v>
      </c>
      <c r="G37" s="39" t="n">
        <f aca="false">Sheet1!F4</f>
        <v>790984.222389181</v>
      </c>
      <c r="H37" s="39" t="n">
        <f aca="false">Sheet1!M4</f>
        <v>779139.533609281</v>
      </c>
    </row>
    <row r="38" customFormat="false" ht="13.8" hidden="false" customHeight="false" outlineLevel="0" collapsed="false">
      <c r="A38" s="1" t="s">
        <v>73</v>
      </c>
      <c r="B38" s="39" t="n">
        <f aca="false">Sheet1!E5</f>
        <v>950000</v>
      </c>
      <c r="C38" s="39" t="n">
        <f aca="false">Sheet1!K5</f>
        <v>831148.847926267</v>
      </c>
      <c r="F38" s="1" t="s">
        <v>73</v>
      </c>
      <c r="G38" s="39" t="n">
        <f aca="false">Sheet1!F5</f>
        <v>536750</v>
      </c>
      <c r="H38" s="39" t="n">
        <f aca="false">Sheet1!M5</f>
        <v>577704.356181935</v>
      </c>
    </row>
    <row r="39" customFormat="false" ht="13.8" hidden="false" customHeight="false" outlineLevel="0" collapsed="false">
      <c r="A39" s="1" t="s">
        <v>17</v>
      </c>
      <c r="B39" s="39" t="n">
        <f aca="false">Sheet1!E6</f>
        <v>799820.236201299</v>
      </c>
      <c r="C39" s="39" t="n">
        <f aca="false">Sheet1!K6</f>
        <v>835839.160839161</v>
      </c>
      <c r="F39" s="1" t="s">
        <v>17</v>
      </c>
      <c r="G39" s="39" t="n">
        <f aca="false">Sheet1!F6</f>
        <v>452008.500458716</v>
      </c>
      <c r="H39" s="39" t="n">
        <f aca="false">Sheet1!M6</f>
        <v>522513.661202186</v>
      </c>
    </row>
    <row r="40" customFormat="false" ht="13.8" hidden="false" customHeight="false" outlineLevel="0" collapsed="false">
      <c r="A40" s="1" t="s">
        <v>18</v>
      </c>
      <c r="B40" s="39" t="n">
        <f aca="false">Sheet1!E7</f>
        <v>1074946.25265487</v>
      </c>
      <c r="C40" s="39" t="n">
        <f aca="false">Sheet1!K7</f>
        <v>1030535.9246172</v>
      </c>
      <c r="F40" s="1" t="s">
        <v>18</v>
      </c>
      <c r="G40" s="39" t="n">
        <f aca="false">Sheet1!F7</f>
        <v>607344.63275</v>
      </c>
      <c r="H40" s="39" t="n">
        <f aca="false">Sheet1!M7</f>
        <v>609067.177166725</v>
      </c>
    </row>
    <row r="41" customFormat="false" ht="13.8" hidden="false" customHeight="false" outlineLevel="0" collapsed="false">
      <c r="A41" s="1" t="s">
        <v>19</v>
      </c>
      <c r="B41" s="39" t="n">
        <f aca="false">Sheet1!E8</f>
        <v>1100000</v>
      </c>
      <c r="C41" s="39" t="n">
        <f aca="false">Sheet1!K8</f>
        <v>1196989.41176471</v>
      </c>
      <c r="F41" s="1" t="s">
        <v>19</v>
      </c>
      <c r="G41" s="39" t="n">
        <f aca="false">Sheet1!F8</f>
        <v>621176.470588235</v>
      </c>
      <c r="H41" s="39" t="n">
        <f aca="false">Sheet1!M8</f>
        <v>484495.714285714</v>
      </c>
    </row>
    <row r="42" customFormat="false" ht="13.8" hidden="false" customHeight="false" outlineLevel="0" collapsed="false">
      <c r="A42" s="1" t="s">
        <v>74</v>
      </c>
      <c r="B42" s="39" t="e">
        <f aca="false">sheet1 #REF!</f>
        <v>#VALUE!</v>
      </c>
      <c r="C42" s="39" t="e">
        <f aca="false">sheet1 #REF!</f>
        <v>#VALUE!</v>
      </c>
      <c r="F42" s="1" t="s">
        <v>74</v>
      </c>
      <c r="G42" s="39" t="e">
        <f aca="false">sheet1 #REF!</f>
        <v>#VALUE!</v>
      </c>
      <c r="H42" s="39" t="e">
        <f aca="false">sheet1 #REF!</f>
        <v>#VALUE!</v>
      </c>
    </row>
    <row r="43" customFormat="false" ht="13.8" hidden="false" customHeight="false" outlineLevel="0" collapsed="false">
      <c r="A43" s="1" t="s">
        <v>21</v>
      </c>
      <c r="B43" s="39" t="n">
        <f aca="false">Sheet1!E9</f>
        <v>850000</v>
      </c>
      <c r="C43" s="39" t="n">
        <f aca="false">Sheet1!K9</f>
        <v>672522.522522523</v>
      </c>
      <c r="F43" s="1" t="s">
        <v>21</v>
      </c>
      <c r="G43" s="39" t="n">
        <f aca="false">Sheet1!F9</f>
        <v>479795.597484277</v>
      </c>
      <c r="H43" s="39" t="n">
        <f aca="false">Sheet1!M9</f>
        <v>364146.341463415</v>
      </c>
    </row>
    <row r="44" customFormat="false" ht="13.8" hidden="false" customHeight="false" outlineLevel="0" collapsed="false">
      <c r="A44" s="1" t="s">
        <v>30</v>
      </c>
      <c r="B44" s="39" t="n">
        <f aca="false">Sheet1!E18</f>
        <v>677477.355328798</v>
      </c>
      <c r="C44" s="39" t="n">
        <f aca="false">Sheet1!K18</f>
        <v>733153.999424791</v>
      </c>
      <c r="F44" s="1" t="s">
        <v>30</v>
      </c>
      <c r="G44" s="39" t="n">
        <f aca="false">Sheet1!F18</f>
        <v>382749.030041636</v>
      </c>
      <c r="H44" s="39" t="n">
        <f aca="false">Sheet1!M18</f>
        <v>433991.020463754</v>
      </c>
    </row>
    <row r="47" customFormat="false" ht="13.8" hidden="false" customHeight="false" outlineLevel="0" collapsed="false">
      <c r="A47" s="147" t="s">
        <v>138</v>
      </c>
      <c r="B47" s="147"/>
      <c r="C47" s="147"/>
      <c r="D47" s="147"/>
      <c r="F47" s="147" t="s">
        <v>139</v>
      </c>
      <c r="G47" s="147"/>
      <c r="H47" s="147"/>
      <c r="I47" s="147"/>
    </row>
    <row r="48" customFormat="false" ht="13.8" hidden="false" customHeight="false" outlineLevel="0" collapsed="false">
      <c r="B48" s="1" t="s">
        <v>134</v>
      </c>
      <c r="C48" s="1" t="s">
        <v>135</v>
      </c>
      <c r="D48" s="1" t="s">
        <v>129</v>
      </c>
      <c r="G48" s="1" t="s">
        <v>134</v>
      </c>
      <c r="H48" s="1" t="s">
        <v>135</v>
      </c>
      <c r="I48" s="1" t="s">
        <v>129</v>
      </c>
    </row>
    <row r="49" customFormat="false" ht="13.8" hidden="false" customHeight="false" outlineLevel="0" collapsed="false">
      <c r="A49" s="1" t="s">
        <v>15</v>
      </c>
      <c r="B49" s="104" t="n">
        <f aca="false">Sheet1!I4/Sheet1!C4</f>
        <v>0.429299645390071</v>
      </c>
      <c r="C49" s="104" t="n">
        <f aca="false">Sheet1!S4/Sheet1!C4</f>
        <v>0.654510569715885</v>
      </c>
      <c r="D49" s="104" t="n">
        <f aca="false">Sheet2!$C$7</f>
        <v>0.67741935483871</v>
      </c>
      <c r="F49" s="1" t="s">
        <v>15</v>
      </c>
      <c r="G49" s="104" t="n">
        <f aca="false">Sheet1!J4/Sheet1!D4</f>
        <v>0.409746053292428</v>
      </c>
      <c r="H49" s="104" t="n">
        <f aca="false">Sheet1!T4/Sheet1!D4</f>
        <v>0.62469914815696</v>
      </c>
      <c r="I49" s="104" t="n">
        <f aca="false">Sheet2!$B$2/Sheet2!$B$1</f>
        <v>0.0361290322580645</v>
      </c>
    </row>
    <row r="50" customFormat="false" ht="13.8" hidden="false" customHeight="false" outlineLevel="0" collapsed="false">
      <c r="A50" s="1" t="s">
        <v>73</v>
      </c>
      <c r="B50" s="104" t="n">
        <f aca="false">Sheet1!I5/Sheet1!C5</f>
        <v>0.505356311131812</v>
      </c>
      <c r="C50" s="104" t="n">
        <f aca="false">Sheet1!S5/Sheet1!C5</f>
        <v>0.770466620832783</v>
      </c>
      <c r="D50" s="104" t="n">
        <f aca="false">Sheet2!$C$7</f>
        <v>0.67741935483871</v>
      </c>
      <c r="F50" s="1" t="s">
        <v>73</v>
      </c>
      <c r="G50" s="104" t="n">
        <f aca="false">Sheet1!J5/Sheet1!D5</f>
        <v>0.410789473684211</v>
      </c>
      <c r="H50" s="104" t="n">
        <f aca="false">Sheet1!T5/Sheet1!D5</f>
        <v>0.626289947689203</v>
      </c>
      <c r="I50" s="104" t="n">
        <f aca="false">Sheet2!$B$2/Sheet2!$B$1</f>
        <v>0.0361290322580645</v>
      </c>
    </row>
    <row r="51" customFormat="false" ht="13.8" hidden="false" customHeight="false" outlineLevel="0" collapsed="false">
      <c r="A51" s="1" t="s">
        <v>17</v>
      </c>
      <c r="B51" s="104" t="n">
        <f aca="false">Sheet1!I6/Sheet1!C6</f>
        <v>0.464285714285714</v>
      </c>
      <c r="C51" s="104" t="n">
        <f aca="false">Sheet1!S6/Sheet1!C6</f>
        <v>0.707850357276623</v>
      </c>
      <c r="D51" s="104" t="n">
        <f aca="false">Sheet2!$C$7</f>
        <v>0.67741935483871</v>
      </c>
      <c r="F51" s="1" t="s">
        <v>17</v>
      </c>
      <c r="G51" s="104" t="n">
        <f aca="false">Sheet1!J6/Sheet1!D6</f>
        <v>0.419724770642202</v>
      </c>
      <c r="H51" s="104" t="n">
        <f aca="false">Sheet1!T6/Sheet1!D6</f>
        <v>0.639912708307237</v>
      </c>
      <c r="I51" s="104" t="n">
        <f aca="false">Sheet2!$B$2/Sheet2!$B$1</f>
        <v>0.0361290322580645</v>
      </c>
    </row>
    <row r="52" customFormat="false" ht="13.8" hidden="false" customHeight="false" outlineLevel="0" collapsed="false">
      <c r="A52" s="1" t="s">
        <v>18</v>
      </c>
      <c r="B52" s="104" t="n">
        <f aca="false">Sheet1!I7/Sheet1!C7</f>
        <v>1.50265486725664</v>
      </c>
      <c r="C52" s="104" t="n">
        <f aca="false">Sheet1!S7/Sheet1!C7</f>
        <v>2.29094876694076</v>
      </c>
      <c r="D52" s="104" t="n">
        <f aca="false">Sheet2!$C$7</f>
        <v>0.67741935483871</v>
      </c>
      <c r="F52" s="1" t="s">
        <v>18</v>
      </c>
      <c r="G52" s="104" t="n">
        <f aca="false">Sheet1!J7/Sheet1!D7</f>
        <v>1.4365</v>
      </c>
      <c r="H52" s="104" t="n">
        <f aca="false">Sheet1!T7/Sheet1!D7</f>
        <v>2.19008900541387</v>
      </c>
      <c r="I52" s="104" t="n">
        <f aca="false">Sheet2!$B$2/Sheet2!$B$1</f>
        <v>0.0361290322580645</v>
      </c>
    </row>
    <row r="53" customFormat="false" ht="13.8" hidden="false" customHeight="false" outlineLevel="0" collapsed="false">
      <c r="A53" s="1" t="s">
        <v>19</v>
      </c>
      <c r="B53" s="104" t="n">
        <f aca="false">Sheet1!I8/Sheet1!C8</f>
        <v>0.3984375</v>
      </c>
      <c r="C53" s="104" t="n">
        <f aca="false">Sheet1!S8/Sheet1!C8</f>
        <v>0.607458119105179</v>
      </c>
      <c r="D53" s="104" t="n">
        <f aca="false">Sheet2!$C$7</f>
        <v>0.67741935483871</v>
      </c>
      <c r="F53" s="1" t="s">
        <v>19</v>
      </c>
      <c r="G53" s="104" t="n">
        <f aca="false">Sheet1!J8/Sheet1!D8</f>
        <v>0.555882352941177</v>
      </c>
      <c r="H53" s="104" t="n">
        <f aca="false">Sheet1!T8/Sheet1!D8</f>
        <v>0.847498663056084</v>
      </c>
      <c r="I53" s="104" t="n">
        <f aca="false">Sheet2!$B$2/Sheet2!$B$1</f>
        <v>0.0361290322580645</v>
      </c>
    </row>
    <row r="54" customFormat="false" ht="13.8" hidden="false" customHeight="false" outlineLevel="0" collapsed="false">
      <c r="A54" s="1" t="s">
        <v>74</v>
      </c>
      <c r="B54" s="104" t="e">
        <f aca="false">sheet1 #REF!/sheet1 #REF!</f>
        <v>#VALUE!</v>
      </c>
      <c r="C54" s="104" t="e">
        <f aca="false">sheet1 #REF!/sheet1 #REF!</f>
        <v>#VALUE!</v>
      </c>
      <c r="D54" s="104" t="n">
        <f aca="false">Sheet2!$C$7</f>
        <v>0.67741935483871</v>
      </c>
      <c r="F54" s="1" t="s">
        <v>74</v>
      </c>
      <c r="G54" s="104" t="e">
        <f aca="false">sheet1 #REF!/sheet1 #REF!</f>
        <v>#VALUE!</v>
      </c>
      <c r="H54" s="104" t="e">
        <f aca="false">sheet1 #REF!/sheet1 #REF!</f>
        <v>#VALUE!</v>
      </c>
      <c r="I54" s="104" t="n">
        <f aca="false">Sheet2!$B$2/Sheet2!$B$1</f>
        <v>0.0361290322580645</v>
      </c>
    </row>
    <row r="55" customFormat="false" ht="13.8" hidden="false" customHeight="false" outlineLevel="0" collapsed="false">
      <c r="A55" s="1" t="s">
        <v>21</v>
      </c>
      <c r="B55" s="104" t="n">
        <f aca="false">Sheet1!I9/Sheet1!C9</f>
        <v>0.309192200557103</v>
      </c>
      <c r="C55" s="104" t="n">
        <f aca="false">Sheet1!S9/Sheet1!C9</f>
        <v>0.471394666898595</v>
      </c>
      <c r="D55" s="104" t="n">
        <f aca="false">Sheet2!$C$7</f>
        <v>0.67741935483871</v>
      </c>
      <c r="F55" s="1" t="s">
        <v>21</v>
      </c>
      <c r="G55" s="104" t="n">
        <f aca="false">Sheet1!J9/Sheet1!D9</f>
        <v>0.322327044025157</v>
      </c>
      <c r="H55" s="104" t="n">
        <f aca="false">Sheet1!T9/Sheet1!D9</f>
        <v>0.491420059357501</v>
      </c>
      <c r="I55" s="104" t="n">
        <f aca="false">Sheet2!$B$2/Sheet2!$B$1</f>
        <v>0.0361290322580645</v>
      </c>
    </row>
    <row r="56" customFormat="false" ht="13.8" hidden="false" customHeight="false" outlineLevel="0" collapsed="false">
      <c r="A56" s="1" t="s">
        <v>22</v>
      </c>
      <c r="B56" s="104" t="n">
        <f aca="false">Sheet1!I10/Sheet1!C10</f>
        <v>0.329853862212944</v>
      </c>
      <c r="C56" s="104" t="n">
        <f aca="false">Sheet1!S10/Sheet1!C10</f>
        <v>0.502895452158629</v>
      </c>
      <c r="D56" s="104" t="n">
        <f aca="false">Sheet2!$C$7</f>
        <v>0.67741935483871</v>
      </c>
      <c r="F56" s="1" t="s">
        <v>22</v>
      </c>
      <c r="G56" s="104" t="n">
        <f aca="false">Sheet1!J10/Sheet1!D10</f>
        <v>0.317216981132075</v>
      </c>
      <c r="H56" s="104" t="n">
        <f aca="false">Sheet1!T10/Sheet1!D10</f>
        <v>0.483629253538418</v>
      </c>
      <c r="I56" s="104" t="n">
        <f aca="false">Sheet2!$B$2/Sheet2!$B$1</f>
        <v>0.0361290322580645</v>
      </c>
    </row>
    <row r="57" customFormat="false" ht="13.8" hidden="false" customHeight="false" outlineLevel="0" collapsed="false">
      <c r="A57" s="1" t="s">
        <v>30</v>
      </c>
      <c r="B57" s="104" t="n">
        <f aca="false">Sheet1!I18/Sheet1!C18</f>
        <v>0.65702947845805</v>
      </c>
      <c r="C57" s="104" t="n">
        <f aca="false">Sheet1!S18/Sheet1!C18</f>
        <v>1.00170764845373</v>
      </c>
      <c r="D57" s="104" t="n">
        <f aca="false">Sheet2!$C$7</f>
        <v>0.67741935483871</v>
      </c>
      <c r="F57" s="1" t="s">
        <v>30</v>
      </c>
      <c r="G57" s="104" t="n">
        <f aca="false">Sheet1!J18/Sheet1!D18</f>
        <v>0.62707376961674</v>
      </c>
      <c r="H57" s="104" t="n">
        <f aca="false">Sheet1!T18/Sheet1!D18</f>
        <v>0.956037151702786</v>
      </c>
      <c r="I57" s="104" t="n">
        <f aca="false">Sheet2!$B$2/Sheet2!$B$1</f>
        <v>0.0361290322580645</v>
      </c>
    </row>
  </sheetData>
  <mergeCells count="10">
    <mergeCell ref="A1:C1"/>
    <mergeCell ref="F1:H1"/>
    <mergeCell ref="A15:C15"/>
    <mergeCell ref="F15:H15"/>
    <mergeCell ref="A24:D24"/>
    <mergeCell ref="F24:I24"/>
    <mergeCell ref="A35:C35"/>
    <mergeCell ref="F35:H35"/>
    <mergeCell ref="A47:D47"/>
    <mergeCell ref="F47:I4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2245</TotalTime>
  <Application>LibreOffice/7.5.4.2$Linux_X86_64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2021-11-14T05:39:26Z</dcterms:created>
  <dc:creator>Sohrab Salehin</dc:creator>
  <dc:description/>
  <dc:language>en-US</dc:language>
  <cp:lastModifiedBy/>
  <dcterms:modified xsi:type="dcterms:W3CDTF">2023-08-05T15:37:26Z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