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bscott40/ASU Dropbox/Brian Scott/ASU/Data and analysis/qPCR/"/>
    </mc:Choice>
  </mc:AlternateContent>
  <xr:revisionPtr revIDLastSave="0" documentId="13_ncr:1_{D4FFAD47-2267-7242-8143-784DBF855E3F}" xr6:coauthVersionLast="47" xr6:coauthVersionMax="47" xr10:uidLastSave="{00000000-0000-0000-0000-000000000000}"/>
  <bookViews>
    <workbookView xWindow="-29400" yWindow="740" windowWidth="29400" windowHeight="17000" activeTab="4" xr2:uid="{00000000-000D-0000-FFFF-FFFF00000000}"/>
  </bookViews>
  <sheets>
    <sheet name="16S std" sheetId="4" r:id="rId1"/>
    <sheet name="Qubit" sheetId="3" r:id="rId2"/>
    <sheet name="plate" sheetId="1" r:id="rId3"/>
    <sheet name="Results" sheetId="6" r:id="rId4"/>
    <sheet name="Calculation" sheetId="5" r:id="rId5"/>
    <sheet name="Chart1" sheetId="7" r:id="rId6"/>
    <sheet name="Chart2" sheetId="9" r:id="rId7"/>
    <sheet name="Chart3" sheetId="12" r:id="rId8"/>
    <sheet name="Chart4" sheetId="8" r:id="rId9"/>
    <sheet name="Chart5" sheetId="10" r:id="rId10"/>
    <sheet name="Chart6" sheetId="11" r:id="rId11"/>
  </sheets>
  <externalReferences>
    <externalReference r:id="rId12"/>
  </externalReferences>
  <definedNames>
    <definedName name="_xlnm.Print_Area" localSheetId="2">plate!$A$1:$T$24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8" i="5" l="1"/>
  <c r="L19" i="5"/>
  <c r="L20" i="5"/>
  <c r="L21" i="5"/>
  <c r="L22" i="5"/>
  <c r="L23" i="5"/>
  <c r="F7" i="6" l="1"/>
  <c r="F56" i="6"/>
  <c r="C5" i="5" l="1"/>
  <c r="C6" i="5"/>
  <c r="F57" i="6"/>
  <c r="F58" i="6" s="1"/>
  <c r="E7" i="5"/>
  <c r="K24" i="5"/>
  <c r="K25" i="5"/>
  <c r="O24" i="5"/>
  <c r="O25" i="5"/>
  <c r="N25" i="5" l="1"/>
  <c r="N24" i="5"/>
  <c r="E9" i="1"/>
  <c r="G9" i="1" s="1"/>
  <c r="B9" i="1"/>
  <c r="D9" i="1" s="1"/>
  <c r="C9" i="1" l="1"/>
  <c r="F9" i="1"/>
  <c r="G15" i="3" l="1"/>
  <c r="M33" i="6" l="1" a="1"/>
  <c r="C24" i="5" l="1"/>
  <c r="C25" i="5"/>
  <c r="M33" i="6"/>
  <c r="C20" i="5"/>
  <c r="C17" i="5"/>
  <c r="C21" i="5"/>
  <c r="C18" i="5"/>
  <c r="C19" i="5"/>
  <c r="C22" i="5"/>
  <c r="C23" i="5"/>
  <c r="N13" i="5" l="1"/>
  <c r="C13" i="3"/>
  <c r="C12" i="3"/>
  <c r="C11" i="3"/>
  <c r="C10" i="3"/>
  <c r="C9" i="3"/>
  <c r="C8" i="3"/>
  <c r="C7" i="3"/>
  <c r="C6" i="3"/>
  <c r="C5" i="3"/>
  <c r="C4" i="3"/>
  <c r="C3" i="3"/>
  <c r="C2" i="3"/>
  <c r="N14" i="5"/>
  <c r="N15" i="5" l="1"/>
  <c r="N12" i="5"/>
  <c r="N19" i="5"/>
  <c r="N16" i="5"/>
  <c r="N20" i="5"/>
  <c r="N22" i="5"/>
  <c r="N23" i="5"/>
  <c r="N17" i="5"/>
  <c r="N18" i="5"/>
  <c r="N21" i="5"/>
  <c r="O13" i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" i="3"/>
  <c r="L33" i="6" a="1"/>
  <c r="B27" i="5" s="1"/>
  <c r="B24" i="5" l="1"/>
  <c r="B25" i="5"/>
  <c r="B26" i="5"/>
  <c r="L33" i="6"/>
  <c r="B12" i="5" s="1"/>
  <c r="B13" i="5"/>
  <c r="B21" i="5"/>
  <c r="B16" i="5"/>
  <c r="B17" i="5"/>
  <c r="B19" i="5"/>
  <c r="B14" i="5"/>
  <c r="B22" i="5"/>
  <c r="B23" i="5"/>
  <c r="B18" i="5"/>
  <c r="B20" i="5"/>
  <c r="B15" i="5"/>
  <c r="O13" i="5"/>
  <c r="O14" i="5"/>
  <c r="O15" i="5"/>
  <c r="O16" i="5"/>
  <c r="O17" i="5"/>
  <c r="O18" i="5"/>
  <c r="O19" i="5"/>
  <c r="O20" i="5"/>
  <c r="O21" i="5"/>
  <c r="O22" i="5"/>
  <c r="O23" i="5"/>
  <c r="O12" i="5"/>
  <c r="C13" i="5" l="1"/>
  <c r="C16" i="5"/>
  <c r="C15" i="5"/>
  <c r="C12" i="5"/>
  <c r="C14" i="5"/>
  <c r="R35" i="5"/>
  <c r="R36" i="5"/>
  <c r="K8" i="1"/>
  <c r="L8" i="1" s="1"/>
  <c r="H8" i="1"/>
  <c r="J8" i="1" s="1"/>
  <c r="E8" i="1"/>
  <c r="F8" i="1" s="1"/>
  <c r="B8" i="1"/>
  <c r="D8" i="1" s="1"/>
  <c r="K7" i="1"/>
  <c r="M7" i="1" s="1"/>
  <c r="H7" i="1"/>
  <c r="J7" i="1" s="1"/>
  <c r="E7" i="1"/>
  <c r="G7" i="1" s="1"/>
  <c r="B7" i="1"/>
  <c r="D7" i="1" s="1"/>
  <c r="K6" i="1"/>
  <c r="M6" i="1" s="1"/>
  <c r="H6" i="1"/>
  <c r="J6" i="1" s="1"/>
  <c r="E6" i="1"/>
  <c r="F6" i="1" s="1"/>
  <c r="B6" i="1"/>
  <c r="K19" i="5"/>
  <c r="K18" i="5"/>
  <c r="K15" i="5"/>
  <c r="K13" i="5"/>
  <c r="K14" i="5"/>
  <c r="K16" i="5"/>
  <c r="K17" i="5"/>
  <c r="K20" i="5"/>
  <c r="K21" i="5"/>
  <c r="K22" i="5"/>
  <c r="K23" i="5"/>
  <c r="K12" i="5"/>
  <c r="H6" i="5"/>
  <c r="H7" i="5"/>
  <c r="H5" i="5"/>
  <c r="D6" i="1" l="1"/>
  <c r="I6" i="1"/>
  <c r="F7" i="1"/>
  <c r="M8" i="1"/>
  <c r="C6" i="1"/>
  <c r="C8" i="1"/>
  <c r="L6" i="1"/>
  <c r="G8" i="1"/>
  <c r="I8" i="1"/>
  <c r="I7" i="1"/>
  <c r="G6" i="1"/>
  <c r="N6" i="1" s="1"/>
  <c r="C7" i="1"/>
  <c r="L7" i="1"/>
  <c r="N8" i="1" l="1"/>
  <c r="N11" i="1"/>
  <c r="N7" i="1"/>
  <c r="N9" i="1"/>
  <c r="N10" i="1"/>
  <c r="I5" i="5"/>
  <c r="I6" i="5"/>
  <c r="I4" i="5"/>
  <c r="G5" i="5"/>
  <c r="G6" i="5"/>
  <c r="G4" i="5"/>
  <c r="F5" i="5"/>
  <c r="F6" i="5"/>
  <c r="F4" i="5"/>
  <c r="E5" i="5"/>
  <c r="E6" i="5"/>
  <c r="E4" i="5"/>
  <c r="D4" i="5"/>
  <c r="B5" i="5"/>
  <c r="B6" i="5"/>
  <c r="B4" i="5"/>
  <c r="H3" i="5"/>
  <c r="G3" i="5"/>
  <c r="F3" i="5"/>
  <c r="E3" i="5"/>
  <c r="D3" i="5"/>
  <c r="C3" i="5"/>
  <c r="B3" i="5"/>
  <c r="D25" i="3"/>
  <c r="D15" i="3"/>
  <c r="D16" i="3"/>
  <c r="D17" i="3"/>
  <c r="D18" i="3"/>
  <c r="D19" i="3"/>
  <c r="D20" i="3"/>
  <c r="D21" i="3"/>
  <c r="D22" i="3"/>
  <c r="D23" i="3"/>
  <c r="D24" i="3"/>
  <c r="D3" i="3"/>
  <c r="D4" i="3"/>
  <c r="D5" i="3"/>
  <c r="D6" i="3"/>
  <c r="D7" i="3"/>
  <c r="D8" i="3"/>
  <c r="D9" i="3"/>
  <c r="D10" i="3"/>
  <c r="D11" i="3"/>
  <c r="D12" i="3"/>
  <c r="D13" i="3"/>
  <c r="D14" i="3"/>
  <c r="D2" i="3"/>
  <c r="C14" i="3"/>
  <c r="C15" i="3"/>
  <c r="C16" i="3"/>
  <c r="C17" i="3"/>
  <c r="C18" i="3"/>
  <c r="C19" i="3"/>
  <c r="C20" i="3"/>
  <c r="C21" i="3"/>
  <c r="C22" i="3"/>
  <c r="C23" i="3"/>
  <c r="C24" i="3"/>
  <c r="C25" i="3"/>
  <c r="N12" i="1" l="1"/>
  <c r="N13" i="1" s="1"/>
  <c r="I7" i="5"/>
  <c r="D7" i="5"/>
  <c r="B7" i="5"/>
  <c r="G7" i="5"/>
  <c r="C7" i="5"/>
  <c r="E45" i="4"/>
  <c r="C40" i="4"/>
  <c r="C39" i="4"/>
  <c r="D39" i="4" s="1"/>
  <c r="E39" i="4" s="1"/>
  <c r="E38" i="4"/>
  <c r="B16" i="4"/>
  <c r="A15" i="4"/>
  <c r="C15" i="4" s="1"/>
  <c r="C16" i="4" s="1"/>
  <c r="C23" i="4" s="1"/>
  <c r="C9" i="5" l="1"/>
  <c r="B9" i="5"/>
  <c r="D9" i="5"/>
  <c r="L2" i="5"/>
  <c r="D25" i="4"/>
  <c r="G25" i="4" s="1"/>
  <c r="G44" i="4" s="1"/>
  <c r="D22" i="4"/>
  <c r="G22" i="4" s="1"/>
  <c r="G41" i="4" s="1"/>
  <c r="D21" i="4"/>
  <c r="G21" i="4" s="1"/>
  <c r="G40" i="4" s="1"/>
  <c r="D26" i="4"/>
  <c r="G26" i="4" s="1"/>
  <c r="G45" i="4" s="1"/>
  <c r="C46" i="4" s="1"/>
  <c r="D24" i="4"/>
  <c r="G24" i="4" s="1"/>
  <c r="G43" i="4" s="1"/>
  <c r="D27" i="4"/>
  <c r="G27" i="4" s="1"/>
  <c r="G46" i="4" s="1"/>
  <c r="D23" i="4"/>
  <c r="G23" i="4" s="1"/>
  <c r="G42" i="4" s="1"/>
  <c r="D24" i="5" l="1"/>
  <c r="E24" i="5" s="1"/>
  <c r="F24" i="5" s="1"/>
  <c r="H24" i="5" s="1"/>
  <c r="I24" i="5" s="1"/>
  <c r="D25" i="5"/>
  <c r="E25" i="5" s="1"/>
  <c r="F25" i="5" s="1"/>
  <c r="H25" i="5" s="1"/>
  <c r="I25" i="5" s="1"/>
  <c r="D23" i="5"/>
  <c r="E23" i="5" s="1"/>
  <c r="F23" i="5" s="1"/>
  <c r="H23" i="5" s="1"/>
  <c r="I23" i="5" s="1"/>
  <c r="D12" i="5"/>
  <c r="E12" i="5" s="1"/>
  <c r="M2" i="5"/>
  <c r="K2" i="5"/>
  <c r="D15" i="5"/>
  <c r="E15" i="5" s="1"/>
  <c r="F15" i="5" s="1"/>
  <c r="H15" i="5" s="1"/>
  <c r="I15" i="5" s="1"/>
  <c r="D17" i="5"/>
  <c r="E17" i="5" s="1"/>
  <c r="F17" i="5" s="1"/>
  <c r="H17" i="5" s="1"/>
  <c r="D13" i="5"/>
  <c r="E13" i="5" s="1"/>
  <c r="D16" i="5"/>
  <c r="E16" i="5" s="1"/>
  <c r="F16" i="5" s="1"/>
  <c r="H16" i="5" s="1"/>
  <c r="I16" i="5" s="1"/>
  <c r="D14" i="5"/>
  <c r="E14" i="5" s="1"/>
  <c r="F14" i="5" s="1"/>
  <c r="H14" i="5" s="1"/>
  <c r="I14" i="5" s="1"/>
  <c r="D21" i="5"/>
  <c r="E21" i="5" s="1"/>
  <c r="D19" i="5"/>
  <c r="E19" i="5" s="1"/>
  <c r="D20" i="5"/>
  <c r="E20" i="5" s="1"/>
  <c r="D22" i="5"/>
  <c r="E22" i="5" s="1"/>
  <c r="D18" i="5"/>
  <c r="E18" i="5" s="1"/>
  <c r="D46" i="4"/>
  <c r="E46" i="4" s="1"/>
  <c r="D44" i="4"/>
  <c r="E44" i="4" s="1"/>
  <c r="C45" i="4"/>
  <c r="C42" i="4"/>
  <c r="C43" i="4"/>
  <c r="D43" i="4" s="1"/>
  <c r="E43" i="4" s="1"/>
  <c r="D42" i="4"/>
  <c r="E42" i="4" s="1"/>
  <c r="C44" i="4"/>
  <c r="C41" i="4"/>
  <c r="D41" i="4" s="1"/>
  <c r="E41" i="4" s="1"/>
  <c r="D40" i="4"/>
  <c r="E40" i="4" s="1"/>
  <c r="I17" i="5" l="1"/>
  <c r="F12" i="5"/>
  <c r="H12" i="5" s="1"/>
  <c r="I12" i="5" s="1"/>
  <c r="F21" i="5"/>
  <c r="H21" i="5" s="1"/>
  <c r="I21" i="5" s="1"/>
  <c r="F18" i="5"/>
  <c r="H18" i="5" s="1"/>
  <c r="I18" i="5" s="1"/>
  <c r="F13" i="5"/>
  <c r="H13" i="5" s="1"/>
  <c r="I13" i="5" s="1"/>
  <c r="F20" i="5"/>
  <c r="H20" i="5" s="1"/>
  <c r="I20" i="5" s="1"/>
  <c r="F19" i="5"/>
  <c r="H19" i="5" s="1"/>
  <c r="I19" i="5" s="1"/>
  <c r="F22" i="5"/>
  <c r="H22" i="5" s="1"/>
  <c r="I22" i="5" s="1"/>
  <c r="N17" i="1"/>
  <c r="O17" i="1" l="1"/>
  <c r="M15" i="1"/>
  <c r="M16" i="1"/>
  <c r="N16" i="1" l="1"/>
  <c r="N15" i="1"/>
  <c r="M18" i="1"/>
  <c r="N18" i="1" l="1"/>
  <c r="N22" i="1" s="1"/>
  <c r="O18" i="1"/>
  <c r="O2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<sst xmlns="http://schemas.openxmlformats.org/spreadsheetml/2006/main" count="513" uniqueCount="285">
  <si>
    <t>g block template</t>
  </si>
  <si>
    <t>10 to 10^7</t>
  </si>
  <si>
    <t>copy numbers</t>
  </si>
  <si>
    <t>N =(Q/660)*(1/L)*(6.022*10^23)</t>
  </si>
  <si>
    <t>N is number of molecules, Q is quantity of DNA in grams, 660 is</t>
  </si>
  <si>
    <t>average molecular weight of a nucleotide in grams per mole, L is length</t>
  </si>
  <si>
    <t>of the molecule in base pairs, and 6.022 1023 is Avogadro’s number</t>
  </si>
  <si>
    <t>(molecules/mole).</t>
  </si>
  <si>
    <t>10ng/ul</t>
  </si>
  <si>
    <t>250ng</t>
  </si>
  <si>
    <t>stock gblock</t>
  </si>
  <si>
    <t xml:space="preserve">gblock dilution to get our C1 </t>
  </si>
  <si>
    <t>bp</t>
  </si>
  <si>
    <t>mass</t>
  </si>
  <si>
    <t>g</t>
  </si>
  <si>
    <t>pg</t>
  </si>
  <si>
    <t>1 copy number</t>
  </si>
  <si>
    <t>Copy #for 5ul</t>
  </si>
  <si>
    <t>mass of gblock dependent on length</t>
  </si>
  <si>
    <t>final concentration of DNA(pg) in 5ul</t>
  </si>
  <si>
    <t>ng to pg</t>
  </si>
  <si>
    <t>C2: Final Concentration (ng/5ul)</t>
  </si>
  <si>
    <t>x</t>
  </si>
  <si>
    <t>/</t>
  </si>
  <si>
    <t>c1=10ng/ul</t>
  </si>
  <si>
    <t>10000pg/ul</t>
  </si>
  <si>
    <t>C1</t>
  </si>
  <si>
    <t>100ul</t>
  </si>
  <si>
    <t>V2</t>
  </si>
  <si>
    <t>C2</t>
  </si>
  <si>
    <t>final concentration column</t>
  </si>
  <si>
    <t>Dilutions for qPCR</t>
  </si>
  <si>
    <t>This is in 5 ul!!!!</t>
  </si>
  <si>
    <t>Dilution #</t>
  </si>
  <si>
    <t>Source of DNA</t>
  </si>
  <si>
    <t>Initial Conc. (C1) ng/ul</t>
  </si>
  <si>
    <t>Volume of  DNA (V1) ul</t>
  </si>
  <si>
    <t>Volume of diluent ul</t>
  </si>
  <si>
    <t>Final Volume V2</t>
  </si>
  <si>
    <t>Final Conc.  (ng/5ul) C2 in 5 ul</t>
  </si>
  <si>
    <t>Copy # 5 ul</t>
  </si>
  <si>
    <t>gblock stock</t>
  </si>
  <si>
    <t>A</t>
  </si>
  <si>
    <t>B</t>
  </si>
  <si>
    <t>C</t>
  </si>
  <si>
    <t>D</t>
  </si>
  <si>
    <t>E</t>
  </si>
  <si>
    <t>F</t>
  </si>
  <si>
    <t>G</t>
  </si>
  <si>
    <t>`</t>
  </si>
  <si>
    <t>SAMPLE ID</t>
  </si>
  <si>
    <t>DNA (ng/ul) from Qubit</t>
  </si>
  <si>
    <t>DNA (ng/5ul)</t>
  </si>
  <si>
    <t>DNA after dilute 10 times (ng/5ul)</t>
  </si>
  <si>
    <t>Template per Rxn</t>
  </si>
  <si>
    <t>100pg-100ng in 5uL</t>
  </si>
  <si>
    <t xml:space="preserve"> = 0.1ng-100ng in 5uL</t>
  </si>
  <si>
    <t>DNA in range of rxn</t>
  </si>
  <si>
    <t>DNA higher than range of rxn, need to dilute</t>
  </si>
  <si>
    <t>$NAME OF SAMPLE SET/EXPERIMENT-DATE$</t>
  </si>
  <si>
    <t xml:space="preserve"> reg mix</t>
  </si>
  <si>
    <t>no primer mix</t>
  </si>
  <si>
    <t>C no T</t>
  </si>
  <si>
    <t>C no P</t>
  </si>
  <si>
    <t>Controls no T</t>
  </si>
  <si>
    <t xml:space="preserve"> = 15ul reg mix + 5ul H2O</t>
  </si>
  <si>
    <t>Controls no P</t>
  </si>
  <si>
    <t>= 15ul no primer mix + 5ul H2O</t>
  </si>
  <si>
    <t>H</t>
  </si>
  <si>
    <t># Rxn +x</t>
  </si>
  <si>
    <t>Controls</t>
  </si>
  <si>
    <t>40 Cycles</t>
  </si>
  <si>
    <t>Melting curve</t>
  </si>
  <si>
    <t>Master mix</t>
  </si>
  <si>
    <t>1 rxn</t>
  </si>
  <si>
    <t>Total</t>
  </si>
  <si>
    <t>Total no primer</t>
  </si>
  <si>
    <t>Standards</t>
  </si>
  <si>
    <t>98°C</t>
  </si>
  <si>
    <t>95°C</t>
  </si>
  <si>
    <t>55°C</t>
  </si>
  <si>
    <t>55 to 95°C</t>
  </si>
  <si>
    <t>518R</t>
  </si>
  <si>
    <t xml:space="preserve"> 50uM (500 nM)</t>
  </si>
  <si>
    <t>Unknown</t>
  </si>
  <si>
    <t>2 min
2⁰C/sec</t>
  </si>
  <si>
    <t>10sec
2⁰C/sec</t>
  </si>
  <si>
    <t>30sec</t>
  </si>
  <si>
    <t>1 min</t>
  </si>
  <si>
    <t>speed 0.5⁰C/s</t>
  </si>
  <si>
    <t>15s 
dissociation</t>
  </si>
  <si>
    <t>338F</t>
  </si>
  <si>
    <t>50 uM (500 nM)</t>
  </si>
  <si>
    <t>standards</t>
  </si>
  <si>
    <t>Sybr Green</t>
  </si>
  <si>
    <t>H2O</t>
  </si>
  <si>
    <t>Dilution factor</t>
  </si>
  <si>
    <t>Soil</t>
  </si>
  <si>
    <t>1 in 10 uL</t>
  </si>
  <si>
    <t>100pg-100ng (dilute to add 5uL)</t>
  </si>
  <si>
    <t>5ea</t>
  </si>
  <si>
    <t>bundle</t>
  </si>
  <si>
    <t>1 in 5 uL</t>
  </si>
  <si>
    <t>Mix</t>
  </si>
  <si>
    <t>On computer: Program: Quant Studio</t>
  </si>
  <si>
    <t>DataDrive/FGP-lab/2022 16S template</t>
  </si>
  <si>
    <t>Quantity</t>
  </si>
  <si>
    <t>control</t>
  </si>
  <si>
    <t>Y-Intercept</t>
  </si>
  <si>
    <t>R(superscript 2)</t>
  </si>
  <si>
    <t>Slope</t>
  </si>
  <si>
    <t>log quantity</t>
  </si>
  <si>
    <t>Ct = slope*log(quantity)+inter</t>
  </si>
  <si>
    <t>Ct</t>
  </si>
  <si>
    <t>mean</t>
  </si>
  <si>
    <t>date</t>
  </si>
  <si>
    <t>samples qPCR</t>
  </si>
  <si>
    <t>Ct mean = y</t>
  </si>
  <si>
    <t>x = quant in qPCR tube</t>
  </si>
  <si>
    <t>10^x = # copy in 5ul</t>
  </si>
  <si>
    <t xml:space="preserve"> # copy after dilution</t>
  </si>
  <si>
    <t>dilution</t>
  </si>
  <si>
    <t xml:space="preserve"> # copy in 100ul (DNA extraction vol)</t>
  </si>
  <si>
    <t xml:space="preserve"> # copy in sample/mg of soil</t>
  </si>
  <si>
    <t>soil (mg)</t>
  </si>
  <si>
    <t>Qubit (ng/ul)</t>
  </si>
  <si>
    <t>A2</t>
  </si>
  <si>
    <t>A3</t>
  </si>
  <si>
    <t>A4</t>
  </si>
  <si>
    <t>A5</t>
  </si>
  <si>
    <t>A10</t>
  </si>
  <si>
    <t>A11</t>
  </si>
  <si>
    <t>A12</t>
  </si>
  <si>
    <t>Well</t>
  </si>
  <si>
    <t>Well Position</t>
  </si>
  <si>
    <t>Sample Name</t>
  </si>
  <si>
    <t>Task</t>
  </si>
  <si>
    <t>CT</t>
  </si>
  <si>
    <t>Ct Mean</t>
  </si>
  <si>
    <t>Ct SD</t>
  </si>
  <si>
    <t>Quantity Mean</t>
  </si>
  <si>
    <t>Quantity SD</t>
  </si>
  <si>
    <t>A1</t>
  </si>
  <si>
    <t>CONTROL NO T</t>
  </si>
  <si>
    <t>NTC</t>
  </si>
  <si>
    <t/>
  </si>
  <si>
    <t>CONTROL NO P</t>
  </si>
  <si>
    <t>A6</t>
  </si>
  <si>
    <t>A7</t>
  </si>
  <si>
    <t>STANDARD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</si>
  <si>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</si>
  <si>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</si>
  <si>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</si>
  <si>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</si>
  <si>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</si>
  <si>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</si>
  <si>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</si>
  <si>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</si>
  <si>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</si>
  <si>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</si>
  <si>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</si>
  <si>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</si>
  <si>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</si>
  <si>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</si>
  <si>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C3</t>
  </si>
  <si>
    <t>Ct mean of samples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</si>
  <si>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</si>
  <si>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</si>
  <si>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</si>
  <si>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</si>
  <si>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</si>
  <si>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</si>
  <si>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</si>
  <si>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</si>
  <si>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</si>
  <si>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</si>
  <si>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</si>
  <si>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</si>
  <si>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</si>
  <si>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</si>
  <si>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</si>
  <si>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F8</t>
  </si>
  <si>
    <t>F9</t>
  </si>
  <si>
    <t>F10</t>
  </si>
  <si>
    <t>F11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</si>
  <si>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</si>
  <si>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</si>
  <si>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</si>
  <si>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</si>
  <si>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</si>
  <si>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</si>
  <si>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</si>
  <si>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</si>
  <si>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</si>
  <si>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</si>
  <si>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</si>
  <si>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</si>
  <si>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</si>
  <si>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</si>
  <si>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</si>
  <si>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</si>
  <si>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</si>
  <si>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</si>
  <si>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</si>
  <si>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</si>
  <si>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</si>
  <si>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</si>
  <si>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</si>
  <si>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</si>
  <si>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</si>
  <si>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</si>
  <si>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</si>
  <si>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</si>
  <si>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</si>
  <si>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</si>
  <si>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</si>
  <si>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</si>
  <si>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</si>
  <si>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</si>
  <si>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</si>
  <si>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</si>
  <si>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</si>
  <si>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</si>
  <si>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</si>
  <si>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</si>
  <si>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</si>
  <si>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</si>
  <si>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</si>
  <si>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</si>
  <si>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</si>
  <si>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</si>
  <si>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</si>
  <si>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</si>
  <si>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</si>
  <si>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</si>
  <si>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Experiment…</t>
  </si>
  <si>
    <r>
      <t xml:space="preserve">Paste data directly from "*_Results.xls" - </t>
    </r>
    <r>
      <rPr>
        <b/>
        <sz val="12"/>
        <rFont val="Arial"/>
        <family val="2"/>
      </rPr>
      <t>ONLY Select Columns</t>
    </r>
    <r>
      <rPr>
        <sz val="12"/>
        <rFont val="Arial"/>
        <family val="2"/>
      </rPr>
      <t>. Note: Not all runs use all the standards. The spreadsheet format must be left intact for formulas to work. Skip lines 25-27 if "G" standard not used.</t>
    </r>
  </si>
  <si>
    <t>NA</t>
  </si>
  <si>
    <t xml:space="preserve">      Use the Calibration Curve chart to adjust the standards used in B9:D9</t>
  </si>
  <si>
    <t>Note: if not used</t>
  </si>
  <si>
    <t>leave blank.</t>
  </si>
  <si>
    <t>Sample Names</t>
  </si>
  <si>
    <t>This automated calculation will only work in all three replicates are valid</t>
  </si>
  <si>
    <t>You do not need to fill out this section</t>
  </si>
  <si>
    <t>Results:</t>
  </si>
  <si>
    <t>Chla     (mg m-2)</t>
  </si>
  <si>
    <t>Clear unused cells or reg mix calc will be wrong</t>
  </si>
  <si>
    <t>Sample</t>
  </si>
  <si>
    <t>ul for qBit</t>
  </si>
  <si>
    <t>10ul</t>
  </si>
  <si>
    <t>2uL</t>
  </si>
  <si>
    <t>20x</t>
  </si>
  <si>
    <t>50x</t>
  </si>
  <si>
    <t>Undetermined</t>
  </si>
  <si>
    <t>Scyt</t>
  </si>
  <si>
    <t>Chla+Scyt</t>
  </si>
  <si>
    <t xml:space="preserve"> </t>
  </si>
  <si>
    <t>Mesa_dust7W</t>
  </si>
  <si>
    <t>Mesa_no_dust7W</t>
  </si>
  <si>
    <t>Dugan_dust7W</t>
  </si>
  <si>
    <t>Dugan_no_dust7W</t>
  </si>
  <si>
    <t>Vert_post_inoc1</t>
  </si>
  <si>
    <t>Vert_post_inoc2</t>
  </si>
  <si>
    <t>MP_1-3_10W</t>
  </si>
  <si>
    <t>MP_4-6_10W</t>
  </si>
  <si>
    <t>MP_7-9_10W</t>
  </si>
  <si>
    <t>MP_1-3_2W</t>
  </si>
  <si>
    <t>MP_4-6_2W</t>
  </si>
  <si>
    <t>MP_7-9_2W</t>
  </si>
  <si>
    <t>Vert_FARM</t>
  </si>
  <si>
    <t>Vert_Inoculant</t>
  </si>
  <si>
    <t>100x</t>
  </si>
  <si>
    <t>Mesa_dust_7W</t>
  </si>
  <si>
    <t>UNKNOWN</t>
  </si>
  <si>
    <t>Mesa_no_dust_7W</t>
  </si>
  <si>
    <t>Dugan_dust_7W</t>
  </si>
  <si>
    <t>Dugan_no_dust_7W</t>
  </si>
  <si>
    <t>MP1-3_10W</t>
  </si>
  <si>
    <t>MP4-6_10W</t>
  </si>
  <si>
    <t>MP7-9_10W</t>
  </si>
  <si>
    <t>MP1-3_2W</t>
  </si>
  <si>
    <t>MP4-6_2W</t>
  </si>
  <si>
    <t>MP7-9_2W</t>
  </si>
  <si>
    <t>Vert_farm</t>
  </si>
  <si>
    <t>Farm_Inoculant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</si>
</sst>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0.0E+00"/>
    <numFmt numFmtId="165" formatCode="0.0000E+00"/>
    <numFmt numFmtId="166" formatCode="0E+00"/>
    <numFmt numFmtId="167" formatCode="_(* #,##0_);_(* \(#,##0\);_(* &quot;-&quot;??_);_(@_)"/>
    <numFmt numFmtId="168" formatCode="#,##0.000"/>
    <numFmt numFmtId="169" formatCode="0.0"/>
    <numFmt numFmtId="170" formatCode="0.00000000"/>
  </numFmts>
  <fonts count="3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1"/>
      <name val="Calibri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4"/>
      <name val="Arial"/>
      <family val="2"/>
    </font>
    <font>
      <b/>
      <sz val="14"/>
      <color indexed="9"/>
      <name val="Arial"/>
      <family val="2"/>
    </font>
    <font>
      <sz val="14"/>
      <color theme="1"/>
      <name val="Arial"/>
      <family val="2"/>
    </font>
    <font>
      <sz val="12"/>
      <color rgb="FF000000"/>
      <name val="Calibri"/>
      <family val="2"/>
    </font>
    <font>
      <b/>
      <sz val="12"/>
      <color rgb="FF3366FF"/>
      <name val="Calibri"/>
      <family val="2"/>
    </font>
    <font>
      <sz val="12"/>
      <color rgb="FFFFFFFF"/>
      <name val="Calibri"/>
      <family val="2"/>
    </font>
    <font>
      <b/>
      <sz val="16"/>
      <color rgb="FF000000"/>
      <name val="Calibri"/>
      <family val="2"/>
    </font>
    <font>
      <b/>
      <sz val="12"/>
      <color rgb="FFFFFFFF"/>
      <name val="Calibri"/>
      <family val="2"/>
    </font>
    <font>
      <b/>
      <sz val="12"/>
      <color rgb="FFFF0000"/>
      <name val="Calibri"/>
      <family val="2"/>
    </font>
    <font>
      <b/>
      <sz val="18"/>
      <color rgb="FF000000"/>
      <name val="Calibri"/>
      <family val="2"/>
    </font>
    <font>
      <b/>
      <sz val="14"/>
      <color rgb="FF000000"/>
      <name val="Calibri"/>
      <family val="2"/>
    </font>
    <font>
      <sz val="12"/>
      <name val="Calibri"/>
      <family val="2"/>
    </font>
    <font>
      <sz val="10"/>
      <color rgb="FF66FFCC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0"/>
      <color rgb="FFFF99FF"/>
      <name val="Arial"/>
      <family val="2"/>
    </font>
    <font>
      <b/>
      <sz val="11"/>
      <color rgb="FFFFCCFF"/>
      <name val="Calibri"/>
      <family val="2"/>
      <scheme val="minor"/>
    </font>
    <font>
      <b/>
      <sz val="10"/>
      <color rgb="FFFF0000"/>
      <name val="Arial"/>
      <family val="2"/>
    </font>
    <font>
      <b/>
      <sz val="12"/>
      <color rgb="FFFF0000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9"/>
      <name val="Arial"/>
      <family val="2"/>
    </font>
    <font>
      <b/>
      <sz val="14"/>
      <color rgb="FFFF0000"/>
      <name val="Arial"/>
      <family val="2"/>
    </font>
    <font>
      <sz val="10"/>
      <color rgb="FFFF0000"/>
      <name val="Arial"/>
      <family val="2"/>
    </font>
    <font>
      <sz val="10"/>
      <color theme="0" tint="-0.1499984740745262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2EE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5B3D7"/>
        <bgColor rgb="FF95B3D7"/>
      </patternFill>
    </fill>
    <fill>
      <patternFill patternType="solid">
        <fgColor rgb="FF66FFCC"/>
        <bgColor indexed="64"/>
      </patternFill>
    </fill>
    <fill>
      <patternFill patternType="solid">
        <fgColor rgb="FFFF9933"/>
        <bgColor rgb="FF000000"/>
      </patternFill>
    </fill>
    <fill>
      <patternFill patternType="solid">
        <fgColor theme="1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4" fillId="0" borderId="0"/>
    <xf numFmtId="43" fontId="24" fillId="0" borderId="0" applyFont="0" applyFill="0" applyBorder="0" applyAlignment="0" applyProtection="0"/>
    <xf numFmtId="9" fontId="24" fillId="0" borderId="0" applyFont="0" applyFill="0" applyBorder="0" applyAlignment="0" applyProtection="0"/>
  </cellStyleXfs>
  <cellXfs count="192">
    <xf numFmtId="0" fontId="0" fillId="0" borderId="0" xfId="0"/>
    <xf numFmtId="0" fontId="8" fillId="0" borderId="0" xfId="0" applyFont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66" fontId="7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2" fillId="0" borderId="4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11" fontId="4" fillId="0" borderId="6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65" fontId="4" fillId="0" borderId="7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49" fontId="7" fillId="5" borderId="0" xfId="0" applyNumberFormat="1" applyFont="1" applyFill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/>
    </xf>
    <xf numFmtId="1" fontId="2" fillId="8" borderId="4" xfId="0" applyNumberFormat="1" applyFont="1" applyFill="1" applyBorder="1" applyAlignment="1">
      <alignment horizontal="center" vertical="center"/>
    </xf>
    <xf numFmtId="0" fontId="14" fillId="0" borderId="0" xfId="1"/>
    <xf numFmtId="0" fontId="14" fillId="0" borderId="0" xfId="1" applyAlignment="1">
      <alignment horizontal="center" wrapText="1"/>
    </xf>
    <xf numFmtId="0" fontId="17" fillId="0" borderId="0" xfId="1" applyFont="1" applyAlignment="1">
      <alignment horizontal="center" wrapText="1"/>
    </xf>
    <xf numFmtId="0" fontId="14" fillId="0" borderId="0" xfId="1" applyAlignment="1">
      <alignment horizontal="center"/>
    </xf>
    <xf numFmtId="0" fontId="14" fillId="0" borderId="0" xfId="1" applyAlignment="1">
      <alignment horizontal="center" vertical="center"/>
    </xf>
    <xf numFmtId="0" fontId="19" fillId="0" borderId="0" xfId="1" applyFont="1"/>
    <xf numFmtId="0" fontId="7" fillId="0" borderId="0" xfId="0" applyFont="1" applyAlignment="1">
      <alignment vertical="center"/>
    </xf>
    <xf numFmtId="49" fontId="7" fillId="0" borderId="0" xfId="0" applyNumberFormat="1" applyFont="1" applyAlignment="1">
      <alignment horizontal="left" vertical="center"/>
    </xf>
    <xf numFmtId="2" fontId="7" fillId="0" borderId="0" xfId="0" applyNumberFormat="1" applyFont="1" applyAlignment="1">
      <alignment vertical="center"/>
    </xf>
    <xf numFmtId="0" fontId="6" fillId="0" borderId="10" xfId="0" applyFont="1" applyBorder="1" applyAlignment="1">
      <alignment horizontal="center" vertical="center" wrapText="1"/>
    </xf>
    <xf numFmtId="2" fontId="6" fillId="0" borderId="10" xfId="0" applyNumberFormat="1" applyFont="1" applyBorder="1" applyAlignment="1">
      <alignment horizontal="center" vertical="center" wrapText="1"/>
    </xf>
    <xf numFmtId="0" fontId="2" fillId="0" borderId="0" xfId="0" applyFont="1"/>
    <xf numFmtId="0" fontId="23" fillId="11" borderId="0" xfId="0" applyFont="1" applyFill="1"/>
    <xf numFmtId="2" fontId="7" fillId="7" borderId="0" xfId="0" applyNumberFormat="1" applyFont="1" applyFill="1" applyAlignment="1">
      <alignment vertical="center"/>
    </xf>
    <xf numFmtId="0" fontId="0" fillId="0" borderId="0" xfId="0" applyAlignment="1">
      <alignment horizont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0" fontId="14" fillId="9" borderId="0" xfId="1" applyFill="1" applyAlignment="1">
      <alignment horizontal="center"/>
    </xf>
    <xf numFmtId="11" fontId="14" fillId="0" borderId="0" xfId="1" applyNumberFormat="1" applyAlignment="1">
      <alignment horizontal="center"/>
    </xf>
    <xf numFmtId="0" fontId="15" fillId="0" borderId="0" xfId="1" applyFont="1" applyAlignment="1">
      <alignment horizontal="center"/>
    </xf>
    <xf numFmtId="0" fontId="16" fillId="10" borderId="0" xfId="1" applyFont="1" applyFill="1" applyAlignment="1">
      <alignment horizontal="center"/>
    </xf>
    <xf numFmtId="0" fontId="18" fillId="10" borderId="0" xfId="1" applyFont="1" applyFill="1" applyAlignment="1">
      <alignment horizontal="center"/>
    </xf>
    <xf numFmtId="2" fontId="14" fillId="0" borderId="0" xfId="1" applyNumberFormat="1" applyAlignment="1">
      <alignment horizontal="center"/>
    </xf>
    <xf numFmtId="0" fontId="21" fillId="0" borderId="16" xfId="1" applyFont="1" applyBorder="1" applyAlignment="1">
      <alignment horizontal="center"/>
    </xf>
    <xf numFmtId="0" fontId="21" fillId="0" borderId="17" xfId="1" applyFont="1" applyBorder="1" applyAlignment="1">
      <alignment horizontal="center" wrapText="1"/>
    </xf>
    <xf numFmtId="0" fontId="21" fillId="0" borderId="18" xfId="1" applyFont="1" applyBorder="1" applyAlignment="1">
      <alignment horizontal="center" wrapText="1"/>
    </xf>
    <xf numFmtId="0" fontId="14" fillId="0" borderId="19" xfId="1" applyBorder="1" applyAlignment="1">
      <alignment horizontal="center"/>
    </xf>
    <xf numFmtId="0" fontId="14" fillId="0" borderId="20" xfId="1" applyBorder="1" applyAlignment="1">
      <alignment horizontal="center"/>
    </xf>
    <xf numFmtId="0" fontId="14" fillId="0" borderId="21" xfId="1" applyBorder="1" applyAlignment="1">
      <alignment horizontal="center"/>
    </xf>
    <xf numFmtId="11" fontId="14" fillId="0" borderId="22" xfId="1" applyNumberFormat="1" applyBorder="1" applyAlignment="1">
      <alignment horizontal="center"/>
    </xf>
    <xf numFmtId="0" fontId="14" fillId="0" borderId="23" xfId="1" applyBorder="1" applyAlignment="1">
      <alignment horizontal="center"/>
    </xf>
    <xf numFmtId="0" fontId="19" fillId="0" borderId="23" xfId="1" applyFont="1" applyBorder="1" applyAlignment="1">
      <alignment horizontal="center"/>
    </xf>
    <xf numFmtId="0" fontId="22" fillId="0" borderId="21" xfId="1" applyFont="1" applyBorder="1" applyAlignment="1">
      <alignment horizontal="center"/>
    </xf>
    <xf numFmtId="2" fontId="22" fillId="0" borderId="21" xfId="1" applyNumberFormat="1" applyFont="1" applyBorder="1" applyAlignment="1">
      <alignment horizontal="center"/>
    </xf>
    <xf numFmtId="11" fontId="19" fillId="0" borderId="21" xfId="1" applyNumberFormat="1" applyFont="1" applyBorder="1" applyAlignment="1">
      <alignment horizontal="center"/>
    </xf>
    <xf numFmtId="11" fontId="14" fillId="0" borderId="21" xfId="1" applyNumberFormat="1" applyBorder="1" applyAlignment="1">
      <alignment horizontal="center"/>
    </xf>
    <xf numFmtId="0" fontId="19" fillId="0" borderId="24" xfId="1" applyFont="1" applyBorder="1" applyAlignment="1">
      <alignment horizontal="center"/>
    </xf>
    <xf numFmtId="0" fontId="14" fillId="0" borderId="25" xfId="1" applyBorder="1" applyAlignment="1">
      <alignment horizontal="center"/>
    </xf>
    <xf numFmtId="2" fontId="14" fillId="0" borderId="26" xfId="1" applyNumberFormat="1" applyBorder="1" applyAlignment="1">
      <alignment horizontal="center"/>
    </xf>
    <xf numFmtId="11" fontId="14" fillId="0" borderId="25" xfId="1" applyNumberFormat="1" applyBorder="1" applyAlignment="1">
      <alignment horizontal="center"/>
    </xf>
    <xf numFmtId="11" fontId="19" fillId="0" borderId="25" xfId="1" applyNumberFormat="1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166" fontId="11" fillId="5" borderId="8" xfId="0" applyNumberFormat="1" applyFont="1" applyFill="1" applyBorder="1" applyAlignment="1">
      <alignment horizontal="center" vertical="center"/>
    </xf>
    <xf numFmtId="1" fontId="11" fillId="5" borderId="8" xfId="0" applyNumberFormat="1" applyFont="1" applyFill="1" applyBorder="1" applyAlignment="1">
      <alignment horizontal="center" vertical="center"/>
    </xf>
    <xf numFmtId="0" fontId="1" fillId="0" borderId="4" xfId="0" applyFont="1" applyBorder="1"/>
    <xf numFmtId="167" fontId="11" fillId="5" borderId="8" xfId="2" applyNumberFormat="1" applyFont="1" applyFill="1" applyBorder="1" applyAlignment="1">
      <alignment horizontal="center" vertical="center"/>
    </xf>
    <xf numFmtId="1" fontId="11" fillId="5" borderId="8" xfId="2" applyNumberFormat="1" applyFont="1" applyFill="1" applyBorder="1" applyAlignment="1">
      <alignment horizontal="center" vertical="center"/>
    </xf>
    <xf numFmtId="168" fontId="1" fillId="0" borderId="4" xfId="0" applyNumberFormat="1" applyFont="1" applyBorder="1"/>
    <xf numFmtId="1" fontId="11" fillId="5" borderId="0" xfId="2" applyNumberFormat="1" applyFont="1" applyFill="1" applyBorder="1" applyAlignment="1">
      <alignment horizontal="center" vertical="center"/>
    </xf>
    <xf numFmtId="168" fontId="0" fillId="0" borderId="0" xfId="0" applyNumberFormat="1"/>
    <xf numFmtId="1" fontId="0" fillId="0" borderId="0" xfId="0" applyNumberFormat="1"/>
    <xf numFmtId="0" fontId="26" fillId="13" borderId="29" xfId="0" applyFont="1" applyFill="1" applyBorder="1" applyAlignment="1">
      <alignment wrapText="1"/>
    </xf>
    <xf numFmtId="2" fontId="27" fillId="13" borderId="4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49" fontId="25" fillId="0" borderId="27" xfId="0" applyNumberFormat="1" applyFont="1" applyBorder="1" applyAlignment="1">
      <alignment horizontal="left" vertical="center" wrapText="1"/>
    </xf>
    <xf numFmtId="0" fontId="0" fillId="0" borderId="29" xfId="0" applyBorder="1"/>
    <xf numFmtId="49" fontId="7" fillId="0" borderId="27" xfId="0" applyNumberFormat="1" applyFont="1" applyBorder="1" applyAlignment="1">
      <alignment vertical="center"/>
    </xf>
    <xf numFmtId="167" fontId="0" fillId="0" borderId="0" xfId="2" applyNumberFormat="1" applyFont="1"/>
    <xf numFmtId="43" fontId="0" fillId="0" borderId="29" xfId="0" applyNumberFormat="1" applyBorder="1"/>
    <xf numFmtId="11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center"/>
    </xf>
    <xf numFmtId="0" fontId="14" fillId="0" borderId="0" xfId="1" applyAlignment="1">
      <alignment horizontal="left"/>
    </xf>
    <xf numFmtId="0" fontId="15" fillId="0" borderId="0" xfId="1" applyFont="1" applyAlignment="1">
      <alignment horizontal="left"/>
    </xf>
    <xf numFmtId="0" fontId="7" fillId="0" borderId="27" xfId="0" applyFont="1" applyBorder="1" applyAlignment="1" applyProtection="1">
      <alignment horizontal="center" vertical="center"/>
      <protection locked="0"/>
    </xf>
    <xf numFmtId="2" fontId="7" fillId="0" borderId="27" xfId="0" applyNumberFormat="1" applyFont="1" applyBorder="1" applyAlignment="1" applyProtection="1">
      <alignment horizontal="center" vertical="center"/>
      <protection locked="0"/>
    </xf>
    <xf numFmtId="0" fontId="0" fillId="0" borderId="28" xfId="0" applyBorder="1" applyAlignment="1" applyProtection="1">
      <alignment horizontal="center"/>
      <protection locked="0"/>
    </xf>
    <xf numFmtId="0" fontId="11" fillId="8" borderId="4" xfId="0" applyFont="1" applyFill="1" applyBorder="1" applyAlignment="1" applyProtection="1">
      <alignment horizontal="center" vertical="center"/>
      <protection locked="0"/>
    </xf>
    <xf numFmtId="1" fontId="11" fillId="8" borderId="4" xfId="0" applyNumberFormat="1" applyFont="1" applyFill="1" applyBorder="1" applyAlignment="1" applyProtection="1">
      <alignment horizontal="center" vertical="center"/>
      <protection locked="0"/>
    </xf>
    <xf numFmtId="0" fontId="13" fillId="8" borderId="4" xfId="0" applyFont="1" applyFill="1" applyBorder="1" applyAlignment="1" applyProtection="1">
      <alignment horizontal="center" vertical="center"/>
      <protection locked="0"/>
    </xf>
    <xf numFmtId="0" fontId="2" fillId="8" borderId="4" xfId="0" applyFont="1" applyFill="1" applyBorder="1" applyAlignment="1">
      <alignment horizontal="center" vertical="center"/>
    </xf>
    <xf numFmtId="0" fontId="7" fillId="0" borderId="0" xfId="0" applyFont="1"/>
    <xf numFmtId="0" fontId="0" fillId="0" borderId="0" xfId="0" applyProtection="1">
      <protection locked="0"/>
    </xf>
    <xf numFmtId="168" fontId="0" fillId="0" borderId="0" xfId="0" applyNumberFormat="1" applyProtection="1">
      <protection locked="0"/>
    </xf>
    <xf numFmtId="10" fontId="0" fillId="0" borderId="0" xfId="3" applyNumberFormat="1" applyFont="1" applyProtection="1">
      <protection locked="0"/>
    </xf>
    <xf numFmtId="0" fontId="2" fillId="0" borderId="0" xfId="0" applyFont="1" applyProtection="1">
      <protection locked="0"/>
    </xf>
    <xf numFmtId="0" fontId="0" fillId="0" borderId="29" xfId="0" applyBorder="1" applyAlignment="1">
      <alignment horizontal="center"/>
    </xf>
    <xf numFmtId="2" fontId="0" fillId="0" borderId="29" xfId="0" applyNumberFormat="1" applyBorder="1" applyAlignment="1">
      <alignment horizontal="center"/>
    </xf>
    <xf numFmtId="167" fontId="0" fillId="0" borderId="29" xfId="2" applyNumberFormat="1" applyFont="1" applyBorder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wrapText="1"/>
      <protection locked="0"/>
    </xf>
    <xf numFmtId="0" fontId="28" fillId="0" borderId="0" xfId="0" applyFont="1"/>
    <xf numFmtId="10" fontId="0" fillId="3" borderId="0" xfId="3" applyNumberFormat="1" applyFont="1" applyFill="1" applyProtection="1">
      <protection locked="0"/>
    </xf>
    <xf numFmtId="0" fontId="2" fillId="3" borderId="0" xfId="0" applyFont="1" applyFill="1" applyProtection="1">
      <protection locked="0"/>
    </xf>
    <xf numFmtId="0" fontId="0" fillId="3" borderId="0" xfId="0" applyFill="1"/>
    <xf numFmtId="168" fontId="0" fillId="3" borderId="0" xfId="0" applyNumberFormat="1" applyFill="1"/>
    <xf numFmtId="11" fontId="0" fillId="0" borderId="29" xfId="2" applyNumberFormat="1" applyFont="1" applyBorder="1" applyAlignment="1">
      <alignment horizontal="center"/>
    </xf>
    <xf numFmtId="11" fontId="0" fillId="0" borderId="29" xfId="2" applyNumberFormat="1" applyFont="1" applyBorder="1" applyAlignment="1">
      <alignment horizontal="center" vertical="center"/>
    </xf>
    <xf numFmtId="168" fontId="2" fillId="0" borderId="0" xfId="0" applyNumberFormat="1" applyFont="1" applyProtection="1">
      <protection locked="0"/>
    </xf>
    <xf numFmtId="0" fontId="1" fillId="0" borderId="0" xfId="0" applyFont="1"/>
    <xf numFmtId="0" fontId="2" fillId="0" borderId="0" xfId="0" applyFont="1" applyAlignment="1">
      <alignment horizontal="center" wrapText="1"/>
    </xf>
    <xf numFmtId="169" fontId="9" fillId="0" borderId="0" xfId="0" applyNumberFormat="1" applyFont="1" applyAlignment="1">
      <alignment horizontal="center" wrapText="1"/>
    </xf>
    <xf numFmtId="2" fontId="0" fillId="0" borderId="0" xfId="0" applyNumberFormat="1" applyAlignment="1" applyProtection="1">
      <alignment horizontal="center"/>
      <protection locked="0"/>
    </xf>
    <xf numFmtId="0" fontId="20" fillId="0" borderId="0" xfId="1" applyFont="1" applyAlignment="1">
      <alignment horizontal="left"/>
    </xf>
    <xf numFmtId="0" fontId="29" fillId="0" borderId="0" xfId="0" applyFont="1" applyAlignment="1">
      <alignment horizontal="left" vertical="center"/>
    </xf>
    <xf numFmtId="0" fontId="2" fillId="0" borderId="0" xfId="0" applyFont="1" applyAlignment="1" applyProtection="1">
      <alignment wrapText="1"/>
      <protection locked="0"/>
    </xf>
    <xf numFmtId="0" fontId="3" fillId="8" borderId="4" xfId="0" applyFont="1" applyFill="1" applyBorder="1" applyAlignment="1" applyProtection="1">
      <alignment horizontal="center" vertical="center"/>
      <protection locked="0"/>
    </xf>
    <xf numFmtId="0" fontId="30" fillId="12" borderId="4" xfId="0" applyFont="1" applyFill="1" applyBorder="1" applyAlignment="1" applyProtection="1">
      <alignment horizontal="center" vertical="center"/>
      <protection locked="0"/>
    </xf>
    <xf numFmtId="0" fontId="31" fillId="0" borderId="0" xfId="0" applyFont="1"/>
    <xf numFmtId="2" fontId="6" fillId="0" borderId="29" xfId="0" applyNumberFormat="1" applyFont="1" applyBorder="1" applyAlignment="1">
      <alignment horizontal="center" vertical="center" wrapText="1"/>
    </xf>
    <xf numFmtId="0" fontId="33" fillId="8" borderId="4" xfId="0" applyFont="1" applyFill="1" applyBorder="1" applyAlignment="1" applyProtection="1">
      <alignment horizontal="center" vertical="center"/>
      <protection locked="0"/>
    </xf>
    <xf numFmtId="0" fontId="3" fillId="8" borderId="4" xfId="0" applyFont="1" applyFill="1" applyBorder="1" applyAlignment="1" applyProtection="1">
      <alignment horizontal="left" vertical="center"/>
      <protection locked="0"/>
    </xf>
    <xf numFmtId="0" fontId="32" fillId="8" borderId="4" xfId="0" applyFont="1" applyFill="1" applyBorder="1" applyAlignment="1" applyProtection="1">
      <alignment horizontal="left" vertical="center"/>
      <protection locked="0"/>
    </xf>
    <xf numFmtId="2" fontId="0" fillId="0" borderId="29" xfId="2" applyNumberFormat="1" applyFont="1" applyFill="1" applyBorder="1" applyAlignment="1">
      <alignment horizontal="center"/>
    </xf>
    <xf numFmtId="167" fontId="2" fillId="0" borderId="0" xfId="0" applyNumberFormat="1" applyFont="1"/>
    <xf numFmtId="2" fontId="0" fillId="0" borderId="0" xfId="0" applyNumberFormat="1" applyProtection="1">
      <protection locked="0"/>
    </xf>
    <xf numFmtId="0" fontId="7" fillId="0" borderId="30" xfId="0" applyFont="1" applyBorder="1" applyAlignment="1" applyProtection="1">
      <alignment horizontal="center" vertical="center"/>
      <protection locked="0"/>
    </xf>
    <xf numFmtId="2" fontId="7" fillId="0" borderId="31" xfId="0" applyNumberFormat="1" applyFont="1" applyBorder="1" applyAlignment="1" applyProtection="1">
      <alignment horizontal="center" vertical="center"/>
      <protection locked="0"/>
    </xf>
    <xf numFmtId="0" fontId="3" fillId="12" borderId="4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7" fillId="0" borderId="30" xfId="0" applyFont="1" applyBorder="1" applyAlignment="1" applyProtection="1">
      <alignment horizontal="left" vertical="center"/>
      <protection locked="0"/>
    </xf>
    <xf numFmtId="0" fontId="3" fillId="12" borderId="4" xfId="0" applyFont="1" applyFill="1" applyBorder="1" applyAlignment="1" applyProtection="1">
      <alignment horizontal="left" vertical="center"/>
      <protection locked="0"/>
    </xf>
    <xf numFmtId="2" fontId="34" fillId="0" borderId="27" xfId="0" applyNumberFormat="1" applyFont="1" applyBorder="1" applyAlignment="1">
      <alignment horizontal="center" vertical="center"/>
    </xf>
    <xf numFmtId="2" fontId="6" fillId="0" borderId="27" xfId="0" applyNumberFormat="1" applyFont="1" applyBorder="1" applyAlignment="1">
      <alignment horizontal="center" vertical="center"/>
    </xf>
    <xf numFmtId="2" fontId="6" fillId="7" borderId="27" xfId="0" applyNumberFormat="1" applyFont="1" applyFill="1" applyBorder="1" applyAlignment="1">
      <alignment horizontal="center" vertical="center"/>
    </xf>
    <xf numFmtId="170" fontId="0" fillId="0" borderId="0" xfId="0" applyNumberFormat="1" applyProtection="1">
      <protection locked="0"/>
    </xf>
    <xf numFmtId="168" fontId="35" fillId="0" borderId="0" xfId="0" applyNumberFormat="1" applyFont="1"/>
    <xf numFmtId="2" fontId="35" fillId="0" borderId="0" xfId="3" applyNumberFormat="1" applyFont="1" applyProtection="1">
      <protection locked="0"/>
    </xf>
    <xf numFmtId="0" fontId="36" fillId="0" borderId="29" xfId="0" applyFont="1" applyBorder="1" applyAlignment="1">
      <alignment horizontal="center"/>
    </xf>
    <xf numFmtId="2" fontId="36" fillId="0" borderId="29" xfId="0" applyNumberFormat="1" applyFont="1" applyBorder="1" applyAlignment="1">
      <alignment horizontal="center"/>
    </xf>
    <xf numFmtId="0" fontId="36" fillId="0" borderId="29" xfId="0" applyFont="1" applyBorder="1"/>
    <xf numFmtId="11" fontId="36" fillId="0" borderId="29" xfId="2" applyNumberFormat="1" applyFont="1" applyBorder="1" applyAlignment="1">
      <alignment horizontal="center"/>
    </xf>
    <xf numFmtId="11" fontId="36" fillId="0" borderId="29" xfId="2" applyNumberFormat="1" applyFont="1" applyBorder="1" applyAlignment="1">
      <alignment horizontal="center" vertical="center"/>
    </xf>
    <xf numFmtId="169" fontId="36" fillId="0" borderId="0" xfId="0" applyNumberFormat="1" applyFont="1" applyAlignment="1">
      <alignment horizontal="center" wrapText="1"/>
    </xf>
    <xf numFmtId="0" fontId="36" fillId="0" borderId="0" xfId="0" applyFont="1" applyAlignment="1" applyProtection="1">
      <alignment horizontal="center"/>
      <protection locked="0"/>
    </xf>
    <xf numFmtId="2" fontId="36" fillId="0" borderId="0" xfId="0" applyNumberFormat="1" applyFont="1" applyAlignment="1">
      <alignment horizontal="center"/>
    </xf>
    <xf numFmtId="2" fontId="36" fillId="0" borderId="0" xfId="0" applyNumberFormat="1" applyFont="1" applyAlignment="1" applyProtection="1">
      <alignment horizontal="center"/>
      <protection locked="0"/>
    </xf>
    <xf numFmtId="2" fontId="36" fillId="0" borderId="0" xfId="0" applyNumberFormat="1" applyFont="1" applyProtection="1">
      <protection locked="0"/>
    </xf>
    <xf numFmtId="0" fontId="36" fillId="0" borderId="0" xfId="0" applyFont="1" applyProtection="1">
      <protection locked="0"/>
    </xf>
    <xf numFmtId="0" fontId="21" fillId="9" borderId="15" xfId="1" applyFont="1" applyFill="1" applyBorder="1" applyAlignment="1">
      <alignment horizontal="center"/>
    </xf>
    <xf numFmtId="0" fontId="22" fillId="0" borderId="15" xfId="1" applyFont="1" applyBorder="1" applyAlignment="1">
      <alignment horizont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49" fontId="7" fillId="5" borderId="4" xfId="0" applyNumberFormat="1" applyFont="1" applyFill="1" applyBorder="1" applyAlignment="1">
      <alignment horizontal="left" vertical="center"/>
    </xf>
    <xf numFmtId="0" fontId="1" fillId="6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</cellXfs>
  <cellStyles count="4">
    <cellStyle name="Comma" xfId="2" builtinId="3"/>
    <cellStyle name="Normal" xfId="0" builtinId="0"/>
    <cellStyle name="Normal 2" xfId="1" xr:uid="{7118FBF3-5BB5-4C4C-98E5-EBAA4C49BD34}"/>
    <cellStyle name="Percent" xfId="3" builtinId="5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1"/>
      </font>
      <fill>
        <patternFill>
          <bgColor rgb="FF66FFCC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1"/>
      </font>
      <fill>
        <patternFill>
          <bgColor rgb="FF66FFCC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1"/>
      </font>
      <fill>
        <patternFill>
          <bgColor rgb="FF66FFCC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FFCC"/>
      <color rgb="FF00FFFF"/>
      <color rgb="FFFF9933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2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chartsheet" Target="chartsheets/sheet5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Relationship Id="rId14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Concentration of bacteria in fog and aerosol samples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4472C4"/>
            </a:solidFill>
            <a:ln w="25400">
              <a:noFill/>
            </a:ln>
          </c:spPr>
          <c:invertIfNegative val="0"/>
          <c:dPt>
            <c:idx val="1"/>
            <c:invertIfNegative val="0"/>
            <c:bubble3D val="0"/>
            <c:spPr>
              <a:solidFill>
                <a:srgbClr val="32599E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1-E0E9-664C-9EA0-90077DF4F5A1}"/>
              </c:ext>
            </c:extLst>
          </c:dPt>
          <c:val>
            <c:numRef>
              <c:f>(Calculation!#REF!,Calculation!#REF!,Calculation!#REF!)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Calculation!#REF!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(Calculation!#REF!,Calculation!#REF!,Calculation!#REF!)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2-E0E9-664C-9EA0-90077DF4F5A1}"/>
            </c:ext>
          </c:extLst>
        </c:ser>
        <c:ser>
          <c:idx val="3"/>
          <c:order val="3"/>
          <c:spPr>
            <a:solidFill>
              <a:srgbClr val="FABE00"/>
            </a:solidFill>
          </c:spPr>
          <c:invertIfNegative val="0"/>
          <c:val>
            <c:numRef>
              <c:f>(Calculation!#REF!,Calculation!#REF!,Calculation!#REF!)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Calculation!#REF!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(Calculation!#REF!,Calculation!#REF!,Calculation!#REF!)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3-E0E9-664C-9EA0-90077DF4F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overlap val="-100"/>
        <c:axId val="321598208"/>
        <c:axId val="1"/>
      </c:barChart>
      <c:barChart>
        <c:barDir val="col"/>
        <c:grouping val="stacked"/>
        <c:varyColors val="0"/>
        <c:ser>
          <c:idx val="1"/>
          <c:order val="1"/>
          <c:spPr>
            <a:solidFill>
              <a:srgbClr val="DF6613"/>
            </a:solidFill>
            <a:ln w="25400">
              <a:noFill/>
            </a:ln>
          </c:spPr>
          <c:invertIfNegative val="0"/>
          <c:val>
            <c:numRef>
              <c:f>(Calculation!#REF!,Calculation!#REF!,Calculation!#REF!)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Calculation!#REF!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(Calculation!#REF!,Calculation!#REF!,Calculation!#REF!)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4-E0E9-664C-9EA0-90077DF4F5A1}"/>
            </c:ext>
          </c:extLst>
        </c:ser>
        <c:ser>
          <c:idx val="2"/>
          <c:order val="2"/>
          <c:spPr>
            <a:solidFill>
              <a:srgbClr val="929292"/>
            </a:solidFill>
          </c:spPr>
          <c:invertIfNegative val="0"/>
          <c:val>
            <c:numRef>
              <c:f>(Calculation!#REF!,Calculation!#REF!,Calculation!#REF!)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Calculation!#REF!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(Calculation!#REF!,Calculation!#REF!,Calculation!#REF!)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5-E0E9-664C-9EA0-90077DF4F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80"/>
        <c:overlap val="100"/>
        <c:axId val="3"/>
        <c:axId val="4"/>
      </c:barChart>
      <c:catAx>
        <c:axId val="321598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000" b="0" i="0" u="none" strike="noStrike" baseline="0">
                    <a:solidFill>
                      <a:srgbClr val="333333"/>
                    </a:solidFill>
                    <a:latin typeface="Calibri" pitchFamily="2" charset="0"/>
                    <a:cs typeface="Calibri" pitchFamily="2" charset="0"/>
                  </a:rPr>
                  <a:t>x1000 opy number/m</a:t>
                </a:r>
                <a:r>
                  <a:rPr lang="en-US" sz="1000" b="0" i="0" u="none" strike="noStrike" baseline="30000">
                    <a:solidFill>
                      <a:srgbClr val="333333"/>
                    </a:solidFill>
                    <a:latin typeface="Calibri" pitchFamily="2" charset="0"/>
                    <a:cs typeface="Calibri" pitchFamily="2" charset="0"/>
                  </a:rPr>
                  <a:t>3</a:t>
                </a:r>
              </a:p>
            </c:rich>
          </c:tx>
          <c:layout>
            <c:manualLayout>
              <c:xMode val="edge"/>
              <c:yMode val="edge"/>
              <c:x val="1.9857107577088969E-2"/>
              <c:y val="0.38629691361572505"/>
            </c:manualLayout>
          </c:layout>
          <c:overlay val="0"/>
          <c:spPr>
            <a:noFill/>
            <a:ln w="25400">
              <a:noFill/>
            </a:ln>
          </c:spPr>
        </c:title>
        <c:numFmt formatCode="0.E+00" sourceLinked="0"/>
        <c:majorTickMark val="none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21598208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  <c:max val="250"/>
        </c:scaling>
        <c:delete val="0"/>
        <c:axPos val="r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"/>
        <c:crosses val="max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1930314919549918"/>
          <c:y val="0.35208249766539679"/>
          <c:w val="5.7565417345435403E-2"/>
          <c:h val="0.20414867511691073"/>
        </c:manualLayout>
      </c:layout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Concentration of bacteria in fog and aerosol samples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4472C4"/>
            </a:solidFill>
            <a:ln w="25400">
              <a:noFill/>
            </a:ln>
          </c:spPr>
          <c:invertIfNegative val="0"/>
          <c:dPt>
            <c:idx val="1"/>
            <c:invertIfNegative val="0"/>
            <c:bubble3D val="0"/>
            <c:spPr>
              <a:solidFill>
                <a:srgbClr val="32599E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1-8861-7645-A180-09E573AE89B6}"/>
              </c:ext>
            </c:extLst>
          </c:dPt>
          <c:val>
            <c:numRef>
              <c:f>(Calculation!#REF!,Calculation!#REF!,Calculation!#REF!)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Calculation!#REF!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(Calculation!#REF!,Calculation!#REF!,Calculation!#REF!)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2-8861-7645-A180-09E573AE89B6}"/>
            </c:ext>
          </c:extLst>
        </c:ser>
        <c:ser>
          <c:idx val="3"/>
          <c:order val="3"/>
          <c:spPr>
            <a:solidFill>
              <a:srgbClr val="FABE00"/>
            </a:solidFill>
          </c:spPr>
          <c:invertIfNegative val="0"/>
          <c:val>
            <c:numRef>
              <c:f>(Calculation!#REF!,Calculation!#REF!,Calculation!#REF!)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Calculation!#REF!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(Calculation!#REF!,Calculation!#REF!,Calculation!#REF!)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3-8861-7645-A180-09E573AE89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overlap val="-100"/>
        <c:axId val="321598208"/>
        <c:axId val="1"/>
      </c:barChart>
      <c:barChart>
        <c:barDir val="col"/>
        <c:grouping val="stacked"/>
        <c:varyColors val="0"/>
        <c:ser>
          <c:idx val="1"/>
          <c:order val="1"/>
          <c:spPr>
            <a:solidFill>
              <a:srgbClr val="DF6613"/>
            </a:solidFill>
            <a:ln w="25400">
              <a:noFill/>
            </a:ln>
          </c:spPr>
          <c:invertIfNegative val="0"/>
          <c:val>
            <c:numRef>
              <c:f>(Calculation!#REF!,Calculation!#REF!,Calculation!#REF!)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Calculation!#REF!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(Calculation!#REF!,Calculation!#REF!,Calculation!#REF!)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4-8861-7645-A180-09E573AE89B6}"/>
            </c:ext>
          </c:extLst>
        </c:ser>
        <c:ser>
          <c:idx val="2"/>
          <c:order val="2"/>
          <c:spPr>
            <a:solidFill>
              <a:srgbClr val="929292"/>
            </a:solidFill>
          </c:spPr>
          <c:invertIfNegative val="0"/>
          <c:val>
            <c:numRef>
              <c:f>(Calculation!#REF!,Calculation!#REF!,Calculation!#REF!)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Calculation!#REF!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(Calculation!#REF!,Calculation!#REF!,Calculation!#REF!)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5-8861-7645-A180-09E573AE89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80"/>
        <c:overlap val="100"/>
        <c:axId val="3"/>
        <c:axId val="4"/>
      </c:barChart>
      <c:catAx>
        <c:axId val="321598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000" b="0" i="0" u="none" strike="noStrike" baseline="0">
                    <a:solidFill>
                      <a:srgbClr val="333333"/>
                    </a:solidFill>
                    <a:latin typeface="Calibri" pitchFamily="2" charset="0"/>
                    <a:cs typeface="Calibri" pitchFamily="2" charset="0"/>
                  </a:rPr>
                  <a:t>x1000 opy number/m</a:t>
                </a:r>
                <a:r>
                  <a:rPr lang="en-US" sz="1000" b="0" i="0" u="none" strike="noStrike" baseline="30000">
                    <a:solidFill>
                      <a:srgbClr val="333333"/>
                    </a:solidFill>
                    <a:latin typeface="Calibri" pitchFamily="2" charset="0"/>
                    <a:cs typeface="Calibri" pitchFamily="2" charset="0"/>
                  </a:rPr>
                  <a:t>3</a:t>
                </a:r>
              </a:p>
            </c:rich>
          </c:tx>
          <c:layout>
            <c:manualLayout>
              <c:xMode val="edge"/>
              <c:yMode val="edge"/>
              <c:x val="1.9857107577088969E-2"/>
              <c:y val="0.38629691361572505"/>
            </c:manualLayout>
          </c:layout>
          <c:overlay val="0"/>
          <c:spPr>
            <a:noFill/>
            <a:ln w="25400">
              <a:noFill/>
            </a:ln>
          </c:spPr>
        </c:title>
        <c:numFmt formatCode="0.E+00" sourceLinked="0"/>
        <c:majorTickMark val="none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21598208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  <c:max val="250"/>
        </c:scaling>
        <c:delete val="0"/>
        <c:axPos val="r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"/>
        <c:crosses val="max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1930314919549918"/>
          <c:y val="0.35208249766539679"/>
          <c:w val="5.7565417345435403E-2"/>
          <c:h val="0.20414867511691073"/>
        </c:manualLayout>
      </c:layout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022492421533795"/>
          <c:y val="0.15009900806208507"/>
          <c:w val="0.82028535404509562"/>
          <c:h val="0.72652737437191317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7.8584426946631675E-2"/>
                  <c:y val="0.2644666812481772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Calculation!$L$13:$L$22</c:f>
              <c:numCache>
                <c:formatCode>0.00</c:formatCode>
                <c:ptCount val="10"/>
                <c:pt idx="0">
                  <c:v>77.7</c:v>
                </c:pt>
                <c:pt idx="1">
                  <c:v>119.3</c:v>
                </c:pt>
                <c:pt idx="2">
                  <c:v>66.5</c:v>
                </c:pt>
                <c:pt idx="3">
                  <c:v>5.52</c:v>
                </c:pt>
                <c:pt idx="4">
                  <c:v>5.82</c:v>
                </c:pt>
                <c:pt idx="5">
                  <c:v>88.235240038835443</c:v>
                </c:pt>
                <c:pt idx="6">
                  <c:v>65.265701846486365</c:v>
                </c:pt>
                <c:pt idx="7">
                  <c:v>69.785310546417932</c:v>
                </c:pt>
                <c:pt idx="8">
                  <c:v>24.874405475949203</c:v>
                </c:pt>
                <c:pt idx="9">
                  <c:v>29.909822195974055</c:v>
                </c:pt>
              </c:numCache>
            </c:numRef>
          </c:xVal>
          <c:yVal>
            <c:numRef>
              <c:f>Calculation!$I$13:$I$22</c:f>
              <c:numCache>
                <c:formatCode>0.00E+00</c:formatCode>
                <c:ptCount val="10"/>
                <c:pt idx="0">
                  <c:v>171442.40486847045</c:v>
                </c:pt>
                <c:pt idx="1">
                  <c:v>66888.298882038798</c:v>
                </c:pt>
                <c:pt idx="2">
                  <c:v>39182.630273826289</c:v>
                </c:pt>
                <c:pt idx="3">
                  <c:v>31106.532427979095</c:v>
                </c:pt>
                <c:pt idx="4">
                  <c:v>5522.5148678213518</c:v>
                </c:pt>
                <c:pt idx="5">
                  <c:v>309421.2830956378</c:v>
                </c:pt>
                <c:pt idx="6">
                  <c:v>13221.772250893448</c:v>
                </c:pt>
                <c:pt idx="7">
                  <c:v>22574.55790131032</c:v>
                </c:pt>
                <c:pt idx="8">
                  <c:v>883173.26399514161</c:v>
                </c:pt>
                <c:pt idx="9">
                  <c:v>1039721.7858424863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0C-814F-BA1D-830C67C664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092864"/>
        <c:axId val="533095136"/>
      </c:scatterChart>
      <c:valAx>
        <c:axId val="533092864"/>
        <c:scaling>
          <c:orientation val="minMax"/>
        </c:scaling>
        <c:delete val="0"/>
        <c:axPos val="b"/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095136"/>
        <c:crosses val="autoZero"/>
        <c:crossBetween val="midCat"/>
      </c:valAx>
      <c:valAx>
        <c:axId val="533095136"/>
        <c:scaling>
          <c:logBase val="10"/>
          <c:orientation val="minMax"/>
        </c:scaling>
        <c:delete val="0"/>
        <c:axPos val="l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092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Calibration curve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1880837556775338"/>
                  <c:y val="-3.9148801655267546E-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333333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Calculation!$B$3:$F$3</c:f>
              <c:numCache>
                <c:formatCode>0</c:formatCode>
                <c:ptCount val="5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</c:numCache>
            </c:numRef>
          </c:xVal>
          <c:yVal>
            <c:numRef>
              <c:f>Calculation!$B$7:$F$7</c:f>
              <c:numCache>
                <c:formatCode>#,##0.000</c:formatCode>
                <c:ptCount val="5"/>
                <c:pt idx="0">
                  <c:v>9.161595344543457</c:v>
                </c:pt>
                <c:pt idx="1">
                  <c:v>11.981902122497559</c:v>
                </c:pt>
                <c:pt idx="2">
                  <c:v>15.94882869720459</c:v>
                </c:pt>
                <c:pt idx="3">
                  <c:v>18.390961329142254</c:v>
                </c:pt>
                <c:pt idx="4" formatCode="0.00">
                  <c:v>22.067216873168899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3C-3744-87D7-207C3E3945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5089440"/>
        <c:axId val="1"/>
      </c:scatterChart>
      <c:valAx>
        <c:axId val="695089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333333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log quantity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333333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Ct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#,##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95089440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/>
        <a:lstStyle/>
        <a:p>
          <a:pPr>
            <a:defRPr sz="1400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# vs qubit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linear"/>
            <c:dispRSqr val="1"/>
            <c:dispEq val="1"/>
            <c:trendlineLbl>
              <c:layout>
                <c:manualLayout>
                  <c:x val="-0.10975984712335445"/>
                  <c:y val="0.26988133145896426"/>
                </c:manualLayout>
              </c:layout>
              <c:numFmt formatCode="General" sourceLinked="0"/>
            </c:trendlineLbl>
          </c:trendline>
          <c:xVal>
            <c:numRef>
              <c:f>Calculation!$K$12:$K$34</c:f>
              <c:numCache>
                <c:formatCode>0.00</c:formatCode>
                <c:ptCount val="23"/>
                <c:pt idx="0">
                  <c:v>1.52</c:v>
                </c:pt>
                <c:pt idx="1">
                  <c:v>7.3</c:v>
                </c:pt>
                <c:pt idx="2">
                  <c:v>5.0999999999999996</c:v>
                </c:pt>
                <c:pt idx="3">
                  <c:v>2.96</c:v>
                </c:pt>
                <c:pt idx="4">
                  <c:v>5.04</c:v>
                </c:pt>
                <c:pt idx="5">
                  <c:v>2.08</c:v>
                </c:pt>
                <c:pt idx="6">
                  <c:v>4.4800000000000004</c:v>
                </c:pt>
                <c:pt idx="7">
                  <c:v>1.08</c:v>
                </c:pt>
                <c:pt idx="8">
                  <c:v>1.41</c:v>
                </c:pt>
                <c:pt idx="9">
                  <c:v>26.2</c:v>
                </c:pt>
                <c:pt idx="10">
                  <c:v>30.2</c:v>
                </c:pt>
                <c:pt idx="11">
                  <c:v>19.7</c:v>
                </c:pt>
                <c:pt idx="12">
                  <c:v>23.2</c:v>
                </c:pt>
                <c:pt idx="13">
                  <c:v>106</c:v>
                </c:pt>
              </c:numCache>
            </c:numRef>
          </c:xVal>
          <c:yVal>
            <c:numRef>
              <c:f>Calculation!$H$12:$H$34</c:f>
              <c:numCache>
                <c:formatCode>0.00E+00</c:formatCode>
                <c:ptCount val="23"/>
                <c:pt idx="0">
                  <c:v>2946660.2197186532</c:v>
                </c:pt>
                <c:pt idx="1">
                  <c:v>49718297.411856428</c:v>
                </c:pt>
                <c:pt idx="2">
                  <c:v>18126728.997032516</c:v>
                </c:pt>
                <c:pt idx="3">
                  <c:v>10187483.871194836</c:v>
                </c:pt>
                <c:pt idx="4">
                  <c:v>7341141.6530030668</c:v>
                </c:pt>
                <c:pt idx="5">
                  <c:v>1319881.0534093031</c:v>
                </c:pt>
                <c:pt idx="6">
                  <c:v>27847915.478607401</c:v>
                </c:pt>
                <c:pt idx="7">
                  <c:v>1427951.4030964924</c:v>
                </c:pt>
                <c:pt idx="8">
                  <c:v>2257455.790131032</c:v>
                </c:pt>
                <c:pt idx="9">
                  <c:v>196947637.87091658</c:v>
                </c:pt>
                <c:pt idx="10">
                  <c:v>230818236.45703197</c:v>
                </c:pt>
                <c:pt idx="11">
                  <c:v>125933866.14994135</c:v>
                </c:pt>
                <c:pt idx="12">
                  <c:v>129855516.84933934</c:v>
                </c:pt>
                <c:pt idx="13">
                  <c:v>696058092.21246231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C5-5B40-AF7D-C7BEA0AF9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1890608"/>
        <c:axId val="1"/>
      </c:scatterChart>
      <c:valAx>
        <c:axId val="321890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333333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ng/ul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333333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# copies in 100 ul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E+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2189060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# vs Chla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# vs qubit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linear"/>
            <c:dispRSqr val="1"/>
            <c:dispEq val="1"/>
            <c:trendlineLbl>
              <c:layout>
                <c:manualLayout>
                  <c:x val="-1.1054788673118314E-2"/>
                  <c:y val="-4.0465133098279565E-2"/>
                </c:manualLayout>
              </c:layout>
              <c:numFmt formatCode="General" sourceLinked="0"/>
            </c:trendlineLbl>
          </c:trendline>
          <c:xVal>
            <c:numRef>
              <c:f>Calculation!$K$12:$K$25</c:f>
              <c:numCache>
                <c:formatCode>0.00</c:formatCode>
                <c:ptCount val="14"/>
                <c:pt idx="0">
                  <c:v>1.52</c:v>
                </c:pt>
                <c:pt idx="1">
                  <c:v>7.3</c:v>
                </c:pt>
                <c:pt idx="2">
                  <c:v>5.0999999999999996</c:v>
                </c:pt>
                <c:pt idx="3">
                  <c:v>2.96</c:v>
                </c:pt>
                <c:pt idx="4">
                  <c:v>5.04</c:v>
                </c:pt>
                <c:pt idx="5">
                  <c:v>2.08</c:v>
                </c:pt>
                <c:pt idx="6">
                  <c:v>4.4800000000000004</c:v>
                </c:pt>
                <c:pt idx="7">
                  <c:v>1.08</c:v>
                </c:pt>
                <c:pt idx="8">
                  <c:v>1.41</c:v>
                </c:pt>
                <c:pt idx="9">
                  <c:v>26.2</c:v>
                </c:pt>
                <c:pt idx="10">
                  <c:v>30.2</c:v>
                </c:pt>
                <c:pt idx="11">
                  <c:v>19.7</c:v>
                </c:pt>
                <c:pt idx="12">
                  <c:v>23.2</c:v>
                </c:pt>
                <c:pt idx="13">
                  <c:v>106</c:v>
                </c:pt>
              </c:numCache>
            </c:numRef>
          </c:xVal>
          <c:yVal>
            <c:numRef>
              <c:f>Calculation!$L$12:$L$25</c:f>
              <c:numCache>
                <c:formatCode>0.00</c:formatCode>
                <c:ptCount val="14"/>
                <c:pt idx="0">
                  <c:v>28.1</c:v>
                </c:pt>
                <c:pt idx="1">
                  <c:v>77.7</c:v>
                </c:pt>
                <c:pt idx="2">
                  <c:v>119.3</c:v>
                </c:pt>
                <c:pt idx="3">
                  <c:v>66.5</c:v>
                </c:pt>
                <c:pt idx="4">
                  <c:v>5.52</c:v>
                </c:pt>
                <c:pt idx="5">
                  <c:v>5.82</c:v>
                </c:pt>
                <c:pt idx="6">
                  <c:v>88.235240038835443</c:v>
                </c:pt>
                <c:pt idx="7">
                  <c:v>65.265701846486365</c:v>
                </c:pt>
                <c:pt idx="8">
                  <c:v>69.785310546417932</c:v>
                </c:pt>
                <c:pt idx="9">
                  <c:v>24.874405475949203</c:v>
                </c:pt>
                <c:pt idx="10">
                  <c:v>29.909822195974055</c:v>
                </c:pt>
                <c:pt idx="11">
                  <c:v>16.053390425160135</c:v>
                </c:pt>
                <c:pt idx="12">
                  <c:v>4.22</c:v>
                </c:pt>
                <c:pt idx="13">
                  <c:v>26.3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EE-BC44-BB5F-65E80A635F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1890608"/>
        <c:axId val="1"/>
      </c:scatterChart>
      <c:valAx>
        <c:axId val="321890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333333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mg/sq</a:t>
                </a:r>
                <a:r>
                  <a:rPr lang="en-US" baseline="0"/>
                  <a:t> m</a:t>
                </a:r>
                <a:endParaRPr lang="en-US"/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333333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# copies in 1 mg soil</a:t>
                </a:r>
              </a:p>
            </c:rich>
          </c:tx>
          <c:layout>
            <c:manualLayout>
              <c:xMode val="edge"/>
              <c:yMode val="edge"/>
              <c:x val="1.0261780443147312E-2"/>
              <c:y val="0.40428270873314531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2189060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# vs Chla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# vs qubit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linear"/>
            <c:dispRSqr val="1"/>
            <c:dispEq val="1"/>
            <c:trendlineLbl>
              <c:layout>
                <c:manualLayout>
                  <c:x val="-1.1054788673118314E-2"/>
                  <c:y val="-4.0465133098279565E-2"/>
                </c:manualLayout>
              </c:layout>
              <c:numFmt formatCode="General" sourceLinked="0"/>
            </c:trendlineLbl>
          </c:trendline>
          <c:xVal>
            <c:numRef>
              <c:f>Calculation!$L$12:$L$25</c:f>
              <c:numCache>
                <c:formatCode>0.00</c:formatCode>
                <c:ptCount val="14"/>
                <c:pt idx="0">
                  <c:v>28.1</c:v>
                </c:pt>
                <c:pt idx="1">
                  <c:v>77.7</c:v>
                </c:pt>
                <c:pt idx="2">
                  <c:v>119.3</c:v>
                </c:pt>
                <c:pt idx="3">
                  <c:v>66.5</c:v>
                </c:pt>
                <c:pt idx="4">
                  <c:v>5.52</c:v>
                </c:pt>
                <c:pt idx="5">
                  <c:v>5.82</c:v>
                </c:pt>
                <c:pt idx="6">
                  <c:v>88.235240038835443</c:v>
                </c:pt>
                <c:pt idx="7">
                  <c:v>65.265701846486365</c:v>
                </c:pt>
                <c:pt idx="8">
                  <c:v>69.785310546417932</c:v>
                </c:pt>
                <c:pt idx="9">
                  <c:v>24.874405475949203</c:v>
                </c:pt>
                <c:pt idx="10">
                  <c:v>29.909822195974055</c:v>
                </c:pt>
                <c:pt idx="11">
                  <c:v>16.053390425160135</c:v>
                </c:pt>
                <c:pt idx="12">
                  <c:v>4.22</c:v>
                </c:pt>
                <c:pt idx="13">
                  <c:v>26.3</c:v>
                </c:pt>
              </c:numCache>
            </c:numRef>
          </c:xVal>
          <c:yVal>
            <c:numRef>
              <c:f>Calculation!$I$12:$I$25</c:f>
              <c:numCache>
                <c:formatCode>0.00E+00</c:formatCode>
                <c:ptCount val="14"/>
                <c:pt idx="0">
                  <c:v>11929.798460399406</c:v>
                </c:pt>
                <c:pt idx="1">
                  <c:v>171442.40486847045</c:v>
                </c:pt>
                <c:pt idx="2">
                  <c:v>66888.298882038798</c:v>
                </c:pt>
                <c:pt idx="3">
                  <c:v>39182.630273826289</c:v>
                </c:pt>
                <c:pt idx="4">
                  <c:v>31106.532427979095</c:v>
                </c:pt>
                <c:pt idx="5">
                  <c:v>5522.5148678213518</c:v>
                </c:pt>
                <c:pt idx="6">
                  <c:v>309421.2830956378</c:v>
                </c:pt>
                <c:pt idx="7">
                  <c:v>13221.772250893448</c:v>
                </c:pt>
                <c:pt idx="8">
                  <c:v>22574.55790131032</c:v>
                </c:pt>
                <c:pt idx="9">
                  <c:v>883173.26399514161</c:v>
                </c:pt>
                <c:pt idx="10">
                  <c:v>1039721.7858424863</c:v>
                </c:pt>
                <c:pt idx="11">
                  <c:v>567269.66734207817</c:v>
                </c:pt>
                <c:pt idx="12">
                  <c:v>479171.64889055106</c:v>
                </c:pt>
                <c:pt idx="13">
                  <c:v>3026339.5313585317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45E-6946-A650-3B8716A5C2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1890608"/>
        <c:axId val="1"/>
      </c:scatterChart>
      <c:valAx>
        <c:axId val="321890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333333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mg/sq</a:t>
                </a:r>
                <a:r>
                  <a:rPr lang="en-US" baseline="0"/>
                  <a:t> m</a:t>
                </a:r>
                <a:endParaRPr lang="en-US"/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333333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# copies in 1 mg soil</a:t>
                </a:r>
              </a:p>
            </c:rich>
          </c:tx>
          <c:layout>
            <c:manualLayout>
              <c:xMode val="edge"/>
              <c:yMode val="edge"/>
              <c:x val="1.0261780443147312E-2"/>
              <c:y val="0.40428270873314531"/>
            </c:manualLayout>
          </c:layout>
          <c:overlay val="0"/>
          <c:spPr>
            <a:noFill/>
            <a:ln w="25400">
              <a:noFill/>
            </a:ln>
          </c:spPr>
        </c:title>
        <c:numFmt formatCode="0.00E+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2189060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# vs Scyt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# vs qubit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linear"/>
            <c:dispRSqr val="1"/>
            <c:dispEq val="1"/>
            <c:trendlineLbl>
              <c:layout>
                <c:manualLayout>
                  <c:x val="-1.1054788673118314E-2"/>
                  <c:y val="-4.0465133098279565E-2"/>
                </c:manualLayout>
              </c:layout>
              <c:numFmt formatCode="General" sourceLinked="0"/>
            </c:trendlineLbl>
          </c:trendline>
          <c:xVal>
            <c:numRef>
              <c:f>Calculation!$M$12:$M$34</c:f>
              <c:numCache>
                <c:formatCode>0.00</c:formatCode>
                <c:ptCount val="23"/>
              </c:numCache>
            </c:numRef>
          </c:xVal>
          <c:yVal>
            <c:numRef>
              <c:f>Calculation!$I$12:$I$34</c:f>
              <c:numCache>
                <c:formatCode>0.00E+00</c:formatCode>
                <c:ptCount val="23"/>
                <c:pt idx="0">
                  <c:v>11929.798460399406</c:v>
                </c:pt>
                <c:pt idx="1">
                  <c:v>171442.40486847045</c:v>
                </c:pt>
                <c:pt idx="2">
                  <c:v>66888.298882038798</c:v>
                </c:pt>
                <c:pt idx="3">
                  <c:v>39182.630273826289</c:v>
                </c:pt>
                <c:pt idx="4">
                  <c:v>31106.532427979095</c:v>
                </c:pt>
                <c:pt idx="5">
                  <c:v>5522.5148678213518</c:v>
                </c:pt>
                <c:pt idx="6">
                  <c:v>309421.2830956378</c:v>
                </c:pt>
                <c:pt idx="7">
                  <c:v>13221.772250893448</c:v>
                </c:pt>
                <c:pt idx="8">
                  <c:v>22574.55790131032</c:v>
                </c:pt>
                <c:pt idx="9">
                  <c:v>883173.26399514161</c:v>
                </c:pt>
                <c:pt idx="10">
                  <c:v>1039721.7858424863</c:v>
                </c:pt>
                <c:pt idx="11">
                  <c:v>567269.66734207817</c:v>
                </c:pt>
                <c:pt idx="12">
                  <c:v>479171.64889055106</c:v>
                </c:pt>
                <c:pt idx="13">
                  <c:v>3026339.5313585317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82-324D-AA37-6063566767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1890608"/>
        <c:axId val="1"/>
      </c:scatterChart>
      <c:valAx>
        <c:axId val="321890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333333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mg/sq</a:t>
                </a:r>
                <a:r>
                  <a:rPr lang="en-US" baseline="0"/>
                  <a:t> m</a:t>
                </a:r>
                <a:endParaRPr lang="en-US"/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333333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# copies in 1 mg soil</a:t>
                </a:r>
              </a:p>
            </c:rich>
          </c:tx>
          <c:layout>
            <c:manualLayout>
              <c:xMode val="edge"/>
              <c:yMode val="edge"/>
              <c:x val="1.0261780443147312E-2"/>
              <c:y val="0.40428270873314531"/>
            </c:manualLayout>
          </c:layout>
          <c:overlay val="0"/>
          <c:spPr>
            <a:noFill/>
            <a:ln w="25400">
              <a:noFill/>
            </a:ln>
          </c:spPr>
        </c:title>
        <c:numFmt formatCode="0.00E+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2189060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# vs S+C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# vs qubit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linear"/>
            <c:dispRSqr val="1"/>
            <c:dispEq val="1"/>
            <c:trendlineLbl>
              <c:layout>
                <c:manualLayout>
                  <c:x val="-1.1054788673118314E-2"/>
                  <c:y val="-4.0465133098279565E-2"/>
                </c:manualLayout>
              </c:layout>
              <c:numFmt formatCode="General" sourceLinked="0"/>
            </c:trendlineLbl>
          </c:trendline>
          <c:xVal>
            <c:numRef>
              <c:f>Calculation!$N$12:$N$34</c:f>
              <c:numCache>
                <c:formatCode>0.00</c:formatCode>
                <c:ptCount val="23"/>
                <c:pt idx="0">
                  <c:v>28.1</c:v>
                </c:pt>
                <c:pt idx="1">
                  <c:v>77.7</c:v>
                </c:pt>
                <c:pt idx="2">
                  <c:v>119.3</c:v>
                </c:pt>
                <c:pt idx="3">
                  <c:v>66.5</c:v>
                </c:pt>
                <c:pt idx="4">
                  <c:v>5.52</c:v>
                </c:pt>
                <c:pt idx="5">
                  <c:v>5.82</c:v>
                </c:pt>
                <c:pt idx="6">
                  <c:v>88.235240038835443</c:v>
                </c:pt>
                <c:pt idx="7">
                  <c:v>65.265701846486365</c:v>
                </c:pt>
                <c:pt idx="8">
                  <c:v>69.785310546417932</c:v>
                </c:pt>
                <c:pt idx="9">
                  <c:v>24.874405475949203</c:v>
                </c:pt>
                <c:pt idx="10">
                  <c:v>29.909822195974055</c:v>
                </c:pt>
                <c:pt idx="11">
                  <c:v>16.053390425160135</c:v>
                </c:pt>
                <c:pt idx="12">
                  <c:v>4.22</c:v>
                </c:pt>
                <c:pt idx="13">
                  <c:v>26.3</c:v>
                </c:pt>
              </c:numCache>
            </c:numRef>
          </c:xVal>
          <c:yVal>
            <c:numRef>
              <c:f>Calculation!$I$12:$I$34</c:f>
              <c:numCache>
                <c:formatCode>0.00E+00</c:formatCode>
                <c:ptCount val="23"/>
                <c:pt idx="0">
                  <c:v>11929.798460399406</c:v>
                </c:pt>
                <c:pt idx="1">
                  <c:v>171442.40486847045</c:v>
                </c:pt>
                <c:pt idx="2">
                  <c:v>66888.298882038798</c:v>
                </c:pt>
                <c:pt idx="3">
                  <c:v>39182.630273826289</c:v>
                </c:pt>
                <c:pt idx="4">
                  <c:v>31106.532427979095</c:v>
                </c:pt>
                <c:pt idx="5">
                  <c:v>5522.5148678213518</c:v>
                </c:pt>
                <c:pt idx="6">
                  <c:v>309421.2830956378</c:v>
                </c:pt>
                <c:pt idx="7">
                  <c:v>13221.772250893448</c:v>
                </c:pt>
                <c:pt idx="8">
                  <c:v>22574.55790131032</c:v>
                </c:pt>
                <c:pt idx="9">
                  <c:v>883173.26399514161</c:v>
                </c:pt>
                <c:pt idx="10">
                  <c:v>1039721.7858424863</c:v>
                </c:pt>
                <c:pt idx="11">
                  <c:v>567269.66734207817</c:v>
                </c:pt>
                <c:pt idx="12">
                  <c:v>479171.64889055106</c:v>
                </c:pt>
                <c:pt idx="13">
                  <c:v>3026339.5313585317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55-B544-8AF0-30E458D713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1890608"/>
        <c:axId val="1"/>
      </c:scatterChart>
      <c:valAx>
        <c:axId val="321890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333333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mg/sq</a:t>
                </a:r>
                <a:r>
                  <a:rPr lang="en-US" baseline="0"/>
                  <a:t> m</a:t>
                </a:r>
                <a:endParaRPr lang="en-US"/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333333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# copies in 1 mg soil</a:t>
                </a:r>
              </a:p>
            </c:rich>
          </c:tx>
          <c:layout>
            <c:manualLayout>
              <c:xMode val="edge"/>
              <c:yMode val="edge"/>
              <c:x val="1.0261780443147312E-2"/>
              <c:y val="0.40428270873314531"/>
            </c:manualLayout>
          </c:layout>
          <c:overlay val="0"/>
          <c:spPr>
            <a:noFill/>
            <a:ln w="25400">
              <a:noFill/>
            </a:ln>
          </c:spPr>
        </c:title>
        <c:numFmt formatCode="0.00E+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2189060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ABC29D-119A-F54C-A963-680D42B10814}">
  <sheetPr/>
  <sheetViews>
    <sheetView zoomScale="153" workbookViewId="0" zoomToFit="1"/>
  </sheetViews>
  <pageMargins left="0.7" right="0.7" top="0.75" bottom="0.75" header="0.3" footer="0.3"/>
  <pageSetup orientation="landscape" horizontalDpi="0" verticalDpi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81C5A32-5B6D-C049-B17F-3C9C50944D1D}">
  <sheetPr/>
  <sheetViews>
    <sheetView zoomScale="126" workbookViewId="0" zoomToFit="1"/>
  </sheetViews>
  <pageMargins left="0.7" right="0.7" top="0.75" bottom="0.75" header="0.3" footer="0.3"/>
  <pageSetup orientation="landscape" horizontalDpi="0" verticalDpi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4BC001B-E08C-BB4F-A888-0A9BDE2F1667}">
  <sheetPr/>
  <sheetViews>
    <sheetView zoomScale="123" workbookViewId="0" zoomToFit="1"/>
  </sheetViews>
  <pageMargins left="0.7" right="0.7" top="0.75" bottom="0.75" header="0.3" footer="0.3"/>
  <pageSetup orientation="landscape" horizontalDpi="0" verticalDpi="0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AE25986-AC0F-7B49-8D7D-0CDC11E81681}">
  <sheetPr/>
  <sheetViews>
    <sheetView zoomScale="126" workbookViewId="0" zoomToFit="1"/>
  </sheetViews>
  <pageMargins left="0.7" right="0.7" top="0.75" bottom="0.75" header="0.3" footer="0.3"/>
  <pageSetup orientation="landscape" horizontalDpi="0" verticalDpi="0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E9EB9E8-D3F5-714B-B81D-108E41EE14E7}">
  <sheetPr/>
  <sheetViews>
    <sheetView zoomScale="153" workbookViewId="0" zoomToFit="1"/>
  </sheetViews>
  <pageMargins left="0.7" right="0.7" top="0.75" bottom="0.75" header="0.3" footer="0.3"/>
  <pageSetup orientation="landscape" horizontalDpi="0" verticalDpi="0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F54B04-C176-F04E-86E8-36805EF2BDD5}">
  <sheetPr/>
  <sheetViews>
    <sheetView zoomScale="125" workbookViewId="0" zoomToFit="1"/>
  </sheetViews>
  <pageMargins left="0.7" right="0.7" top="0.75" bottom="0.75" header="0.3" footer="0.3"/>
  <pageSetup orientation="landscape" horizontalDpi="0" verticalDpi="0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101600</xdr:colOff>
      <xdr:row>65</xdr:row>
      <xdr:rowOff>190500</xdr:rowOff>
    </xdr:from>
    <xdr:to>
      <xdr:col>10</xdr:col>
      <xdr:colOff>1333500</xdr:colOff>
      <xdr:row>91</xdr:row>
      <xdr:rowOff>279400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45D2CF-3B90-8541-82B5-7D19E45E8C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101600</xdr:colOff>
      <xdr:row>65</xdr:row>
      <xdr:rowOff>190500</xdr:rowOff>
    </xdr:from>
    <xdr:to>
      <xdr:col>10</xdr:col>
      <xdr:colOff>1333500</xdr:colOff>
      <xdr:row>91</xdr:row>
      <xdr:rowOff>279400</xdr:rowOff>
    </xdr:to>
    <xdr:graphicFrame macro="">
      <xdr:nvGraphicFramePr>
        <xdr:cNvPr id="6" name="Chart 2">
          <a:extLst>
            <a:ext uri="{FF2B5EF4-FFF2-40B4-BE49-F238E27FC236}">
              <a16:creationId xmlns:a16="http://schemas.microsoft.com/office/drawing/2014/main" id="{143BDF96-D688-2043-96CF-C8DC892D0C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450850</xdr:colOff>
      <xdr:row>10</xdr:row>
      <xdr:rowOff>482600</xdr:rowOff>
    </xdr:from>
    <xdr:to>
      <xdr:col>24</xdr:col>
      <xdr:colOff>311150</xdr:colOff>
      <xdr:row>24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9D56E6-7242-2870-E2E6-20C2CF624B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4183" cy="629189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89CDBF-C0A6-B551-57CF-82EF1194F0B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895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57023A-1CEE-70EB-DAE2-0BC2A81C503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171" cy="628804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87EE5B-FE71-7CFD-0AB5-545CB68730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895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4E35BB-BC77-4AF1-6853-A34C7D7999A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74183" cy="629189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75CF3B-9523-561E-14AF-8AD99D07E73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9514" cy="627944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CC06A1-D5AE-FF9E-EEE5-C8B08C09EAC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scott40/Dropbox%20(ASU)/ASU/Data%20and%20analysis/Chlorophyll/Chlorophyll-MesaRound2.xlsx" TargetMode="External"/><Relationship Id="rId1" Type="http://schemas.openxmlformats.org/officeDocument/2006/relationships/externalLinkPath" Target="/Users/bscott40/Dropbox%20(ASU)/ASU/Data%20and%20analysis/Chlorophyll/Chlorophyll-MesaRound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undles"/>
      <sheetName val="Chl A"/>
      <sheetName val="Scytonemin"/>
      <sheetName val="Paste Data Here"/>
      <sheetName val="Chl A - Manual entry"/>
      <sheetName val="ANOVA"/>
      <sheetName val="Volume _beta"/>
      <sheetName val="Sheet1"/>
      <sheetName val="Chart1"/>
    </sheetNames>
    <sheetDataSet>
      <sheetData sheetId="0" refreshError="1"/>
      <sheetData sheetId="1">
        <row r="4">
          <cell r="S4">
            <v>19.69393262851419</v>
          </cell>
        </row>
        <row r="5">
          <cell r="S5">
            <v>35.151761738368592</v>
          </cell>
        </row>
        <row r="6">
          <cell r="S6">
            <v>19.77752206096482</v>
          </cell>
        </row>
        <row r="7">
          <cell r="S7">
            <v>24.858076991429989</v>
          </cell>
        </row>
        <row r="8">
          <cell r="S8">
            <v>40.487534558520508</v>
          </cell>
        </row>
        <row r="9">
          <cell r="S9">
            <v>24.383855037971664</v>
          </cell>
        </row>
        <row r="10">
          <cell r="S10">
            <v>19.850049276053813</v>
          </cell>
        </row>
        <row r="11">
          <cell r="S11">
            <v>19.533064725554141</v>
          </cell>
        </row>
        <row r="12">
          <cell r="S12">
            <v>8.7770572738724582</v>
          </cell>
        </row>
        <row r="19">
          <cell r="S19">
            <v>98.674333803090846</v>
          </cell>
        </row>
        <row r="20">
          <cell r="S20">
            <v>75.226844917284382</v>
          </cell>
        </row>
        <row r="21">
          <cell r="S21">
            <v>90.8045413961311</v>
          </cell>
        </row>
        <row r="22">
          <cell r="S22">
            <v>77.459536595775504</v>
          </cell>
        </row>
        <row r="23">
          <cell r="S23">
            <v>57.864981216457089</v>
          </cell>
        </row>
        <row r="24">
          <cell r="S24">
            <v>60.472587727226518</v>
          </cell>
        </row>
        <row r="25">
          <cell r="S25">
            <v>78.668573054825018</v>
          </cell>
        </row>
        <row r="26">
          <cell r="S26">
            <v>44.001169707622722</v>
          </cell>
        </row>
        <row r="27">
          <cell r="S27">
            <v>86.686188876806085</v>
          </cell>
        </row>
      </sheetData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E60E4-16C4-4C3D-86EB-9E2E961829C0}">
  <sheetPr>
    <pageSetUpPr fitToPage="1"/>
  </sheetPr>
  <dimension ref="A1:M996"/>
  <sheetViews>
    <sheetView zoomScale="90" zoomScaleNormal="90" zoomScalePageLayoutView="150" workbookViewId="0">
      <selection activeCell="A35" sqref="A35"/>
    </sheetView>
  </sheetViews>
  <sheetFormatPr baseColWidth="10" defaultColWidth="14.6640625" defaultRowHeight="15" customHeight="1" x14ac:dyDescent="0.2"/>
  <cols>
    <col min="1" max="1" width="13.33203125" style="50" customWidth="1"/>
    <col min="2" max="2" width="12" style="50" customWidth="1"/>
    <col min="3" max="3" width="24.83203125" style="50" customWidth="1"/>
    <col min="4" max="4" width="18.6640625" style="50" customWidth="1"/>
    <col min="5" max="5" width="12.5" style="50" customWidth="1"/>
    <col min="6" max="6" width="26" style="50" customWidth="1"/>
    <col min="7" max="7" width="21.33203125" style="50" customWidth="1"/>
    <col min="8" max="8" width="14" style="50" customWidth="1"/>
    <col min="9" max="9" width="7.33203125" style="47" customWidth="1"/>
    <col min="10" max="10" width="12" style="47" customWidth="1"/>
    <col min="11" max="11" width="8.83203125" style="47" customWidth="1"/>
    <col min="12" max="26" width="12" style="47" customWidth="1"/>
    <col min="27" max="16384" width="14.6640625" style="47"/>
  </cols>
  <sheetData>
    <row r="1" spans="1:6" ht="15.75" customHeight="1" x14ac:dyDescent="0.2">
      <c r="A1" s="109" t="s">
        <v>0</v>
      </c>
    </row>
    <row r="2" spans="1:6" ht="15.75" customHeight="1" x14ac:dyDescent="0.2">
      <c r="A2" s="109"/>
    </row>
    <row r="3" spans="1:6" ht="15.75" customHeight="1" x14ac:dyDescent="0.2">
      <c r="A3" s="109" t="s">
        <v>1</v>
      </c>
      <c r="B3" s="50" t="s">
        <v>2</v>
      </c>
    </row>
    <row r="4" spans="1:6" ht="15.75" customHeight="1" x14ac:dyDescent="0.2">
      <c r="A4" s="109"/>
    </row>
    <row r="5" spans="1:6" ht="15.75" customHeight="1" x14ac:dyDescent="0.2">
      <c r="A5" s="109" t="s">
        <v>3</v>
      </c>
    </row>
    <row r="6" spans="1:6" ht="15.75" customHeight="1" x14ac:dyDescent="0.2">
      <c r="A6" s="109"/>
    </row>
    <row r="7" spans="1:6" ht="15.75" customHeight="1" x14ac:dyDescent="0.2">
      <c r="A7" s="109" t="s">
        <v>4</v>
      </c>
    </row>
    <row r="8" spans="1:6" ht="15.75" customHeight="1" x14ac:dyDescent="0.2">
      <c r="A8" s="109" t="s">
        <v>5</v>
      </c>
    </row>
    <row r="9" spans="1:6" ht="15.75" customHeight="1" x14ac:dyDescent="0.2">
      <c r="A9" s="109" t="s">
        <v>6</v>
      </c>
    </row>
    <row r="10" spans="1:6" ht="15.75" customHeight="1" x14ac:dyDescent="0.2">
      <c r="A10" s="109" t="s">
        <v>7</v>
      </c>
    </row>
    <row r="11" spans="1:6" ht="15.75" customHeight="1" x14ac:dyDescent="0.2">
      <c r="A11" s="109"/>
    </row>
    <row r="12" spans="1:6" ht="15.75" customHeight="1" x14ac:dyDescent="0.2">
      <c r="A12" s="109" t="s">
        <v>8</v>
      </c>
      <c r="B12" s="50" t="s">
        <v>9</v>
      </c>
      <c r="C12" s="50" t="s">
        <v>10</v>
      </c>
    </row>
    <row r="13" spans="1:6" ht="15.75" customHeight="1" x14ac:dyDescent="0.2">
      <c r="A13" s="109" t="s">
        <v>11</v>
      </c>
    </row>
    <row r="14" spans="1:6" ht="15.75" customHeight="1" x14ac:dyDescent="0.2">
      <c r="A14" s="109"/>
      <c r="B14" s="50" t="s">
        <v>12</v>
      </c>
      <c r="C14" s="64" t="s">
        <v>13</v>
      </c>
      <c r="F14" s="65"/>
    </row>
    <row r="15" spans="1:6" ht="15.75" customHeight="1" x14ac:dyDescent="0.2">
      <c r="A15" s="110">
        <f>1.096*10^-21</f>
        <v>1.096E-21</v>
      </c>
      <c r="B15" s="50">
        <v>237</v>
      </c>
      <c r="C15" s="50">
        <f>B15*A15</f>
        <v>2.5975199999999999E-19</v>
      </c>
      <c r="D15" s="50" t="s">
        <v>14</v>
      </c>
    </row>
    <row r="16" spans="1:6" ht="15.75" customHeight="1" x14ac:dyDescent="0.2">
      <c r="A16" s="109"/>
      <c r="B16" s="66">
        <f>1*10^12</f>
        <v>1000000000000</v>
      </c>
      <c r="C16" s="67">
        <f>C15*B16</f>
        <v>2.5975199999999998E-7</v>
      </c>
      <c r="D16" s="64" t="s">
        <v>15</v>
      </c>
    </row>
    <row r="17" spans="1:13" ht="15.75" customHeight="1" x14ac:dyDescent="0.2">
      <c r="A17" s="109"/>
      <c r="G17" s="65"/>
    </row>
    <row r="18" spans="1:13" ht="15.75" customHeight="1" x14ac:dyDescent="0.2">
      <c r="A18" s="109" t="s">
        <v>16</v>
      </c>
    </row>
    <row r="19" spans="1:13" ht="15.75" customHeight="1" x14ac:dyDescent="0.2"/>
    <row r="20" spans="1:13" ht="84" customHeight="1" x14ac:dyDescent="0.25">
      <c r="A20" s="49" t="s">
        <v>17</v>
      </c>
      <c r="C20" s="49" t="s">
        <v>18</v>
      </c>
      <c r="D20" s="49" t="s">
        <v>19</v>
      </c>
      <c r="F20" s="50" t="s">
        <v>20</v>
      </c>
      <c r="G20" s="48" t="s">
        <v>21</v>
      </c>
      <c r="H20" s="48"/>
    </row>
    <row r="21" spans="1:13" ht="15.75" customHeight="1" x14ac:dyDescent="0.2">
      <c r="A21" s="65">
        <v>10000000</v>
      </c>
      <c r="D21" s="65">
        <f>A21*$C$23</f>
        <v>2.5975199999999998</v>
      </c>
      <c r="G21" s="65">
        <f>D21/$F$23</f>
        <v>2.5975199999999999E-3</v>
      </c>
      <c r="H21" s="65"/>
    </row>
    <row r="22" spans="1:13" ht="15.75" customHeight="1" x14ac:dyDescent="0.2">
      <c r="A22" s="65">
        <v>1000000</v>
      </c>
      <c r="D22" s="65">
        <f>A22*$C$23</f>
        <v>0.25975199999999998</v>
      </c>
      <c r="G22" s="65">
        <f t="shared" ref="G22:G27" si="0">D22/$F$23</f>
        <v>2.5975199999999998E-4</v>
      </c>
      <c r="H22" s="65"/>
    </row>
    <row r="23" spans="1:13" ht="15.75" customHeight="1" x14ac:dyDescent="0.2">
      <c r="A23" s="65">
        <v>100000</v>
      </c>
      <c r="B23" s="51" t="s">
        <v>22</v>
      </c>
      <c r="C23" s="68">
        <f>C16</f>
        <v>2.5975199999999998E-7</v>
      </c>
      <c r="D23" s="65">
        <f t="shared" ref="D23:D27" si="1">A23*$C$23</f>
        <v>2.5975199999999997E-2</v>
      </c>
      <c r="E23" s="50" t="s">
        <v>23</v>
      </c>
      <c r="F23" s="50">
        <v>1000</v>
      </c>
      <c r="G23" s="65">
        <f t="shared" si="0"/>
        <v>2.5975199999999998E-5</v>
      </c>
      <c r="H23" s="65"/>
    </row>
    <row r="24" spans="1:13" ht="15.75" customHeight="1" x14ac:dyDescent="0.2">
      <c r="A24" s="65">
        <v>10000</v>
      </c>
      <c r="D24" s="65">
        <f t="shared" si="1"/>
        <v>2.5975199999999999E-3</v>
      </c>
      <c r="G24" s="65">
        <f t="shared" si="0"/>
        <v>2.5975199999999998E-6</v>
      </c>
      <c r="H24" s="65"/>
    </row>
    <row r="25" spans="1:13" ht="15.75" customHeight="1" x14ac:dyDescent="0.2">
      <c r="A25" s="65">
        <v>1000</v>
      </c>
      <c r="D25" s="65">
        <f t="shared" si="1"/>
        <v>2.5975199999999998E-4</v>
      </c>
      <c r="G25" s="65">
        <f t="shared" si="0"/>
        <v>2.5975199999999998E-7</v>
      </c>
      <c r="H25" s="65"/>
    </row>
    <row r="26" spans="1:13" ht="15.75" customHeight="1" x14ac:dyDescent="0.2">
      <c r="A26" s="65">
        <v>100</v>
      </c>
      <c r="D26" s="65">
        <f t="shared" si="1"/>
        <v>2.5975199999999998E-5</v>
      </c>
      <c r="G26" s="65">
        <f t="shared" si="0"/>
        <v>2.5975199999999997E-8</v>
      </c>
      <c r="H26" s="65"/>
    </row>
    <row r="27" spans="1:13" ht="15.75" customHeight="1" x14ac:dyDescent="0.2">
      <c r="A27" s="69">
        <v>10</v>
      </c>
      <c r="D27" s="65">
        <f t="shared" si="1"/>
        <v>2.5975199999999998E-6</v>
      </c>
      <c r="G27" s="65">
        <f t="shared" si="0"/>
        <v>2.5975199999999999E-9</v>
      </c>
      <c r="H27" s="65"/>
    </row>
    <row r="28" spans="1:13" ht="15.75" customHeight="1" x14ac:dyDescent="0.2"/>
    <row r="29" spans="1:13" ht="15.75" customHeight="1" x14ac:dyDescent="0.2"/>
    <row r="30" spans="1:13" ht="15.75" customHeight="1" x14ac:dyDescent="0.2">
      <c r="J30" s="47" t="s">
        <v>24</v>
      </c>
    </row>
    <row r="31" spans="1:13" ht="15.75" customHeight="1" x14ac:dyDescent="0.2">
      <c r="J31" s="52" t="s">
        <v>25</v>
      </c>
      <c r="K31" s="52"/>
      <c r="L31" s="52"/>
      <c r="M31" s="47" t="s">
        <v>26</v>
      </c>
    </row>
    <row r="32" spans="1:13" ht="15.75" customHeight="1" x14ac:dyDescent="0.2">
      <c r="J32" s="47" t="s">
        <v>27</v>
      </c>
      <c r="M32" s="47" t="s">
        <v>28</v>
      </c>
    </row>
    <row r="33" spans="1:13" ht="15.75" customHeight="1" x14ac:dyDescent="0.2">
      <c r="J33" s="47" t="s">
        <v>29</v>
      </c>
      <c r="M33" s="47" t="s">
        <v>30</v>
      </c>
    </row>
    <row r="34" spans="1:13" ht="15.75" customHeight="1" x14ac:dyDescent="0.2"/>
    <row r="35" spans="1:13" ht="23.25" customHeight="1" x14ac:dyDescent="0.3">
      <c r="A35" s="140" t="s">
        <v>31</v>
      </c>
    </row>
    <row r="36" spans="1:13" ht="19.5" customHeight="1" thickBot="1" x14ac:dyDescent="0.3">
      <c r="A36" s="176" t="s">
        <v>32</v>
      </c>
      <c r="B36" s="177"/>
      <c r="C36" s="177"/>
      <c r="D36" s="177"/>
      <c r="E36" s="177"/>
      <c r="F36" s="177"/>
      <c r="G36" s="177"/>
      <c r="H36" s="177"/>
    </row>
    <row r="37" spans="1:13" ht="38.25" customHeight="1" thickBot="1" x14ac:dyDescent="0.3">
      <c r="A37" s="70" t="s">
        <v>33</v>
      </c>
      <c r="B37" s="71" t="s">
        <v>34</v>
      </c>
      <c r="C37" s="71" t="s">
        <v>35</v>
      </c>
      <c r="D37" s="71" t="s">
        <v>36</v>
      </c>
      <c r="E37" s="71" t="s">
        <v>37</v>
      </c>
      <c r="F37" s="71" t="s">
        <v>38</v>
      </c>
      <c r="G37" s="71" t="s">
        <v>39</v>
      </c>
      <c r="H37" s="72" t="s">
        <v>40</v>
      </c>
    </row>
    <row r="38" spans="1:13" ht="16.5" customHeight="1" thickBot="1" x14ac:dyDescent="0.25">
      <c r="A38" s="73">
        <v>1</v>
      </c>
      <c r="B38" s="74" t="s">
        <v>41</v>
      </c>
      <c r="C38" s="74">
        <v>10</v>
      </c>
      <c r="D38" s="74">
        <v>5</v>
      </c>
      <c r="E38" s="74">
        <f t="shared" ref="E38:E46" si="2">F38-D38</f>
        <v>95</v>
      </c>
      <c r="F38" s="74">
        <v>100</v>
      </c>
      <c r="G38" s="75">
        <v>0.5</v>
      </c>
      <c r="H38" s="76"/>
    </row>
    <row r="39" spans="1:13" ht="15.75" customHeight="1" x14ac:dyDescent="0.2">
      <c r="A39" s="77">
        <v>2</v>
      </c>
      <c r="B39" s="75">
        <v>1</v>
      </c>
      <c r="C39" s="74">
        <f>G38</f>
        <v>0.5</v>
      </c>
      <c r="D39" s="75">
        <f t="shared" ref="D39:D44" si="3">(F39*G39)/C39</f>
        <v>10</v>
      </c>
      <c r="E39" s="75">
        <f t="shared" si="2"/>
        <v>90</v>
      </c>
      <c r="F39" s="75">
        <v>100</v>
      </c>
      <c r="G39" s="75">
        <v>0.05</v>
      </c>
      <c r="H39" s="76"/>
    </row>
    <row r="40" spans="1:13" ht="15.75" customHeight="1" x14ac:dyDescent="0.2">
      <c r="A40" s="78" t="s">
        <v>42</v>
      </c>
      <c r="B40" s="79">
        <v>2</v>
      </c>
      <c r="C40" s="79">
        <f t="shared" ref="C40:C46" si="4">G39</f>
        <v>0.05</v>
      </c>
      <c r="D40" s="80">
        <f>(F40*G40)/C40</f>
        <v>5.1950399999999997</v>
      </c>
      <c r="E40" s="80">
        <f>F40-D40</f>
        <v>94.804959999999994</v>
      </c>
      <c r="F40" s="79">
        <v>100</v>
      </c>
      <c r="G40" s="81">
        <f>G21</f>
        <v>2.5975199999999999E-3</v>
      </c>
      <c r="H40" s="76">
        <v>10000000</v>
      </c>
    </row>
    <row r="41" spans="1:13" ht="15.75" customHeight="1" x14ac:dyDescent="0.2">
      <c r="A41" s="78" t="s">
        <v>43</v>
      </c>
      <c r="B41" s="75" t="s">
        <v>42</v>
      </c>
      <c r="C41" s="82">
        <f t="shared" si="4"/>
        <v>2.5975199999999999E-3</v>
      </c>
      <c r="D41" s="75">
        <f t="shared" si="3"/>
        <v>10</v>
      </c>
      <c r="E41" s="75">
        <f t="shared" si="2"/>
        <v>90</v>
      </c>
      <c r="F41" s="75">
        <v>100</v>
      </c>
      <c r="G41" s="81">
        <f t="shared" ref="G41:G46" si="5">G22</f>
        <v>2.5975199999999998E-4</v>
      </c>
      <c r="H41" s="76">
        <v>1000000</v>
      </c>
    </row>
    <row r="42" spans="1:13" ht="15.75" customHeight="1" x14ac:dyDescent="0.2">
      <c r="A42" s="78" t="s">
        <v>44</v>
      </c>
      <c r="B42" s="75" t="s">
        <v>43</v>
      </c>
      <c r="C42" s="82">
        <f t="shared" si="4"/>
        <v>2.5975199999999998E-4</v>
      </c>
      <c r="D42" s="75">
        <f t="shared" si="3"/>
        <v>10</v>
      </c>
      <c r="E42" s="75">
        <f t="shared" si="2"/>
        <v>90</v>
      </c>
      <c r="F42" s="75">
        <v>100</v>
      </c>
      <c r="G42" s="81">
        <f t="shared" si="5"/>
        <v>2.5975199999999998E-5</v>
      </c>
      <c r="H42" s="76">
        <v>100000</v>
      </c>
    </row>
    <row r="43" spans="1:13" ht="15.75" customHeight="1" x14ac:dyDescent="0.2">
      <c r="A43" s="78" t="s">
        <v>45</v>
      </c>
      <c r="B43" s="75" t="s">
        <v>44</v>
      </c>
      <c r="C43" s="82">
        <f t="shared" si="4"/>
        <v>2.5975199999999998E-5</v>
      </c>
      <c r="D43" s="75">
        <f t="shared" si="3"/>
        <v>10</v>
      </c>
      <c r="E43" s="75">
        <f t="shared" si="2"/>
        <v>90</v>
      </c>
      <c r="F43" s="75">
        <v>100</v>
      </c>
      <c r="G43" s="81">
        <f t="shared" si="5"/>
        <v>2.5975199999999998E-6</v>
      </c>
      <c r="H43" s="76">
        <v>10000</v>
      </c>
    </row>
    <row r="44" spans="1:13" ht="15.75" customHeight="1" x14ac:dyDescent="0.2">
      <c r="A44" s="78" t="s">
        <v>46</v>
      </c>
      <c r="B44" s="75" t="s">
        <v>45</v>
      </c>
      <c r="C44" s="82">
        <f t="shared" si="4"/>
        <v>2.5975199999999998E-6</v>
      </c>
      <c r="D44" s="75">
        <f t="shared" si="3"/>
        <v>10</v>
      </c>
      <c r="E44" s="75">
        <f t="shared" si="2"/>
        <v>90</v>
      </c>
      <c r="F44" s="75">
        <v>100</v>
      </c>
      <c r="G44" s="81">
        <f t="shared" si="5"/>
        <v>2.5975199999999998E-7</v>
      </c>
      <c r="H44" s="76">
        <v>1000</v>
      </c>
    </row>
    <row r="45" spans="1:13" ht="15.75" customHeight="1" x14ac:dyDescent="0.2">
      <c r="A45" s="78" t="s">
        <v>47</v>
      </c>
      <c r="B45" s="75" t="s">
        <v>46</v>
      </c>
      <c r="C45" s="82">
        <f t="shared" si="4"/>
        <v>2.5975199999999998E-7</v>
      </c>
      <c r="D45" s="75">
        <v>10</v>
      </c>
      <c r="E45" s="75">
        <f t="shared" si="2"/>
        <v>90</v>
      </c>
      <c r="F45" s="75">
        <v>100</v>
      </c>
      <c r="G45" s="81">
        <f t="shared" si="5"/>
        <v>2.5975199999999997E-8</v>
      </c>
      <c r="H45" s="76">
        <v>100</v>
      </c>
    </row>
    <row r="46" spans="1:13" ht="16.5" customHeight="1" thickBot="1" x14ac:dyDescent="0.25">
      <c r="A46" s="83" t="s">
        <v>48</v>
      </c>
      <c r="B46" s="84" t="s">
        <v>47</v>
      </c>
      <c r="C46" s="86">
        <f t="shared" si="4"/>
        <v>2.5975199999999997E-8</v>
      </c>
      <c r="D46" s="84">
        <f>(F46*G46)/C46</f>
        <v>10</v>
      </c>
      <c r="E46" s="84">
        <f t="shared" si="2"/>
        <v>90</v>
      </c>
      <c r="F46" s="84">
        <v>100</v>
      </c>
      <c r="G46" s="87">
        <f t="shared" si="5"/>
        <v>2.5975199999999999E-9</v>
      </c>
      <c r="H46" s="85">
        <v>10</v>
      </c>
    </row>
    <row r="47" spans="1:13" ht="15.75" customHeight="1" x14ac:dyDescent="0.2"/>
    <row r="48" spans="1:13" ht="15.75" customHeight="1" x14ac:dyDescent="0.2"/>
    <row r="49" spans="7:7" ht="15.75" customHeight="1" x14ac:dyDescent="0.2"/>
    <row r="50" spans="7:7" ht="15.75" customHeight="1" x14ac:dyDescent="0.2">
      <c r="G50" s="50" t="s">
        <v>49</v>
      </c>
    </row>
    <row r="51" spans="7:7" ht="15.75" customHeight="1" x14ac:dyDescent="0.2"/>
    <row r="52" spans="7:7" ht="15.75" customHeight="1" x14ac:dyDescent="0.2"/>
    <row r="53" spans="7:7" ht="15.75" customHeight="1" x14ac:dyDescent="0.2"/>
    <row r="54" spans="7:7" ht="15.75" customHeight="1" x14ac:dyDescent="0.2"/>
    <row r="55" spans="7:7" ht="15.75" customHeight="1" x14ac:dyDescent="0.2"/>
    <row r="56" spans="7:7" ht="15.75" customHeight="1" x14ac:dyDescent="0.2"/>
    <row r="57" spans="7:7" ht="15.75" customHeight="1" x14ac:dyDescent="0.2"/>
    <row r="58" spans="7:7" ht="15.75" customHeight="1" x14ac:dyDescent="0.2"/>
    <row r="59" spans="7:7" ht="15.75" customHeight="1" x14ac:dyDescent="0.2"/>
    <row r="60" spans="7:7" ht="15.75" customHeight="1" x14ac:dyDescent="0.2"/>
    <row r="61" spans="7:7" ht="15.75" customHeight="1" x14ac:dyDescent="0.2"/>
    <row r="62" spans="7:7" ht="15.75" customHeight="1" x14ac:dyDescent="0.2"/>
    <row r="63" spans="7:7" ht="15.75" customHeight="1" x14ac:dyDescent="0.2"/>
    <row r="64" spans="7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sheetProtection sheet="1" objects="1" scenarios="1"/>
  <mergeCells count="1">
    <mergeCell ref="A36:H36"/>
  </mergeCells>
  <pageMargins left="0.7" right="0.7" top="0.75" bottom="0.75" header="0.3" footer="0.3"/>
  <pageSetup scale="54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L25"/>
  <sheetViews>
    <sheetView zoomScaleNormal="100" workbookViewId="0">
      <selection activeCell="A14" sqref="A14:A15"/>
    </sheetView>
  </sheetViews>
  <sheetFormatPr baseColWidth="10" defaultColWidth="8.83203125" defaultRowHeight="13" x14ac:dyDescent="0.15"/>
  <cols>
    <col min="1" max="1" width="25.1640625" style="61" customWidth="1"/>
    <col min="2" max="2" width="17.5" style="61" customWidth="1"/>
    <col min="3" max="3" width="8.83203125" style="61"/>
    <col min="4" max="4" width="26.5" style="61" customWidth="1"/>
    <col min="8" max="8" width="10.83203125" customWidth="1"/>
  </cols>
  <sheetData>
    <row r="1" spans="1:12" ht="53" customHeight="1" x14ac:dyDescent="0.15">
      <c r="A1" s="56" t="s">
        <v>50</v>
      </c>
      <c r="B1" s="57" t="s">
        <v>51</v>
      </c>
      <c r="C1" s="57" t="s">
        <v>52</v>
      </c>
      <c r="D1" s="57" t="s">
        <v>53</v>
      </c>
      <c r="E1" s="146" t="s">
        <v>251</v>
      </c>
      <c r="F1" s="146" t="s">
        <v>252</v>
      </c>
      <c r="G1" s="146" t="s">
        <v>271</v>
      </c>
    </row>
    <row r="2" spans="1:12" ht="17" thickBot="1" x14ac:dyDescent="0.2">
      <c r="A2" s="153" t="s">
        <v>257</v>
      </c>
      <c r="B2" s="112">
        <v>1.52</v>
      </c>
      <c r="C2" s="62">
        <f>B2*5</f>
        <v>7.6</v>
      </c>
      <c r="D2" s="160">
        <f>B2/10*5</f>
        <v>0.76</v>
      </c>
      <c r="E2" s="62">
        <f>B2/20*5</f>
        <v>0.38</v>
      </c>
      <c r="F2" s="62">
        <f>B2/50*5</f>
        <v>0.152</v>
      </c>
      <c r="G2" s="53"/>
      <c r="H2" s="54"/>
      <c r="I2" s="55"/>
      <c r="J2" s="55"/>
      <c r="K2" s="55"/>
      <c r="L2" s="53"/>
    </row>
    <row r="3" spans="1:12" ht="17" thickBot="1" x14ac:dyDescent="0.2">
      <c r="A3" s="153" t="s">
        <v>258</v>
      </c>
      <c r="B3" s="112">
        <v>7.3</v>
      </c>
      <c r="C3" s="62">
        <f t="shared" ref="C3:C13" si="0">B3*5</f>
        <v>36.5</v>
      </c>
      <c r="D3" s="160">
        <f t="shared" ref="D3:D25" si="1">B3/10*5</f>
        <v>3.65</v>
      </c>
      <c r="E3" s="62">
        <f t="shared" ref="E3:E25" si="2">B3/20*5</f>
        <v>1.825</v>
      </c>
      <c r="F3" s="62">
        <f t="shared" ref="F3:F25" si="3">B3/50*5</f>
        <v>0.73</v>
      </c>
      <c r="G3" s="178" t="s">
        <v>54</v>
      </c>
      <c r="H3" s="178"/>
      <c r="I3" s="179" t="s">
        <v>55</v>
      </c>
      <c r="J3" s="179"/>
      <c r="K3" s="179"/>
      <c r="L3" s="179"/>
    </row>
    <row r="4" spans="1:12" ht="17" thickBot="1" x14ac:dyDescent="0.2">
      <c r="A4" s="153" t="s">
        <v>259</v>
      </c>
      <c r="B4" s="112">
        <v>5.0999999999999996</v>
      </c>
      <c r="C4" s="62">
        <f t="shared" si="0"/>
        <v>25.5</v>
      </c>
      <c r="D4" s="160">
        <f t="shared" si="1"/>
        <v>2.5499999999999998</v>
      </c>
      <c r="E4" s="62">
        <f t="shared" si="2"/>
        <v>1.2749999999999999</v>
      </c>
      <c r="F4" s="62">
        <f t="shared" si="3"/>
        <v>0.51</v>
      </c>
      <c r="G4" s="178"/>
      <c r="H4" s="178"/>
      <c r="I4" s="179" t="s">
        <v>56</v>
      </c>
      <c r="J4" s="179"/>
      <c r="K4" s="179"/>
      <c r="L4" s="179"/>
    </row>
    <row r="5" spans="1:12" ht="16" x14ac:dyDescent="0.15">
      <c r="A5" s="153" t="s">
        <v>260</v>
      </c>
      <c r="B5" s="112">
        <v>2.96</v>
      </c>
      <c r="C5" s="62">
        <f t="shared" si="0"/>
        <v>14.8</v>
      </c>
      <c r="D5" s="160">
        <f t="shared" si="1"/>
        <v>1.48</v>
      </c>
      <c r="E5" s="62">
        <f t="shared" si="2"/>
        <v>0.74</v>
      </c>
      <c r="F5" s="62">
        <f t="shared" si="3"/>
        <v>0.29600000000000004</v>
      </c>
    </row>
    <row r="6" spans="1:12" ht="16" x14ac:dyDescent="0.15">
      <c r="A6" s="153" t="s">
        <v>261</v>
      </c>
      <c r="B6" s="154">
        <v>5.04</v>
      </c>
      <c r="C6" s="62">
        <f t="shared" si="0"/>
        <v>25.2</v>
      </c>
      <c r="D6" s="160">
        <f t="shared" si="1"/>
        <v>2.52</v>
      </c>
      <c r="E6" s="62">
        <f t="shared" si="2"/>
        <v>1.26</v>
      </c>
      <c r="F6" s="62">
        <f t="shared" si="3"/>
        <v>0.504</v>
      </c>
    </row>
    <row r="7" spans="1:12" ht="16" x14ac:dyDescent="0.15">
      <c r="A7" s="153" t="s">
        <v>262</v>
      </c>
      <c r="B7" s="154">
        <v>2.08</v>
      </c>
      <c r="C7" s="62">
        <f t="shared" si="0"/>
        <v>10.4</v>
      </c>
      <c r="D7" s="160">
        <f t="shared" si="1"/>
        <v>1.04</v>
      </c>
      <c r="E7" s="62">
        <f t="shared" si="2"/>
        <v>0.52</v>
      </c>
      <c r="F7" s="62">
        <f t="shared" si="3"/>
        <v>0.20799999999999999</v>
      </c>
      <c r="H7" s="59"/>
      <c r="I7" s="58" t="s">
        <v>57</v>
      </c>
    </row>
    <row r="8" spans="1:12" ht="16" x14ac:dyDescent="0.15">
      <c r="A8" s="153" t="s">
        <v>263</v>
      </c>
      <c r="B8" s="154">
        <v>4.4800000000000004</v>
      </c>
      <c r="C8" s="62">
        <f t="shared" si="0"/>
        <v>22.400000000000002</v>
      </c>
      <c r="D8" s="160">
        <f t="shared" si="1"/>
        <v>2.2400000000000002</v>
      </c>
      <c r="E8" s="62">
        <f t="shared" si="2"/>
        <v>1.1200000000000001</v>
      </c>
      <c r="F8" s="62">
        <f t="shared" si="3"/>
        <v>0.44800000000000006</v>
      </c>
      <c r="H8" s="60"/>
      <c r="I8" s="58" t="s">
        <v>58</v>
      </c>
    </row>
    <row r="9" spans="1:12" ht="16" x14ac:dyDescent="0.15">
      <c r="A9" s="153" t="s">
        <v>264</v>
      </c>
      <c r="B9" s="154">
        <v>1.08</v>
      </c>
      <c r="C9" s="62">
        <f t="shared" si="0"/>
        <v>5.4</v>
      </c>
      <c r="D9" s="160">
        <f t="shared" si="1"/>
        <v>0.54</v>
      </c>
      <c r="E9" s="62">
        <f t="shared" si="2"/>
        <v>0.27</v>
      </c>
      <c r="F9" s="62">
        <f t="shared" si="3"/>
        <v>0.10800000000000001</v>
      </c>
    </row>
    <row r="10" spans="1:12" ht="16" x14ac:dyDescent="0.15">
      <c r="A10" s="153" t="s">
        <v>265</v>
      </c>
      <c r="B10" s="154">
        <v>1.41</v>
      </c>
      <c r="C10" s="62">
        <f t="shared" si="0"/>
        <v>7.05</v>
      </c>
      <c r="D10" s="160">
        <f t="shared" si="1"/>
        <v>0.70499999999999996</v>
      </c>
      <c r="E10" s="62">
        <f t="shared" si="2"/>
        <v>0.35249999999999998</v>
      </c>
      <c r="F10" s="62">
        <f t="shared" si="3"/>
        <v>0.14099999999999999</v>
      </c>
    </row>
    <row r="11" spans="1:12" ht="16" x14ac:dyDescent="0.15">
      <c r="A11" s="153" t="s">
        <v>266</v>
      </c>
      <c r="B11" s="154">
        <v>26.2</v>
      </c>
      <c r="C11" s="62">
        <f t="shared" si="0"/>
        <v>131</v>
      </c>
      <c r="D11" s="161">
        <f t="shared" si="1"/>
        <v>13.100000000000001</v>
      </c>
      <c r="E11" s="62">
        <f t="shared" si="2"/>
        <v>6.5500000000000007</v>
      </c>
      <c r="F11" s="62">
        <f t="shared" si="3"/>
        <v>2.62</v>
      </c>
    </row>
    <row r="12" spans="1:12" ht="16" x14ac:dyDescent="0.15">
      <c r="A12" s="153" t="s">
        <v>267</v>
      </c>
      <c r="B12" s="154">
        <v>30.2</v>
      </c>
      <c r="C12" s="62">
        <f t="shared" si="0"/>
        <v>151</v>
      </c>
      <c r="D12" s="161">
        <f t="shared" si="1"/>
        <v>15.1</v>
      </c>
      <c r="E12" s="62">
        <f t="shared" si="2"/>
        <v>7.55</v>
      </c>
      <c r="F12" s="62">
        <f t="shared" si="3"/>
        <v>3.02</v>
      </c>
    </row>
    <row r="13" spans="1:12" ht="16" x14ac:dyDescent="0.15">
      <c r="A13" s="153" t="s">
        <v>268</v>
      </c>
      <c r="B13" s="154">
        <v>19.7</v>
      </c>
      <c r="C13" s="62">
        <f t="shared" si="0"/>
        <v>98.5</v>
      </c>
      <c r="D13" s="161">
        <f t="shared" si="1"/>
        <v>9.85</v>
      </c>
      <c r="E13" s="62">
        <f t="shared" si="2"/>
        <v>4.9249999999999998</v>
      </c>
      <c r="F13" s="62">
        <f t="shared" si="3"/>
        <v>1.9699999999999998</v>
      </c>
    </row>
    <row r="14" spans="1:12" ht="16" x14ac:dyDescent="0.15">
      <c r="A14" s="153" t="s">
        <v>269</v>
      </c>
      <c r="B14" s="112">
        <v>23.2</v>
      </c>
      <c r="C14" s="62">
        <f t="shared" ref="C14:C25" si="4">B14*5</f>
        <v>116</v>
      </c>
      <c r="D14" s="161">
        <f t="shared" si="1"/>
        <v>11.6</v>
      </c>
      <c r="E14" s="62">
        <f t="shared" si="2"/>
        <v>5.8</v>
      </c>
      <c r="F14" s="62">
        <f t="shared" si="3"/>
        <v>2.3199999999999998</v>
      </c>
    </row>
    <row r="15" spans="1:12" ht="18" x14ac:dyDescent="0.15">
      <c r="A15" s="153" t="s">
        <v>270</v>
      </c>
      <c r="B15" s="112">
        <v>106</v>
      </c>
      <c r="C15" s="62">
        <f t="shared" si="4"/>
        <v>530</v>
      </c>
      <c r="D15" s="62">
        <f>B15/10*5</f>
        <v>53</v>
      </c>
      <c r="E15" s="62">
        <f t="shared" si="2"/>
        <v>26.5</v>
      </c>
      <c r="F15" s="62">
        <f t="shared" si="3"/>
        <v>10.600000000000001</v>
      </c>
      <c r="G15" s="159">
        <f>C15/100</f>
        <v>5.3</v>
      </c>
    </row>
    <row r="16" spans="1:12" ht="16" x14ac:dyDescent="0.15">
      <c r="A16" s="153"/>
      <c r="B16" s="112"/>
      <c r="C16" s="62">
        <f t="shared" si="4"/>
        <v>0</v>
      </c>
      <c r="D16" s="62">
        <f t="shared" si="1"/>
        <v>0</v>
      </c>
      <c r="E16" s="62">
        <f t="shared" si="2"/>
        <v>0</v>
      </c>
      <c r="F16" s="62">
        <f t="shared" si="3"/>
        <v>0</v>
      </c>
    </row>
    <row r="17" spans="1:6" ht="16" x14ac:dyDescent="0.15">
      <c r="A17" s="153"/>
      <c r="B17" s="112"/>
      <c r="C17" s="62">
        <f t="shared" si="4"/>
        <v>0</v>
      </c>
      <c r="D17" s="62">
        <f t="shared" si="1"/>
        <v>0</v>
      </c>
      <c r="E17" s="62">
        <f t="shared" si="2"/>
        <v>0</v>
      </c>
      <c r="F17" s="62">
        <f t="shared" si="3"/>
        <v>0</v>
      </c>
    </row>
    <row r="18" spans="1:6" ht="16" x14ac:dyDescent="0.15">
      <c r="A18" s="153" t="s">
        <v>256</v>
      </c>
      <c r="B18" s="112"/>
      <c r="C18" s="62">
        <f t="shared" si="4"/>
        <v>0</v>
      </c>
      <c r="D18" s="62">
        <f t="shared" si="1"/>
        <v>0</v>
      </c>
      <c r="E18" s="62">
        <f t="shared" si="2"/>
        <v>0</v>
      </c>
      <c r="F18" s="62">
        <f t="shared" si="3"/>
        <v>0</v>
      </c>
    </row>
    <row r="19" spans="1:6" ht="16" x14ac:dyDescent="0.15">
      <c r="A19" s="111"/>
      <c r="B19" s="112"/>
      <c r="C19" s="62">
        <f t="shared" si="4"/>
        <v>0</v>
      </c>
      <c r="D19" s="62">
        <f t="shared" si="1"/>
        <v>0</v>
      </c>
      <c r="E19" s="62">
        <f t="shared" si="2"/>
        <v>0</v>
      </c>
      <c r="F19" s="62">
        <f t="shared" si="3"/>
        <v>0</v>
      </c>
    </row>
    <row r="20" spans="1:6" ht="16" x14ac:dyDescent="0.15">
      <c r="A20" s="111"/>
      <c r="B20" s="112"/>
      <c r="C20" s="62">
        <f t="shared" si="4"/>
        <v>0</v>
      </c>
      <c r="D20" s="62">
        <f t="shared" si="1"/>
        <v>0</v>
      </c>
      <c r="E20" s="62">
        <f t="shared" si="2"/>
        <v>0</v>
      </c>
      <c r="F20" s="62">
        <f t="shared" si="3"/>
        <v>0</v>
      </c>
    </row>
    <row r="21" spans="1:6" ht="16" x14ac:dyDescent="0.15">
      <c r="A21" s="111"/>
      <c r="B21" s="112"/>
      <c r="C21" s="62">
        <f t="shared" si="4"/>
        <v>0</v>
      </c>
      <c r="D21" s="62">
        <f t="shared" si="1"/>
        <v>0</v>
      </c>
      <c r="E21" s="62">
        <f t="shared" si="2"/>
        <v>0</v>
      </c>
      <c r="F21" s="62">
        <f t="shared" si="3"/>
        <v>0</v>
      </c>
    </row>
    <row r="22" spans="1:6" ht="16" x14ac:dyDescent="0.15">
      <c r="A22" s="111"/>
      <c r="B22" s="112"/>
      <c r="C22" s="62">
        <f t="shared" si="4"/>
        <v>0</v>
      </c>
      <c r="D22" s="62">
        <f t="shared" si="1"/>
        <v>0</v>
      </c>
      <c r="E22" s="62">
        <f t="shared" si="2"/>
        <v>0</v>
      </c>
      <c r="F22" s="62">
        <f t="shared" si="3"/>
        <v>0</v>
      </c>
    </row>
    <row r="23" spans="1:6" ht="16" x14ac:dyDescent="0.15">
      <c r="A23" s="111"/>
      <c r="B23" s="112"/>
      <c r="C23" s="62">
        <f t="shared" si="4"/>
        <v>0</v>
      </c>
      <c r="D23" s="62">
        <f t="shared" si="1"/>
        <v>0</v>
      </c>
      <c r="E23" s="62">
        <f t="shared" si="2"/>
        <v>0</v>
      </c>
      <c r="F23" s="62">
        <f t="shared" si="3"/>
        <v>0</v>
      </c>
    </row>
    <row r="24" spans="1:6" ht="16" x14ac:dyDescent="0.15">
      <c r="A24" s="111"/>
      <c r="B24" s="112"/>
      <c r="C24" s="62">
        <f t="shared" si="4"/>
        <v>0</v>
      </c>
      <c r="D24" s="62">
        <f t="shared" si="1"/>
        <v>0</v>
      </c>
      <c r="E24" s="62">
        <f t="shared" si="2"/>
        <v>0</v>
      </c>
      <c r="F24" s="62">
        <f t="shared" si="3"/>
        <v>0</v>
      </c>
    </row>
    <row r="25" spans="1:6" ht="17" thickBot="1" x14ac:dyDescent="0.2">
      <c r="A25" s="111"/>
      <c r="B25" s="113"/>
      <c r="C25" s="63">
        <f t="shared" si="4"/>
        <v>0</v>
      </c>
      <c r="D25" s="63">
        <f t="shared" si="1"/>
        <v>0</v>
      </c>
      <c r="E25" s="62">
        <f t="shared" si="2"/>
        <v>0</v>
      </c>
      <c r="F25" s="62">
        <f t="shared" si="3"/>
        <v>0</v>
      </c>
    </row>
  </sheetData>
  <mergeCells count="3">
    <mergeCell ref="G3:H4"/>
    <mergeCell ref="I3:L3"/>
    <mergeCell ref="I4:L4"/>
  </mergeCells>
  <phoneticPr fontId="3" type="noConversion"/>
  <conditionalFormatting sqref="C2:C17">
    <cfRule type="cellIs" dxfId="8" priority="3" operator="lessThan">
      <formula>50</formula>
    </cfRule>
    <cfRule type="cellIs" dxfId="7" priority="4" operator="greaterThanOrEqual">
      <formula>50</formula>
    </cfRule>
  </conditionalFormatting>
  <conditionalFormatting sqref="C18:C25">
    <cfRule type="cellIs" dxfId="6" priority="25" operator="greaterThanOrEqual">
      <formula>100</formula>
    </cfRule>
  </conditionalFormatting>
  <conditionalFormatting sqref="D15">
    <cfRule type="cellIs" dxfId="5" priority="1" operator="lessThan">
      <formula>50</formula>
    </cfRule>
    <cfRule type="cellIs" dxfId="4" priority="2" operator="greaterThanOrEqual">
      <formula>50</formula>
    </cfRule>
  </conditionalFormatting>
  <conditionalFormatting sqref="D2:F14 E15:G15 D16:F17 C18:F25">
    <cfRule type="cellIs" dxfId="3" priority="5" operator="lessThan">
      <formula>100</formula>
    </cfRule>
  </conditionalFormatting>
  <conditionalFormatting sqref="D2:F14 E15:G15 D16:F25">
    <cfRule type="cellIs" dxfId="2" priority="6" operator="greaterThanOrEqual">
      <formula>100</formula>
    </cfRule>
  </conditionalFormatting>
  <pageMargins left="0.75" right="0.75" top="1" bottom="1" header="0.5" footer="0.5"/>
  <pageSetup scale="75" orientation="landscape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54"/>
  <sheetViews>
    <sheetView zoomScale="140" zoomScaleNormal="140" workbookViewId="0">
      <selection activeCell="B9" sqref="B9"/>
    </sheetView>
  </sheetViews>
  <sheetFormatPr baseColWidth="10" defaultColWidth="8.83203125" defaultRowHeight="13" x14ac:dyDescent="0.15"/>
  <cols>
    <col min="1" max="1" width="2.5" style="9" customWidth="1"/>
    <col min="2" max="7" width="10.5" style="9" customWidth="1"/>
    <col min="8" max="8" width="9" style="9" customWidth="1"/>
    <col min="9" max="15" width="8.5" style="9" customWidth="1"/>
    <col min="16" max="16" width="5.1640625" style="9" customWidth="1"/>
    <col min="17" max="17" width="15.1640625" style="9" customWidth="1"/>
    <col min="18" max="18" width="8.5" style="9" customWidth="1"/>
    <col min="19" max="19" width="12.1640625" style="9" customWidth="1"/>
    <col min="20" max="20" width="11.5" style="9" customWidth="1"/>
    <col min="21" max="25" width="8.5" style="9" customWidth="1"/>
    <col min="26" max="26" width="6.5" style="9" customWidth="1"/>
    <col min="27" max="27" width="9.5" style="9" customWidth="1"/>
    <col min="28" max="16384" width="8.83203125" style="9"/>
  </cols>
  <sheetData>
    <row r="1" spans="1:21" s="5" customFormat="1" x14ac:dyDescent="0.15">
      <c r="B1" s="180" t="s">
        <v>59</v>
      </c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</row>
    <row r="2" spans="1:21" ht="14" thickBot="1" x14ac:dyDescent="0.2">
      <c r="B2" s="5"/>
      <c r="N2" s="188" t="s">
        <v>60</v>
      </c>
      <c r="O2" s="188" t="s">
        <v>61</v>
      </c>
    </row>
    <row r="3" spans="1:21" ht="18" x14ac:dyDescent="0.15">
      <c r="A3" s="34" t="s">
        <v>22</v>
      </c>
      <c r="B3" s="35">
        <v>1</v>
      </c>
      <c r="C3" s="35">
        <v>2</v>
      </c>
      <c r="D3" s="35">
        <v>3</v>
      </c>
      <c r="E3" s="35">
        <v>4</v>
      </c>
      <c r="F3" s="35">
        <v>5</v>
      </c>
      <c r="G3" s="35">
        <v>6</v>
      </c>
      <c r="H3" s="35">
        <v>7</v>
      </c>
      <c r="I3" s="35">
        <v>8</v>
      </c>
      <c r="J3" s="35">
        <v>9</v>
      </c>
      <c r="K3" s="35">
        <v>10</v>
      </c>
      <c r="L3" s="35">
        <v>11</v>
      </c>
      <c r="M3" s="35">
        <v>12</v>
      </c>
      <c r="N3" s="188"/>
      <c r="O3" s="188"/>
    </row>
    <row r="4" spans="1:21" ht="18" x14ac:dyDescent="0.15">
      <c r="A4" s="36" t="s">
        <v>42</v>
      </c>
      <c r="B4" s="37" t="s">
        <v>62</v>
      </c>
      <c r="C4" s="37" t="s">
        <v>62</v>
      </c>
      <c r="D4" s="37" t="s">
        <v>62</v>
      </c>
      <c r="E4" s="37" t="s">
        <v>63</v>
      </c>
      <c r="F4" s="37" t="s">
        <v>63</v>
      </c>
      <c r="G4" s="37" t="s">
        <v>63</v>
      </c>
      <c r="H4" s="38" t="s">
        <v>42</v>
      </c>
      <c r="I4" s="38" t="s">
        <v>42</v>
      </c>
      <c r="J4" s="38" t="s">
        <v>42</v>
      </c>
      <c r="K4" s="38" t="s">
        <v>43</v>
      </c>
      <c r="L4" s="38" t="s">
        <v>43</v>
      </c>
      <c r="M4" s="38" t="s">
        <v>43</v>
      </c>
      <c r="N4" s="11">
        <v>9</v>
      </c>
      <c r="O4" s="11">
        <v>3</v>
      </c>
      <c r="Q4" s="39"/>
      <c r="R4" s="39"/>
      <c r="S4" s="39"/>
    </row>
    <row r="5" spans="1:21" ht="18" x14ac:dyDescent="0.15">
      <c r="A5" s="36" t="s">
        <v>43</v>
      </c>
      <c r="B5" s="38" t="s">
        <v>44</v>
      </c>
      <c r="C5" s="38" t="s">
        <v>44</v>
      </c>
      <c r="D5" s="38" t="s">
        <v>44</v>
      </c>
      <c r="E5" s="38" t="s">
        <v>45</v>
      </c>
      <c r="F5" s="38" t="s">
        <v>45</v>
      </c>
      <c r="G5" s="38" t="s">
        <v>45</v>
      </c>
      <c r="H5" s="38" t="s">
        <v>46</v>
      </c>
      <c r="I5" s="38" t="s">
        <v>46</v>
      </c>
      <c r="J5" s="38" t="s">
        <v>46</v>
      </c>
      <c r="K5" s="38" t="s">
        <v>47</v>
      </c>
      <c r="L5" s="38" t="s">
        <v>47</v>
      </c>
      <c r="M5" s="38" t="s">
        <v>47</v>
      </c>
      <c r="N5" s="11">
        <v>12</v>
      </c>
      <c r="O5" s="11"/>
      <c r="Q5" s="40" t="s">
        <v>64</v>
      </c>
      <c r="R5" s="182" t="s">
        <v>65</v>
      </c>
      <c r="S5" s="182"/>
      <c r="T5" s="182"/>
    </row>
    <row r="6" spans="1:21" ht="18" x14ac:dyDescent="0.15">
      <c r="A6" s="36" t="s">
        <v>44</v>
      </c>
      <c r="B6" s="148" t="str">
        <f>Qubit!A2</f>
        <v>Mesa_dust7W</v>
      </c>
      <c r="C6" s="148" t="str">
        <f t="shared" ref="C6:C9" si="0">B6</f>
        <v>Mesa_dust7W</v>
      </c>
      <c r="D6" s="148" t="str">
        <f t="shared" ref="D6:D9" si="1">B6</f>
        <v>Mesa_dust7W</v>
      </c>
      <c r="E6" s="158" t="str">
        <f>Qubit!A3</f>
        <v>Mesa_no_dust7W</v>
      </c>
      <c r="F6" s="158" t="str">
        <f t="shared" ref="F6:F9" si="2">E6</f>
        <v>Mesa_no_dust7W</v>
      </c>
      <c r="G6" s="158" t="str">
        <f t="shared" ref="G6:G9" si="3">E6</f>
        <v>Mesa_no_dust7W</v>
      </c>
      <c r="H6" s="155" t="str">
        <f>Qubit!A4</f>
        <v>Dugan_dust7W</v>
      </c>
      <c r="I6" s="155" t="str">
        <f t="shared" ref="I6:I8" si="4">H6</f>
        <v>Dugan_dust7W</v>
      </c>
      <c r="J6" s="155" t="str">
        <f t="shared" ref="J6:J8" si="5">H6</f>
        <v>Dugan_dust7W</v>
      </c>
      <c r="K6" s="144" t="str">
        <f>Qubit!A5</f>
        <v>Dugan_no_dust7W</v>
      </c>
      <c r="L6" s="144" t="str">
        <f t="shared" ref="L6:L8" si="6">K6</f>
        <v>Dugan_no_dust7W</v>
      </c>
      <c r="M6" s="144" t="str">
        <f t="shared" ref="M6:M8" si="7">K6</f>
        <v>Dugan_no_dust7W</v>
      </c>
      <c r="N6" s="117">
        <f>COUNTA(B6:M6)</f>
        <v>12</v>
      </c>
      <c r="O6" s="12"/>
      <c r="Q6" s="40" t="s">
        <v>66</v>
      </c>
      <c r="R6" s="182" t="s">
        <v>67</v>
      </c>
      <c r="S6" s="182"/>
      <c r="T6" s="182"/>
    </row>
    <row r="7" spans="1:21" ht="18" x14ac:dyDescent="0.15">
      <c r="A7" s="36" t="s">
        <v>45</v>
      </c>
      <c r="B7" s="155" t="str">
        <f>Qubit!A6</f>
        <v>Vert_post_inoc1</v>
      </c>
      <c r="C7" s="155" t="str">
        <f t="shared" si="0"/>
        <v>Vert_post_inoc1</v>
      </c>
      <c r="D7" s="155" t="str">
        <f t="shared" si="1"/>
        <v>Vert_post_inoc1</v>
      </c>
      <c r="E7" s="143" t="str">
        <f>Qubit!A7</f>
        <v>Vert_post_inoc2</v>
      </c>
      <c r="F7" s="143" t="str">
        <f t="shared" si="2"/>
        <v>Vert_post_inoc2</v>
      </c>
      <c r="G7" s="143" t="str">
        <f t="shared" si="3"/>
        <v>Vert_post_inoc2</v>
      </c>
      <c r="H7" s="143" t="str">
        <f>Qubit!A8</f>
        <v>MP_1-3_10W</v>
      </c>
      <c r="I7" s="143" t="str">
        <f t="shared" si="4"/>
        <v>MP_1-3_10W</v>
      </c>
      <c r="J7" s="143" t="str">
        <f t="shared" si="5"/>
        <v>MP_1-3_10W</v>
      </c>
      <c r="K7" s="143" t="str">
        <f>Qubit!A9</f>
        <v>MP_4-6_10W</v>
      </c>
      <c r="L7" s="143" t="str">
        <f t="shared" si="6"/>
        <v>MP_4-6_10W</v>
      </c>
      <c r="M7" s="143" t="str">
        <f t="shared" si="7"/>
        <v>MP_4-6_10W</v>
      </c>
      <c r="N7" s="117">
        <f t="shared" ref="N7:N11" si="8">COUNTA(B7:M7)</f>
        <v>12</v>
      </c>
      <c r="O7" s="11"/>
      <c r="Q7" s="10"/>
    </row>
    <row r="8" spans="1:21" ht="18" x14ac:dyDescent="0.15">
      <c r="A8" s="36" t="s">
        <v>46</v>
      </c>
      <c r="B8" s="143" t="str">
        <f>Qubit!A10</f>
        <v>MP_7-9_10W</v>
      </c>
      <c r="C8" s="143" t="str">
        <f t="shared" si="0"/>
        <v>MP_7-9_10W</v>
      </c>
      <c r="D8" s="143" t="str">
        <f t="shared" si="1"/>
        <v>MP_7-9_10W</v>
      </c>
      <c r="E8" s="143" t="str">
        <f>Qubit!A11</f>
        <v>MP_1-3_2W</v>
      </c>
      <c r="F8" s="143" t="str">
        <f t="shared" si="2"/>
        <v>MP_1-3_2W</v>
      </c>
      <c r="G8" s="143" t="str">
        <f t="shared" si="3"/>
        <v>MP_1-3_2W</v>
      </c>
      <c r="H8" s="143" t="str">
        <f>Qubit!A12</f>
        <v>MP_4-6_2W</v>
      </c>
      <c r="I8" s="143" t="str">
        <f t="shared" si="4"/>
        <v>MP_4-6_2W</v>
      </c>
      <c r="J8" s="143" t="str">
        <f t="shared" si="5"/>
        <v>MP_4-6_2W</v>
      </c>
      <c r="K8" s="143" t="str">
        <f>Qubit!A13</f>
        <v>MP_7-9_2W</v>
      </c>
      <c r="L8" s="143" t="str">
        <f t="shared" si="6"/>
        <v>MP_7-9_2W</v>
      </c>
      <c r="M8" s="143" t="str">
        <f t="shared" si="7"/>
        <v>MP_7-9_2W</v>
      </c>
      <c r="N8" s="117">
        <f t="shared" si="8"/>
        <v>12</v>
      </c>
      <c r="O8" s="11"/>
      <c r="Q8" s="14"/>
    </row>
    <row r="9" spans="1:21" ht="18" x14ac:dyDescent="0.15">
      <c r="A9" s="36" t="s">
        <v>47</v>
      </c>
      <c r="B9" s="147" t="str">
        <f>Qubit!A14</f>
        <v>Vert_FARM</v>
      </c>
      <c r="C9" s="147" t="str">
        <f t="shared" si="0"/>
        <v>Vert_FARM</v>
      </c>
      <c r="D9" s="147" t="str">
        <f t="shared" si="1"/>
        <v>Vert_FARM</v>
      </c>
      <c r="E9" s="147" t="str">
        <f>Qubit!A15</f>
        <v>Vert_Inoculant</v>
      </c>
      <c r="F9" s="147" t="str">
        <f t="shared" si="2"/>
        <v>Vert_Inoculant</v>
      </c>
      <c r="G9" s="147" t="str">
        <f t="shared" si="3"/>
        <v>Vert_Inoculant</v>
      </c>
      <c r="H9" s="143"/>
      <c r="I9" s="143"/>
      <c r="J9" s="143"/>
      <c r="K9" s="143"/>
      <c r="L9" s="143"/>
      <c r="M9" s="143"/>
      <c r="N9" s="117">
        <f t="shared" si="8"/>
        <v>6</v>
      </c>
      <c r="O9" s="11"/>
    </row>
    <row r="10" spans="1:21" ht="18" x14ac:dyDescent="0.15">
      <c r="A10" s="36" t="s">
        <v>48</v>
      </c>
      <c r="B10" s="114"/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7">
        <f t="shared" si="8"/>
        <v>0</v>
      </c>
      <c r="O10" s="11"/>
      <c r="Q10" s="141" t="s">
        <v>246</v>
      </c>
    </row>
    <row r="11" spans="1:21" ht="18" x14ac:dyDescent="0.15">
      <c r="A11" s="36" t="s">
        <v>68</v>
      </c>
      <c r="B11" s="114"/>
      <c r="C11" s="114"/>
      <c r="D11" s="114"/>
      <c r="E11" s="115"/>
      <c r="F11" s="114"/>
      <c r="G11" s="114"/>
      <c r="H11" s="114"/>
      <c r="I11" s="116"/>
      <c r="J11" s="114"/>
      <c r="K11" s="148"/>
      <c r="L11" s="148"/>
      <c r="M11" s="149"/>
      <c r="N11" s="117">
        <f t="shared" si="8"/>
        <v>0</v>
      </c>
      <c r="O11" s="11"/>
    </row>
    <row r="12" spans="1:21" x14ac:dyDescent="0.15">
      <c r="N12" s="5">
        <f>SUM(N4:N11)</f>
        <v>63</v>
      </c>
    </row>
    <row r="13" spans="1:21" ht="17.25" customHeight="1" thickBot="1" x14ac:dyDescent="0.2">
      <c r="A13" s="10"/>
      <c r="K13" s="189"/>
      <c r="L13" s="190"/>
      <c r="M13" s="12" t="s">
        <v>69</v>
      </c>
      <c r="N13" s="11">
        <f>N12+10</f>
        <v>73</v>
      </c>
      <c r="O13" s="11">
        <f>O4+2</f>
        <v>5</v>
      </c>
      <c r="Q13" s="2"/>
      <c r="R13" s="12" t="s">
        <v>70</v>
      </c>
    </row>
    <row r="14" spans="1:21" ht="30" customHeight="1" thickBot="1" x14ac:dyDescent="0.2">
      <c r="B14" s="42"/>
      <c r="C14" s="181" t="s">
        <v>71</v>
      </c>
      <c r="D14" s="181"/>
      <c r="E14" s="181" t="s">
        <v>72</v>
      </c>
      <c r="F14" s="181"/>
      <c r="G14" s="181"/>
      <c r="H14" s="1"/>
      <c r="I14" s="183" t="s">
        <v>73</v>
      </c>
      <c r="J14" s="183"/>
      <c r="K14" s="185"/>
      <c r="L14" s="185"/>
      <c r="M14" s="45" t="s">
        <v>74</v>
      </c>
      <c r="N14" s="43" t="s">
        <v>75</v>
      </c>
      <c r="O14" s="44" t="s">
        <v>76</v>
      </c>
      <c r="Q14" s="3"/>
      <c r="R14" s="13" t="s">
        <v>77</v>
      </c>
      <c r="S14" s="14"/>
      <c r="U14" s="14"/>
    </row>
    <row r="15" spans="1:21" ht="22" customHeight="1" x14ac:dyDescent="0.15">
      <c r="B15" s="41" t="s">
        <v>78</v>
      </c>
      <c r="C15" s="41" t="s">
        <v>79</v>
      </c>
      <c r="D15" s="41" t="s">
        <v>80</v>
      </c>
      <c r="E15" s="41" t="s">
        <v>80</v>
      </c>
      <c r="F15" s="41" t="s">
        <v>81</v>
      </c>
      <c r="G15" s="41" t="s">
        <v>79</v>
      </c>
      <c r="H15" s="1"/>
      <c r="I15" s="180" t="s">
        <v>82</v>
      </c>
      <c r="J15" s="180"/>
      <c r="K15" s="186" t="s">
        <v>83</v>
      </c>
      <c r="L15" s="186"/>
      <c r="M15" s="11">
        <f>(20*0.5)/50</f>
        <v>0.2</v>
      </c>
      <c r="N15" s="11">
        <f>M15*N$13</f>
        <v>14.600000000000001</v>
      </c>
      <c r="O15" s="11"/>
      <c r="Q15" s="46"/>
      <c r="R15" s="15" t="s">
        <v>84</v>
      </c>
      <c r="S15" s="16"/>
      <c r="U15" s="6"/>
    </row>
    <row r="16" spans="1:21" ht="33" thickBot="1" x14ac:dyDescent="0.2">
      <c r="B16" s="4" t="s">
        <v>85</v>
      </c>
      <c r="C16" s="4" t="s">
        <v>86</v>
      </c>
      <c r="D16" s="4" t="s">
        <v>87</v>
      </c>
      <c r="E16" s="4" t="s">
        <v>88</v>
      </c>
      <c r="F16" s="4" t="s">
        <v>89</v>
      </c>
      <c r="G16" s="4" t="s">
        <v>90</v>
      </c>
      <c r="H16" s="1"/>
      <c r="I16" s="180" t="s">
        <v>91</v>
      </c>
      <c r="J16" s="180"/>
      <c r="K16" s="186" t="s">
        <v>92</v>
      </c>
      <c r="L16" s="186"/>
      <c r="M16" s="11">
        <f>(20*0.5)/50</f>
        <v>0.2</v>
      </c>
      <c r="N16" s="11">
        <f>M16*N$13</f>
        <v>14.600000000000001</v>
      </c>
      <c r="O16" s="11"/>
      <c r="Q16" s="17"/>
      <c r="R16" s="18" t="s">
        <v>93</v>
      </c>
      <c r="S16" s="19" t="s">
        <v>40</v>
      </c>
      <c r="U16" s="6"/>
    </row>
    <row r="17" spans="2:21" ht="16" x14ac:dyDescent="0.15">
      <c r="B17" s="7"/>
      <c r="C17" s="8"/>
      <c r="D17" s="7"/>
      <c r="I17" s="180" t="s">
        <v>94</v>
      </c>
      <c r="J17" s="180"/>
      <c r="K17" s="187"/>
      <c r="L17" s="187"/>
      <c r="M17" s="11">
        <v>10</v>
      </c>
      <c r="N17" s="11">
        <f>M17*N$13</f>
        <v>730</v>
      </c>
      <c r="O17" s="11">
        <f>M17*O$13</f>
        <v>50</v>
      </c>
      <c r="Q17" s="17"/>
      <c r="R17" s="18" t="s">
        <v>42</v>
      </c>
      <c r="S17" s="18">
        <v>10000000</v>
      </c>
      <c r="U17" s="6"/>
    </row>
    <row r="18" spans="2:21" ht="16" x14ac:dyDescent="0.15">
      <c r="B18" s="20"/>
      <c r="C18" s="17"/>
      <c r="D18" s="20"/>
      <c r="I18" s="180" t="s">
        <v>95</v>
      </c>
      <c r="J18" s="180"/>
      <c r="K18" s="187"/>
      <c r="L18" s="187"/>
      <c r="M18" s="11">
        <f>M22-(M15+M16+M17)</f>
        <v>4.5999999999999996</v>
      </c>
      <c r="N18" s="21">
        <f>M18*N$13</f>
        <v>335.79999999999995</v>
      </c>
      <c r="O18" s="11">
        <f>(M18*O$13)+(SUM(M15:M16)*O13)</f>
        <v>25</v>
      </c>
      <c r="Q18" s="17"/>
      <c r="R18" s="18" t="s">
        <v>43</v>
      </c>
      <c r="S18" s="18">
        <v>1000000</v>
      </c>
      <c r="U18" s="6"/>
    </row>
    <row r="19" spans="2:21" ht="16" x14ac:dyDescent="0.15">
      <c r="B19" s="20" t="s">
        <v>96</v>
      </c>
      <c r="C19" s="17"/>
      <c r="D19" s="20"/>
      <c r="I19" s="5"/>
      <c r="J19" s="5"/>
      <c r="Q19" s="17"/>
      <c r="R19" s="18" t="s">
        <v>44</v>
      </c>
      <c r="S19" s="18">
        <v>100000</v>
      </c>
      <c r="U19" s="6"/>
    </row>
    <row r="20" spans="2:21" ht="32.25" customHeight="1" x14ac:dyDescent="0.15">
      <c r="B20" s="20" t="s">
        <v>97</v>
      </c>
      <c r="C20" s="17" t="s">
        <v>98</v>
      </c>
      <c r="D20" s="20"/>
      <c r="I20" s="180" t="s">
        <v>54</v>
      </c>
      <c r="J20" s="180"/>
      <c r="K20" s="184" t="s">
        <v>99</v>
      </c>
      <c r="L20" s="184"/>
      <c r="M20" s="11"/>
      <c r="N20" s="12" t="s">
        <v>100</v>
      </c>
      <c r="O20" s="12" t="s">
        <v>100</v>
      </c>
      <c r="Q20" s="17"/>
      <c r="R20" s="18" t="s">
        <v>45</v>
      </c>
      <c r="S20" s="18">
        <v>10000</v>
      </c>
      <c r="U20" s="6"/>
    </row>
    <row r="21" spans="2:21" ht="30" customHeight="1" x14ac:dyDescent="0.15">
      <c r="B21" s="20" t="s">
        <v>101</v>
      </c>
      <c r="C21" s="20" t="s">
        <v>102</v>
      </c>
      <c r="D21" s="20"/>
      <c r="I21" s="5"/>
      <c r="J21" s="5"/>
      <c r="Q21" s="17"/>
      <c r="R21" s="18" t="s">
        <v>46</v>
      </c>
      <c r="S21" s="18">
        <v>1000</v>
      </c>
      <c r="U21" s="6"/>
    </row>
    <row r="22" spans="2:21" ht="16" x14ac:dyDescent="0.15">
      <c r="C22" s="20"/>
      <c r="I22" s="183" t="s">
        <v>103</v>
      </c>
      <c r="J22" s="183"/>
      <c r="K22" s="43"/>
      <c r="L22" s="43"/>
      <c r="M22" s="43">
        <v>15</v>
      </c>
      <c r="N22" s="43">
        <f>SUM(N15:N18)</f>
        <v>1095</v>
      </c>
      <c r="O22" s="43">
        <f>SUM(O15:O18)</f>
        <v>75</v>
      </c>
      <c r="R22" s="18" t="s">
        <v>47</v>
      </c>
      <c r="S22" s="18">
        <v>100</v>
      </c>
      <c r="U22" s="6"/>
    </row>
    <row r="23" spans="2:21" x14ac:dyDescent="0.15">
      <c r="B23" s="88" t="s">
        <v>104</v>
      </c>
      <c r="R23" s="18" t="s">
        <v>48</v>
      </c>
      <c r="S23" s="18">
        <v>10</v>
      </c>
    </row>
    <row r="24" spans="2:21" x14ac:dyDescent="0.15">
      <c r="B24" s="88" t="s">
        <v>105</v>
      </c>
      <c r="R24" s="18" t="s">
        <v>68</v>
      </c>
      <c r="S24" s="18">
        <v>1</v>
      </c>
    </row>
    <row r="26" spans="2:21" x14ac:dyDescent="0.15">
      <c r="H26" s="22"/>
      <c r="I26" s="22"/>
    </row>
    <row r="27" spans="2:21" x14ac:dyDescent="0.15">
      <c r="D27" s="22"/>
      <c r="H27" s="22"/>
      <c r="I27" s="22"/>
    </row>
    <row r="28" spans="2:21" x14ac:dyDescent="0.15">
      <c r="D28" s="22"/>
      <c r="H28" s="22"/>
      <c r="I28" s="22"/>
    </row>
    <row r="29" spans="2:21" x14ac:dyDescent="0.15">
      <c r="D29" s="22"/>
    </row>
    <row r="33" spans="2:12" x14ac:dyDescent="0.15">
      <c r="G33" s="5"/>
    </row>
    <row r="37" spans="2:12" x14ac:dyDescent="0.15">
      <c r="B37" s="23"/>
      <c r="C37" s="20"/>
      <c r="D37" s="20"/>
    </row>
    <row r="38" spans="2:12" x14ac:dyDescent="0.15">
      <c r="B38" s="23"/>
      <c r="C38" s="20"/>
      <c r="D38" s="20"/>
    </row>
    <row r="39" spans="2:12" x14ac:dyDescent="0.15">
      <c r="B39" s="23"/>
      <c r="C39" s="20"/>
      <c r="D39" s="20"/>
    </row>
    <row r="40" spans="2:12" x14ac:dyDescent="0.15">
      <c r="B40" s="23"/>
      <c r="C40" s="20"/>
      <c r="D40" s="20"/>
    </row>
    <row r="41" spans="2:12" x14ac:dyDescent="0.15">
      <c r="B41" s="24"/>
      <c r="C41" s="25"/>
      <c r="D41" s="25"/>
      <c r="E41" s="26"/>
      <c r="F41" s="27"/>
      <c r="G41" s="27"/>
      <c r="H41" s="27"/>
      <c r="I41" s="27"/>
      <c r="J41" s="27"/>
    </row>
    <row r="42" spans="2:12" x14ac:dyDescent="0.15">
      <c r="B42" s="24"/>
      <c r="C42" s="25"/>
      <c r="D42" s="26"/>
      <c r="E42" s="26"/>
      <c r="F42" s="27"/>
      <c r="G42" s="27"/>
      <c r="H42" s="27"/>
      <c r="I42" s="27"/>
      <c r="J42" s="27"/>
    </row>
    <row r="43" spans="2:12" x14ac:dyDescent="0.15">
      <c r="B43" s="28"/>
      <c r="C43" s="27"/>
      <c r="D43" s="27"/>
      <c r="E43" s="27"/>
      <c r="F43" s="27"/>
      <c r="G43" s="27"/>
      <c r="H43" s="27"/>
      <c r="I43" s="26"/>
      <c r="J43" s="27"/>
    </row>
    <row r="44" spans="2:12" x14ac:dyDescent="0.15">
      <c r="B44" s="26"/>
      <c r="C44" s="27"/>
      <c r="D44" s="27"/>
      <c r="E44" s="27"/>
      <c r="F44" s="27"/>
      <c r="G44" s="27"/>
      <c r="H44" s="27"/>
      <c r="I44" s="26"/>
      <c r="J44" s="27"/>
      <c r="L44" s="27"/>
    </row>
    <row r="45" spans="2:12" x14ac:dyDescent="0.15">
      <c r="B45" s="26"/>
      <c r="C45" s="27"/>
      <c r="D45" s="27"/>
      <c r="E45" s="27"/>
      <c r="F45" s="27"/>
      <c r="G45" s="27"/>
      <c r="H45" s="27"/>
      <c r="I45" s="26"/>
      <c r="J45" s="27"/>
    </row>
    <row r="46" spans="2:12" x14ac:dyDescent="0.15">
      <c r="B46" s="28"/>
      <c r="C46" s="27"/>
      <c r="D46" s="27"/>
      <c r="E46" s="27"/>
      <c r="F46" s="27"/>
      <c r="G46" s="27"/>
      <c r="H46" s="27"/>
      <c r="I46" s="26"/>
      <c r="J46" s="27"/>
    </row>
    <row r="47" spans="2:12" x14ac:dyDescent="0.15">
      <c r="B47" s="28"/>
      <c r="C47" s="27"/>
      <c r="D47" s="27"/>
      <c r="E47" s="27"/>
      <c r="F47" s="27"/>
      <c r="G47" s="27"/>
      <c r="H47" s="27"/>
      <c r="I47" s="26"/>
      <c r="J47" s="27"/>
    </row>
    <row r="48" spans="2:12" x14ac:dyDescent="0.15">
      <c r="B48" s="28"/>
      <c r="C48" s="27"/>
      <c r="D48" s="27"/>
      <c r="E48" s="27"/>
      <c r="F48" s="27"/>
      <c r="G48" s="27"/>
      <c r="H48" s="27"/>
      <c r="I48" s="26"/>
      <c r="J48" s="27"/>
    </row>
    <row r="49" spans="2:10" x14ac:dyDescent="0.15">
      <c r="B49" s="28"/>
      <c r="C49" s="27"/>
      <c r="D49" s="27"/>
      <c r="E49" s="29"/>
      <c r="F49" s="27"/>
      <c r="G49" s="27"/>
      <c r="H49" s="27"/>
      <c r="I49" s="27"/>
      <c r="J49" s="27"/>
    </row>
    <row r="50" spans="2:10" x14ac:dyDescent="0.15">
      <c r="B50" s="30"/>
      <c r="C50" s="31"/>
      <c r="D50" s="32"/>
      <c r="E50" s="33"/>
      <c r="F50" s="27"/>
      <c r="G50" s="27"/>
      <c r="H50" s="27"/>
      <c r="I50" s="27"/>
      <c r="J50" s="27"/>
    </row>
    <row r="51" spans="2:10" x14ac:dyDescent="0.15">
      <c r="B51" s="28"/>
      <c r="C51" s="27"/>
      <c r="D51" s="27"/>
      <c r="E51" s="29"/>
      <c r="F51" s="27"/>
      <c r="G51" s="27"/>
      <c r="H51" s="27"/>
      <c r="I51" s="27"/>
      <c r="J51" s="27"/>
    </row>
    <row r="52" spans="2:10" x14ac:dyDescent="0.15">
      <c r="B52" s="27"/>
      <c r="C52" s="27"/>
      <c r="D52" s="27"/>
      <c r="E52" s="27"/>
      <c r="F52" s="27"/>
      <c r="G52" s="27"/>
      <c r="H52" s="27"/>
      <c r="I52" s="27"/>
      <c r="J52" s="27"/>
    </row>
    <row r="53" spans="2:10" x14ac:dyDescent="0.15">
      <c r="B53" s="27"/>
      <c r="C53" s="27"/>
      <c r="D53" s="27"/>
      <c r="E53" s="27"/>
      <c r="F53" s="27"/>
      <c r="G53" s="27"/>
      <c r="H53" s="27"/>
      <c r="I53" s="27"/>
      <c r="J53" s="27"/>
    </row>
    <row r="54" spans="2:10" x14ac:dyDescent="0.15">
      <c r="B54" s="27"/>
      <c r="C54" s="27"/>
      <c r="D54" s="27"/>
      <c r="E54" s="27"/>
      <c r="F54" s="27"/>
      <c r="G54" s="27"/>
      <c r="H54" s="27"/>
      <c r="I54" s="27"/>
      <c r="J54" s="27"/>
    </row>
  </sheetData>
  <mergeCells count="21">
    <mergeCell ref="R5:T5"/>
    <mergeCell ref="R6:T6"/>
    <mergeCell ref="B1:M1"/>
    <mergeCell ref="I22:J22"/>
    <mergeCell ref="K20:L20"/>
    <mergeCell ref="I20:J20"/>
    <mergeCell ref="K14:L14"/>
    <mergeCell ref="K15:L15"/>
    <mergeCell ref="K16:L16"/>
    <mergeCell ref="K17:L17"/>
    <mergeCell ref="I14:J14"/>
    <mergeCell ref="N2:N3"/>
    <mergeCell ref="O2:O3"/>
    <mergeCell ref="K18:L18"/>
    <mergeCell ref="I18:J18"/>
    <mergeCell ref="K13:L13"/>
    <mergeCell ref="I17:J17"/>
    <mergeCell ref="C14:D14"/>
    <mergeCell ref="E14:G14"/>
    <mergeCell ref="I15:J15"/>
    <mergeCell ref="I16:J16"/>
  </mergeCells>
  <phoneticPr fontId="3" type="noConversion"/>
  <pageMargins left="0.25" right="0.25" top="1" bottom="1" header="0.3" footer="0.3"/>
  <pageSetup scale="67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32F50-9666-8E44-861C-80F1F63C6B77}">
  <dimension ref="A1:M100"/>
  <sheetViews>
    <sheetView topLeftCell="A26" workbookViewId="0">
      <selection activeCell="H57" sqref="H57"/>
    </sheetView>
  </sheetViews>
  <sheetFormatPr baseColWidth="10" defaultRowHeight="13" x14ac:dyDescent="0.15"/>
  <cols>
    <col min="1" max="1" width="8.83203125" customWidth="1"/>
    <col min="2" max="2" width="11" bestFit="1" customWidth="1"/>
    <col min="3" max="3" width="25.33203125" customWidth="1"/>
    <col min="4" max="4" width="14.33203125" customWidth="1"/>
    <col min="5" max="8" width="8.83203125" customWidth="1"/>
    <col min="9" max="10" width="13.5" customWidth="1"/>
    <col min="11" max="11" width="13.6640625" customWidth="1"/>
    <col min="12" max="12" width="17" bestFit="1" customWidth="1"/>
    <col min="13" max="253" width="8.83203125" customWidth="1"/>
    <col min="254" max="254" width="14.5" bestFit="1" customWidth="1"/>
    <col min="255" max="259" width="8.83203125" customWidth="1"/>
    <col min="260" max="261" width="13.5" customWidth="1"/>
    <col min="262" max="267" width="0" hidden="1" customWidth="1"/>
    <col min="268" max="268" width="17" bestFit="1" customWidth="1"/>
    <col min="269" max="509" width="8.83203125" customWidth="1"/>
    <col min="510" max="510" width="14.5" bestFit="1" customWidth="1"/>
    <col min="511" max="515" width="8.83203125" customWidth="1"/>
    <col min="516" max="517" width="13.5" customWidth="1"/>
    <col min="518" max="523" width="0" hidden="1" customWidth="1"/>
    <col min="524" max="524" width="17" bestFit="1" customWidth="1"/>
    <col min="525" max="765" width="8.83203125" customWidth="1"/>
    <col min="766" max="766" width="14.5" bestFit="1" customWidth="1"/>
    <col min="767" max="771" width="8.83203125" customWidth="1"/>
    <col min="772" max="773" width="13.5" customWidth="1"/>
    <col min="774" max="779" width="0" hidden="1" customWidth="1"/>
    <col min="780" max="780" width="17" bestFit="1" customWidth="1"/>
    <col min="781" max="1021" width="8.83203125" customWidth="1"/>
    <col min="1022" max="1022" width="14.5" bestFit="1" customWidth="1"/>
    <col min="1023" max="1027" width="8.83203125" customWidth="1"/>
    <col min="1028" max="1029" width="13.5" customWidth="1"/>
    <col min="1030" max="1035" width="0" hidden="1" customWidth="1"/>
    <col min="1036" max="1036" width="17" bestFit="1" customWidth="1"/>
    <col min="1037" max="1277" width="8.83203125" customWidth="1"/>
    <col min="1278" max="1278" width="14.5" bestFit="1" customWidth="1"/>
    <col min="1279" max="1283" width="8.83203125" customWidth="1"/>
    <col min="1284" max="1285" width="13.5" customWidth="1"/>
    <col min="1286" max="1291" width="0" hidden="1" customWidth="1"/>
    <col min="1292" max="1292" width="17" bestFit="1" customWidth="1"/>
    <col min="1293" max="1533" width="8.83203125" customWidth="1"/>
    <col min="1534" max="1534" width="14.5" bestFit="1" customWidth="1"/>
    <col min="1535" max="1539" width="8.83203125" customWidth="1"/>
    <col min="1540" max="1541" width="13.5" customWidth="1"/>
    <col min="1542" max="1547" width="0" hidden="1" customWidth="1"/>
    <col min="1548" max="1548" width="17" bestFit="1" customWidth="1"/>
    <col min="1549" max="1789" width="8.83203125" customWidth="1"/>
    <col min="1790" max="1790" width="14.5" bestFit="1" customWidth="1"/>
    <col min="1791" max="1795" width="8.83203125" customWidth="1"/>
    <col min="1796" max="1797" width="13.5" customWidth="1"/>
    <col min="1798" max="1803" width="0" hidden="1" customWidth="1"/>
    <col min="1804" max="1804" width="17" bestFit="1" customWidth="1"/>
    <col min="1805" max="2045" width="8.83203125" customWidth="1"/>
    <col min="2046" max="2046" width="14.5" bestFit="1" customWidth="1"/>
    <col min="2047" max="2051" width="8.83203125" customWidth="1"/>
    <col min="2052" max="2053" width="13.5" customWidth="1"/>
    <col min="2054" max="2059" width="0" hidden="1" customWidth="1"/>
    <col min="2060" max="2060" width="17" bestFit="1" customWidth="1"/>
    <col min="2061" max="2301" width="8.83203125" customWidth="1"/>
    <col min="2302" max="2302" width="14.5" bestFit="1" customWidth="1"/>
    <col min="2303" max="2307" width="8.83203125" customWidth="1"/>
    <col min="2308" max="2309" width="13.5" customWidth="1"/>
    <col min="2310" max="2315" width="0" hidden="1" customWidth="1"/>
    <col min="2316" max="2316" width="17" bestFit="1" customWidth="1"/>
    <col min="2317" max="2557" width="8.83203125" customWidth="1"/>
    <col min="2558" max="2558" width="14.5" bestFit="1" customWidth="1"/>
    <col min="2559" max="2563" width="8.83203125" customWidth="1"/>
    <col min="2564" max="2565" width="13.5" customWidth="1"/>
    <col min="2566" max="2571" width="0" hidden="1" customWidth="1"/>
    <col min="2572" max="2572" width="17" bestFit="1" customWidth="1"/>
    <col min="2573" max="2813" width="8.83203125" customWidth="1"/>
    <col min="2814" max="2814" width="14.5" bestFit="1" customWidth="1"/>
    <col min="2815" max="2819" width="8.83203125" customWidth="1"/>
    <col min="2820" max="2821" width="13.5" customWidth="1"/>
    <col min="2822" max="2827" width="0" hidden="1" customWidth="1"/>
    <col min="2828" max="2828" width="17" bestFit="1" customWidth="1"/>
    <col min="2829" max="3069" width="8.83203125" customWidth="1"/>
    <col min="3070" max="3070" width="14.5" bestFit="1" customWidth="1"/>
    <col min="3071" max="3075" width="8.83203125" customWidth="1"/>
    <col min="3076" max="3077" width="13.5" customWidth="1"/>
    <col min="3078" max="3083" width="0" hidden="1" customWidth="1"/>
    <col min="3084" max="3084" width="17" bestFit="1" customWidth="1"/>
    <col min="3085" max="3325" width="8.83203125" customWidth="1"/>
    <col min="3326" max="3326" width="14.5" bestFit="1" customWidth="1"/>
    <col min="3327" max="3331" width="8.83203125" customWidth="1"/>
    <col min="3332" max="3333" width="13.5" customWidth="1"/>
    <col min="3334" max="3339" width="0" hidden="1" customWidth="1"/>
    <col min="3340" max="3340" width="17" bestFit="1" customWidth="1"/>
    <col min="3341" max="3581" width="8.83203125" customWidth="1"/>
    <col min="3582" max="3582" width="14.5" bestFit="1" customWidth="1"/>
    <col min="3583" max="3587" width="8.83203125" customWidth="1"/>
    <col min="3588" max="3589" width="13.5" customWidth="1"/>
    <col min="3590" max="3595" width="0" hidden="1" customWidth="1"/>
    <col min="3596" max="3596" width="17" bestFit="1" customWidth="1"/>
    <col min="3597" max="3837" width="8.83203125" customWidth="1"/>
    <col min="3838" max="3838" width="14.5" bestFit="1" customWidth="1"/>
    <col min="3839" max="3843" width="8.83203125" customWidth="1"/>
    <col min="3844" max="3845" width="13.5" customWidth="1"/>
    <col min="3846" max="3851" width="0" hidden="1" customWidth="1"/>
    <col min="3852" max="3852" width="17" bestFit="1" customWidth="1"/>
    <col min="3853" max="4093" width="8.83203125" customWidth="1"/>
    <col min="4094" max="4094" width="14.5" bestFit="1" customWidth="1"/>
    <col min="4095" max="4099" width="8.83203125" customWidth="1"/>
    <col min="4100" max="4101" width="13.5" customWidth="1"/>
    <col min="4102" max="4107" width="0" hidden="1" customWidth="1"/>
    <col min="4108" max="4108" width="17" bestFit="1" customWidth="1"/>
    <col min="4109" max="4349" width="8.83203125" customWidth="1"/>
    <col min="4350" max="4350" width="14.5" bestFit="1" customWidth="1"/>
    <col min="4351" max="4355" width="8.83203125" customWidth="1"/>
    <col min="4356" max="4357" width="13.5" customWidth="1"/>
    <col min="4358" max="4363" width="0" hidden="1" customWidth="1"/>
    <col min="4364" max="4364" width="17" bestFit="1" customWidth="1"/>
    <col min="4365" max="4605" width="8.83203125" customWidth="1"/>
    <col min="4606" max="4606" width="14.5" bestFit="1" customWidth="1"/>
    <col min="4607" max="4611" width="8.83203125" customWidth="1"/>
    <col min="4612" max="4613" width="13.5" customWidth="1"/>
    <col min="4614" max="4619" width="0" hidden="1" customWidth="1"/>
    <col min="4620" max="4620" width="17" bestFit="1" customWidth="1"/>
    <col min="4621" max="4861" width="8.83203125" customWidth="1"/>
    <col min="4862" max="4862" width="14.5" bestFit="1" customWidth="1"/>
    <col min="4863" max="4867" width="8.83203125" customWidth="1"/>
    <col min="4868" max="4869" width="13.5" customWidth="1"/>
    <col min="4870" max="4875" width="0" hidden="1" customWidth="1"/>
    <col min="4876" max="4876" width="17" bestFit="1" customWidth="1"/>
    <col min="4877" max="5117" width="8.83203125" customWidth="1"/>
    <col min="5118" max="5118" width="14.5" bestFit="1" customWidth="1"/>
    <col min="5119" max="5123" width="8.83203125" customWidth="1"/>
    <col min="5124" max="5125" width="13.5" customWidth="1"/>
    <col min="5126" max="5131" width="0" hidden="1" customWidth="1"/>
    <col min="5132" max="5132" width="17" bestFit="1" customWidth="1"/>
    <col min="5133" max="5373" width="8.83203125" customWidth="1"/>
    <col min="5374" max="5374" width="14.5" bestFit="1" customWidth="1"/>
    <col min="5375" max="5379" width="8.83203125" customWidth="1"/>
    <col min="5380" max="5381" width="13.5" customWidth="1"/>
    <col min="5382" max="5387" width="0" hidden="1" customWidth="1"/>
    <col min="5388" max="5388" width="17" bestFit="1" customWidth="1"/>
    <col min="5389" max="5629" width="8.83203125" customWidth="1"/>
    <col min="5630" max="5630" width="14.5" bestFit="1" customWidth="1"/>
    <col min="5631" max="5635" width="8.83203125" customWidth="1"/>
    <col min="5636" max="5637" width="13.5" customWidth="1"/>
    <col min="5638" max="5643" width="0" hidden="1" customWidth="1"/>
    <col min="5644" max="5644" width="17" bestFit="1" customWidth="1"/>
    <col min="5645" max="5885" width="8.83203125" customWidth="1"/>
    <col min="5886" max="5886" width="14.5" bestFit="1" customWidth="1"/>
    <col min="5887" max="5891" width="8.83203125" customWidth="1"/>
    <col min="5892" max="5893" width="13.5" customWidth="1"/>
    <col min="5894" max="5899" width="0" hidden="1" customWidth="1"/>
    <col min="5900" max="5900" width="17" bestFit="1" customWidth="1"/>
    <col min="5901" max="6141" width="8.83203125" customWidth="1"/>
    <col min="6142" max="6142" width="14.5" bestFit="1" customWidth="1"/>
    <col min="6143" max="6147" width="8.83203125" customWidth="1"/>
    <col min="6148" max="6149" width="13.5" customWidth="1"/>
    <col min="6150" max="6155" width="0" hidden="1" customWidth="1"/>
    <col min="6156" max="6156" width="17" bestFit="1" customWidth="1"/>
    <col min="6157" max="6397" width="8.83203125" customWidth="1"/>
    <col min="6398" max="6398" width="14.5" bestFit="1" customWidth="1"/>
    <col min="6399" max="6403" width="8.83203125" customWidth="1"/>
    <col min="6404" max="6405" width="13.5" customWidth="1"/>
    <col min="6406" max="6411" width="0" hidden="1" customWidth="1"/>
    <col min="6412" max="6412" width="17" bestFit="1" customWidth="1"/>
    <col min="6413" max="6653" width="8.83203125" customWidth="1"/>
    <col min="6654" max="6654" width="14.5" bestFit="1" customWidth="1"/>
    <col min="6655" max="6659" width="8.83203125" customWidth="1"/>
    <col min="6660" max="6661" width="13.5" customWidth="1"/>
    <col min="6662" max="6667" width="0" hidden="1" customWidth="1"/>
    <col min="6668" max="6668" width="17" bestFit="1" customWidth="1"/>
    <col min="6669" max="6909" width="8.83203125" customWidth="1"/>
    <col min="6910" max="6910" width="14.5" bestFit="1" customWidth="1"/>
    <col min="6911" max="6915" width="8.83203125" customWidth="1"/>
    <col min="6916" max="6917" width="13.5" customWidth="1"/>
    <col min="6918" max="6923" width="0" hidden="1" customWidth="1"/>
    <col min="6924" max="6924" width="17" bestFit="1" customWidth="1"/>
    <col min="6925" max="7165" width="8.83203125" customWidth="1"/>
    <col min="7166" max="7166" width="14.5" bestFit="1" customWidth="1"/>
    <col min="7167" max="7171" width="8.83203125" customWidth="1"/>
    <col min="7172" max="7173" width="13.5" customWidth="1"/>
    <col min="7174" max="7179" width="0" hidden="1" customWidth="1"/>
    <col min="7180" max="7180" width="17" bestFit="1" customWidth="1"/>
    <col min="7181" max="7421" width="8.83203125" customWidth="1"/>
    <col min="7422" max="7422" width="14.5" bestFit="1" customWidth="1"/>
    <col min="7423" max="7427" width="8.83203125" customWidth="1"/>
    <col min="7428" max="7429" width="13.5" customWidth="1"/>
    <col min="7430" max="7435" width="0" hidden="1" customWidth="1"/>
    <col min="7436" max="7436" width="17" bestFit="1" customWidth="1"/>
    <col min="7437" max="7677" width="8.83203125" customWidth="1"/>
    <col min="7678" max="7678" width="14.5" bestFit="1" customWidth="1"/>
    <col min="7679" max="7683" width="8.83203125" customWidth="1"/>
    <col min="7684" max="7685" width="13.5" customWidth="1"/>
    <col min="7686" max="7691" width="0" hidden="1" customWidth="1"/>
    <col min="7692" max="7692" width="17" bestFit="1" customWidth="1"/>
    <col min="7693" max="7933" width="8.83203125" customWidth="1"/>
    <col min="7934" max="7934" width="14.5" bestFit="1" customWidth="1"/>
    <col min="7935" max="7939" width="8.83203125" customWidth="1"/>
    <col min="7940" max="7941" width="13.5" customWidth="1"/>
    <col min="7942" max="7947" width="0" hidden="1" customWidth="1"/>
    <col min="7948" max="7948" width="17" bestFit="1" customWidth="1"/>
    <col min="7949" max="8189" width="8.83203125" customWidth="1"/>
    <col min="8190" max="8190" width="14.5" bestFit="1" customWidth="1"/>
    <col min="8191" max="8195" width="8.83203125" customWidth="1"/>
    <col min="8196" max="8197" width="13.5" customWidth="1"/>
    <col min="8198" max="8203" width="0" hidden="1" customWidth="1"/>
    <col min="8204" max="8204" width="17" bestFit="1" customWidth="1"/>
    <col min="8205" max="8445" width="8.83203125" customWidth="1"/>
    <col min="8446" max="8446" width="14.5" bestFit="1" customWidth="1"/>
    <col min="8447" max="8451" width="8.83203125" customWidth="1"/>
    <col min="8452" max="8453" width="13.5" customWidth="1"/>
    <col min="8454" max="8459" width="0" hidden="1" customWidth="1"/>
    <col min="8460" max="8460" width="17" bestFit="1" customWidth="1"/>
    <col min="8461" max="8701" width="8.83203125" customWidth="1"/>
    <col min="8702" max="8702" width="14.5" bestFit="1" customWidth="1"/>
    <col min="8703" max="8707" width="8.83203125" customWidth="1"/>
    <col min="8708" max="8709" width="13.5" customWidth="1"/>
    <col min="8710" max="8715" width="0" hidden="1" customWidth="1"/>
    <col min="8716" max="8716" width="17" bestFit="1" customWidth="1"/>
    <col min="8717" max="8957" width="8.83203125" customWidth="1"/>
    <col min="8958" max="8958" width="14.5" bestFit="1" customWidth="1"/>
    <col min="8959" max="8963" width="8.83203125" customWidth="1"/>
    <col min="8964" max="8965" width="13.5" customWidth="1"/>
    <col min="8966" max="8971" width="0" hidden="1" customWidth="1"/>
    <col min="8972" max="8972" width="17" bestFit="1" customWidth="1"/>
    <col min="8973" max="9213" width="8.83203125" customWidth="1"/>
    <col min="9214" max="9214" width="14.5" bestFit="1" customWidth="1"/>
    <col min="9215" max="9219" width="8.83203125" customWidth="1"/>
    <col min="9220" max="9221" width="13.5" customWidth="1"/>
    <col min="9222" max="9227" width="0" hidden="1" customWidth="1"/>
    <col min="9228" max="9228" width="17" bestFit="1" customWidth="1"/>
    <col min="9229" max="9469" width="8.83203125" customWidth="1"/>
    <col min="9470" max="9470" width="14.5" bestFit="1" customWidth="1"/>
    <col min="9471" max="9475" width="8.83203125" customWidth="1"/>
    <col min="9476" max="9477" width="13.5" customWidth="1"/>
    <col min="9478" max="9483" width="0" hidden="1" customWidth="1"/>
    <col min="9484" max="9484" width="17" bestFit="1" customWidth="1"/>
    <col min="9485" max="9725" width="8.83203125" customWidth="1"/>
    <col min="9726" max="9726" width="14.5" bestFit="1" customWidth="1"/>
    <col min="9727" max="9731" width="8.83203125" customWidth="1"/>
    <col min="9732" max="9733" width="13.5" customWidth="1"/>
    <col min="9734" max="9739" width="0" hidden="1" customWidth="1"/>
    <col min="9740" max="9740" width="17" bestFit="1" customWidth="1"/>
    <col min="9741" max="9981" width="8.83203125" customWidth="1"/>
    <col min="9982" max="9982" width="14.5" bestFit="1" customWidth="1"/>
    <col min="9983" max="9987" width="8.83203125" customWidth="1"/>
    <col min="9988" max="9989" width="13.5" customWidth="1"/>
    <col min="9990" max="9995" width="0" hidden="1" customWidth="1"/>
    <col min="9996" max="9996" width="17" bestFit="1" customWidth="1"/>
    <col min="9997" max="10237" width="8.83203125" customWidth="1"/>
    <col min="10238" max="10238" width="14.5" bestFit="1" customWidth="1"/>
    <col min="10239" max="10243" width="8.83203125" customWidth="1"/>
    <col min="10244" max="10245" width="13.5" customWidth="1"/>
    <col min="10246" max="10251" width="0" hidden="1" customWidth="1"/>
    <col min="10252" max="10252" width="17" bestFit="1" customWidth="1"/>
    <col min="10253" max="10493" width="8.83203125" customWidth="1"/>
    <col min="10494" max="10494" width="14.5" bestFit="1" customWidth="1"/>
    <col min="10495" max="10499" width="8.83203125" customWidth="1"/>
    <col min="10500" max="10501" width="13.5" customWidth="1"/>
    <col min="10502" max="10507" width="0" hidden="1" customWidth="1"/>
    <col min="10508" max="10508" width="17" bestFit="1" customWidth="1"/>
    <col min="10509" max="10749" width="8.83203125" customWidth="1"/>
    <col min="10750" max="10750" width="14.5" bestFit="1" customWidth="1"/>
    <col min="10751" max="10755" width="8.83203125" customWidth="1"/>
    <col min="10756" max="10757" width="13.5" customWidth="1"/>
    <col min="10758" max="10763" width="0" hidden="1" customWidth="1"/>
    <col min="10764" max="10764" width="17" bestFit="1" customWidth="1"/>
    <col min="10765" max="11005" width="8.83203125" customWidth="1"/>
    <col min="11006" max="11006" width="14.5" bestFit="1" customWidth="1"/>
    <col min="11007" max="11011" width="8.83203125" customWidth="1"/>
    <col min="11012" max="11013" width="13.5" customWidth="1"/>
    <col min="11014" max="11019" width="0" hidden="1" customWidth="1"/>
    <col min="11020" max="11020" width="17" bestFit="1" customWidth="1"/>
    <col min="11021" max="11261" width="8.83203125" customWidth="1"/>
    <col min="11262" max="11262" width="14.5" bestFit="1" customWidth="1"/>
    <col min="11263" max="11267" width="8.83203125" customWidth="1"/>
    <col min="11268" max="11269" width="13.5" customWidth="1"/>
    <col min="11270" max="11275" width="0" hidden="1" customWidth="1"/>
    <col min="11276" max="11276" width="17" bestFit="1" customWidth="1"/>
    <col min="11277" max="11517" width="8.83203125" customWidth="1"/>
    <col min="11518" max="11518" width="14.5" bestFit="1" customWidth="1"/>
    <col min="11519" max="11523" width="8.83203125" customWidth="1"/>
    <col min="11524" max="11525" width="13.5" customWidth="1"/>
    <col min="11526" max="11531" width="0" hidden="1" customWidth="1"/>
    <col min="11532" max="11532" width="17" bestFit="1" customWidth="1"/>
    <col min="11533" max="11773" width="8.83203125" customWidth="1"/>
    <col min="11774" max="11774" width="14.5" bestFit="1" customWidth="1"/>
    <col min="11775" max="11779" width="8.83203125" customWidth="1"/>
    <col min="11780" max="11781" width="13.5" customWidth="1"/>
    <col min="11782" max="11787" width="0" hidden="1" customWidth="1"/>
    <col min="11788" max="11788" width="17" bestFit="1" customWidth="1"/>
    <col min="11789" max="12029" width="8.83203125" customWidth="1"/>
    <col min="12030" max="12030" width="14.5" bestFit="1" customWidth="1"/>
    <col min="12031" max="12035" width="8.83203125" customWidth="1"/>
    <col min="12036" max="12037" width="13.5" customWidth="1"/>
    <col min="12038" max="12043" width="0" hidden="1" customWidth="1"/>
    <col min="12044" max="12044" width="17" bestFit="1" customWidth="1"/>
    <col min="12045" max="12285" width="8.83203125" customWidth="1"/>
    <col min="12286" max="12286" width="14.5" bestFit="1" customWidth="1"/>
    <col min="12287" max="12291" width="8.83203125" customWidth="1"/>
    <col min="12292" max="12293" width="13.5" customWidth="1"/>
    <col min="12294" max="12299" width="0" hidden="1" customWidth="1"/>
    <col min="12300" max="12300" width="17" bestFit="1" customWidth="1"/>
    <col min="12301" max="12541" width="8.83203125" customWidth="1"/>
    <col min="12542" max="12542" width="14.5" bestFit="1" customWidth="1"/>
    <col min="12543" max="12547" width="8.83203125" customWidth="1"/>
    <col min="12548" max="12549" width="13.5" customWidth="1"/>
    <col min="12550" max="12555" width="0" hidden="1" customWidth="1"/>
    <col min="12556" max="12556" width="17" bestFit="1" customWidth="1"/>
    <col min="12557" max="12797" width="8.83203125" customWidth="1"/>
    <col min="12798" max="12798" width="14.5" bestFit="1" customWidth="1"/>
    <col min="12799" max="12803" width="8.83203125" customWidth="1"/>
    <col min="12804" max="12805" width="13.5" customWidth="1"/>
    <col min="12806" max="12811" width="0" hidden="1" customWidth="1"/>
    <col min="12812" max="12812" width="17" bestFit="1" customWidth="1"/>
    <col min="12813" max="13053" width="8.83203125" customWidth="1"/>
    <col min="13054" max="13054" width="14.5" bestFit="1" customWidth="1"/>
    <col min="13055" max="13059" width="8.83203125" customWidth="1"/>
    <col min="13060" max="13061" width="13.5" customWidth="1"/>
    <col min="13062" max="13067" width="0" hidden="1" customWidth="1"/>
    <col min="13068" max="13068" width="17" bestFit="1" customWidth="1"/>
    <col min="13069" max="13309" width="8.83203125" customWidth="1"/>
    <col min="13310" max="13310" width="14.5" bestFit="1" customWidth="1"/>
    <col min="13311" max="13315" width="8.83203125" customWidth="1"/>
    <col min="13316" max="13317" width="13.5" customWidth="1"/>
    <col min="13318" max="13323" width="0" hidden="1" customWidth="1"/>
    <col min="13324" max="13324" width="17" bestFit="1" customWidth="1"/>
    <col min="13325" max="13565" width="8.83203125" customWidth="1"/>
    <col min="13566" max="13566" width="14.5" bestFit="1" customWidth="1"/>
    <col min="13567" max="13571" width="8.83203125" customWidth="1"/>
    <col min="13572" max="13573" width="13.5" customWidth="1"/>
    <col min="13574" max="13579" width="0" hidden="1" customWidth="1"/>
    <col min="13580" max="13580" width="17" bestFit="1" customWidth="1"/>
    <col min="13581" max="13821" width="8.83203125" customWidth="1"/>
    <col min="13822" max="13822" width="14.5" bestFit="1" customWidth="1"/>
    <col min="13823" max="13827" width="8.83203125" customWidth="1"/>
    <col min="13828" max="13829" width="13.5" customWidth="1"/>
    <col min="13830" max="13835" width="0" hidden="1" customWidth="1"/>
    <col min="13836" max="13836" width="17" bestFit="1" customWidth="1"/>
    <col min="13837" max="14077" width="8.83203125" customWidth="1"/>
    <col min="14078" max="14078" width="14.5" bestFit="1" customWidth="1"/>
    <col min="14079" max="14083" width="8.83203125" customWidth="1"/>
    <col min="14084" max="14085" width="13.5" customWidth="1"/>
    <col min="14086" max="14091" width="0" hidden="1" customWidth="1"/>
    <col min="14092" max="14092" width="17" bestFit="1" customWidth="1"/>
    <col min="14093" max="14333" width="8.83203125" customWidth="1"/>
    <col min="14334" max="14334" width="14.5" bestFit="1" customWidth="1"/>
    <col min="14335" max="14339" width="8.83203125" customWidth="1"/>
    <col min="14340" max="14341" width="13.5" customWidth="1"/>
    <col min="14342" max="14347" width="0" hidden="1" customWidth="1"/>
    <col min="14348" max="14348" width="17" bestFit="1" customWidth="1"/>
    <col min="14349" max="14589" width="8.83203125" customWidth="1"/>
    <col min="14590" max="14590" width="14.5" bestFit="1" customWidth="1"/>
    <col min="14591" max="14595" width="8.83203125" customWidth="1"/>
    <col min="14596" max="14597" width="13.5" customWidth="1"/>
    <col min="14598" max="14603" width="0" hidden="1" customWidth="1"/>
    <col min="14604" max="14604" width="17" bestFit="1" customWidth="1"/>
    <col min="14605" max="14845" width="8.83203125" customWidth="1"/>
    <col min="14846" max="14846" width="14.5" bestFit="1" customWidth="1"/>
    <col min="14847" max="14851" width="8.83203125" customWidth="1"/>
    <col min="14852" max="14853" width="13.5" customWidth="1"/>
    <col min="14854" max="14859" width="0" hidden="1" customWidth="1"/>
    <col min="14860" max="14860" width="17" bestFit="1" customWidth="1"/>
    <col min="14861" max="15101" width="8.83203125" customWidth="1"/>
    <col min="15102" max="15102" width="14.5" bestFit="1" customWidth="1"/>
    <col min="15103" max="15107" width="8.83203125" customWidth="1"/>
    <col min="15108" max="15109" width="13.5" customWidth="1"/>
    <col min="15110" max="15115" width="0" hidden="1" customWidth="1"/>
    <col min="15116" max="15116" width="17" bestFit="1" customWidth="1"/>
    <col min="15117" max="15357" width="8.83203125" customWidth="1"/>
    <col min="15358" max="15358" width="14.5" bestFit="1" customWidth="1"/>
    <col min="15359" max="15363" width="8.83203125" customWidth="1"/>
    <col min="15364" max="15365" width="13.5" customWidth="1"/>
    <col min="15366" max="15371" width="0" hidden="1" customWidth="1"/>
    <col min="15372" max="15372" width="17" bestFit="1" customWidth="1"/>
    <col min="15373" max="15613" width="8.83203125" customWidth="1"/>
    <col min="15614" max="15614" width="14.5" bestFit="1" customWidth="1"/>
    <col min="15615" max="15619" width="8.83203125" customWidth="1"/>
    <col min="15620" max="15621" width="13.5" customWidth="1"/>
    <col min="15622" max="15627" width="0" hidden="1" customWidth="1"/>
    <col min="15628" max="15628" width="17" bestFit="1" customWidth="1"/>
    <col min="15629" max="15869" width="8.83203125" customWidth="1"/>
    <col min="15870" max="15870" width="14.5" bestFit="1" customWidth="1"/>
    <col min="15871" max="15875" width="8.83203125" customWidth="1"/>
    <col min="15876" max="15877" width="13.5" customWidth="1"/>
    <col min="15878" max="15883" width="0" hidden="1" customWidth="1"/>
    <col min="15884" max="15884" width="17" bestFit="1" customWidth="1"/>
    <col min="15885" max="16125" width="8.83203125" customWidth="1"/>
    <col min="16126" max="16126" width="14.5" bestFit="1" customWidth="1"/>
    <col min="16127" max="16131" width="8.83203125" customWidth="1"/>
    <col min="16132" max="16133" width="13.5" customWidth="1"/>
    <col min="16134" max="16139" width="0" hidden="1" customWidth="1"/>
    <col min="16140" max="16140" width="17" bestFit="1" customWidth="1"/>
    <col min="16141" max="16384" width="8.83203125" customWidth="1"/>
  </cols>
  <sheetData>
    <row r="1" spans="1:11" ht="16" x14ac:dyDescent="0.2">
      <c r="A1" s="118" t="s">
        <v>236</v>
      </c>
    </row>
    <row r="2" spans="1:11" x14ac:dyDescent="0.15">
      <c r="A2" s="122" t="s">
        <v>235</v>
      </c>
      <c r="B2" s="122"/>
      <c r="C2" s="119"/>
    </row>
    <row r="3" spans="1:11" x14ac:dyDescent="0.15">
      <c r="A3" s="122" t="s">
        <v>235</v>
      </c>
      <c r="B3" s="122"/>
      <c r="C3" s="119"/>
    </row>
    <row r="4" spans="1:11" x14ac:dyDescent="0.15">
      <c r="A4" t="s">
        <v>133</v>
      </c>
      <c r="B4" t="s">
        <v>134</v>
      </c>
      <c r="C4" t="s">
        <v>135</v>
      </c>
      <c r="D4" t="s">
        <v>136</v>
      </c>
      <c r="E4" t="s">
        <v>137</v>
      </c>
      <c r="F4" t="s">
        <v>138</v>
      </c>
      <c r="G4" t="s">
        <v>139</v>
      </c>
      <c r="H4" s="145"/>
      <c r="I4" s="145" t="s">
        <v>106</v>
      </c>
      <c r="J4" s="145" t="s">
        <v>140</v>
      </c>
      <c r="K4" s="145" t="s">
        <v>141</v>
      </c>
    </row>
    <row r="5" spans="1:11" x14ac:dyDescent="0.15">
      <c r="A5">
        <v>1</v>
      </c>
      <c r="B5" t="s">
        <v>142</v>
      </c>
      <c r="C5" t="s">
        <v>143</v>
      </c>
      <c r="D5" t="s">
        <v>144</v>
      </c>
      <c r="E5" s="96">
        <v>24.424070358276367</v>
      </c>
      <c r="F5" t="s">
        <v>145</v>
      </c>
      <c r="G5" t="s">
        <v>145</v>
      </c>
      <c r="H5" s="120"/>
      <c r="I5" s="119" t="s">
        <v>145</v>
      </c>
      <c r="J5" s="119" t="s">
        <v>145</v>
      </c>
      <c r="K5" s="119" t="s">
        <v>145</v>
      </c>
    </row>
    <row r="6" spans="1:11" x14ac:dyDescent="0.15">
      <c r="A6">
        <v>2</v>
      </c>
      <c r="B6" t="s">
        <v>126</v>
      </c>
      <c r="C6" t="s">
        <v>143</v>
      </c>
      <c r="D6" t="s">
        <v>144</v>
      </c>
      <c r="E6" s="96">
        <v>24.475160598754883</v>
      </c>
      <c r="F6" t="s">
        <v>145</v>
      </c>
      <c r="G6" t="s">
        <v>145</v>
      </c>
      <c r="H6" s="120"/>
      <c r="I6" s="119" t="s">
        <v>145</v>
      </c>
      <c r="J6" s="119" t="s">
        <v>145</v>
      </c>
      <c r="K6" s="119" t="s">
        <v>145</v>
      </c>
    </row>
    <row r="7" spans="1:11" x14ac:dyDescent="0.15">
      <c r="A7">
        <v>3</v>
      </c>
      <c r="B7" t="s">
        <v>127</v>
      </c>
      <c r="C7" t="s">
        <v>143</v>
      </c>
      <c r="D7" t="s">
        <v>144</v>
      </c>
      <c r="E7" s="96">
        <v>24.315486907958984</v>
      </c>
      <c r="F7" s="96">
        <f>AVERAGE(E5:E7)</f>
        <v>24.404905954996746</v>
      </c>
      <c r="G7" t="s">
        <v>145</v>
      </c>
      <c r="H7" s="120"/>
      <c r="I7" s="119" t="s">
        <v>145</v>
      </c>
      <c r="J7" s="119" t="s">
        <v>145</v>
      </c>
      <c r="K7" s="119" t="s">
        <v>145</v>
      </c>
    </row>
    <row r="8" spans="1:11" x14ac:dyDescent="0.15">
      <c r="A8">
        <v>4</v>
      </c>
      <c r="B8" t="s">
        <v>128</v>
      </c>
      <c r="C8" t="s">
        <v>146</v>
      </c>
      <c r="D8" t="s">
        <v>144</v>
      </c>
      <c r="E8" t="s">
        <v>253</v>
      </c>
      <c r="F8" t="s">
        <v>145</v>
      </c>
      <c r="G8" t="s">
        <v>145</v>
      </c>
      <c r="H8" s="119"/>
      <c r="I8" s="119" t="s">
        <v>145</v>
      </c>
      <c r="J8" s="119" t="s">
        <v>145</v>
      </c>
      <c r="K8" s="119" t="s">
        <v>145</v>
      </c>
    </row>
    <row r="9" spans="1:11" x14ac:dyDescent="0.15">
      <c r="A9">
        <v>5</v>
      </c>
      <c r="B9" t="s">
        <v>129</v>
      </c>
      <c r="C9" t="s">
        <v>146</v>
      </c>
      <c r="D9" t="s">
        <v>144</v>
      </c>
      <c r="E9" t="s">
        <v>253</v>
      </c>
      <c r="F9" t="s">
        <v>145</v>
      </c>
      <c r="G9" t="s">
        <v>145</v>
      </c>
      <c r="H9" s="119"/>
      <c r="I9" s="119" t="s">
        <v>145</v>
      </c>
      <c r="J9" s="119" t="s">
        <v>145</v>
      </c>
      <c r="K9" s="119" t="s">
        <v>145</v>
      </c>
    </row>
    <row r="10" spans="1:11" x14ac:dyDescent="0.15">
      <c r="A10">
        <v>6</v>
      </c>
      <c r="B10" t="s">
        <v>147</v>
      </c>
      <c r="C10" t="s">
        <v>146</v>
      </c>
      <c r="D10" t="s">
        <v>144</v>
      </c>
      <c r="E10" t="s">
        <v>253</v>
      </c>
      <c r="F10" t="s">
        <v>145</v>
      </c>
      <c r="G10" t="s">
        <v>145</v>
      </c>
      <c r="H10" s="119"/>
      <c r="I10" s="119" t="s">
        <v>145</v>
      </c>
      <c r="J10" s="119" t="s">
        <v>145</v>
      </c>
      <c r="K10" s="119" t="s">
        <v>145</v>
      </c>
    </row>
    <row r="11" spans="1:11" x14ac:dyDescent="0.15">
      <c r="A11">
        <v>7</v>
      </c>
      <c r="B11" t="s">
        <v>148</v>
      </c>
      <c r="C11" t="s">
        <v>42</v>
      </c>
      <c r="D11" t="s">
        <v>149</v>
      </c>
      <c r="E11" s="96">
        <v>9.0194368362426758</v>
      </c>
      <c r="F11" s="96">
        <v>9.161595344543457</v>
      </c>
      <c r="G11" s="96">
        <v>0.14406806230545044</v>
      </c>
      <c r="H11" s="121"/>
      <c r="I11" s="96">
        <v>10000000</v>
      </c>
      <c r="J11" s="96">
        <v>10000000</v>
      </c>
      <c r="K11" s="119" t="s">
        <v>145</v>
      </c>
    </row>
    <row r="12" spans="1:11" x14ac:dyDescent="0.15">
      <c r="A12">
        <v>8</v>
      </c>
      <c r="B12" t="s">
        <v>150</v>
      </c>
      <c r="C12" t="s">
        <v>42</v>
      </c>
      <c r="D12" t="s">
        <v>149</v>
      </c>
      <c r="E12" s="96">
        <v>9.1578493118286133</v>
      </c>
      <c r="F12" s="96">
        <v>9.161595344543457</v>
      </c>
      <c r="G12" s="96">
        <v>0.14406806230545044</v>
      </c>
      <c r="H12" s="121"/>
      <c r="I12" s="96">
        <v>10000000</v>
      </c>
      <c r="J12" s="96">
        <v>10000000</v>
      </c>
      <c r="K12" s="119" t="s">
        <v>145</v>
      </c>
    </row>
    <row r="13" spans="1:11" x14ac:dyDescent="0.15">
      <c r="A13">
        <v>9</v>
      </c>
      <c r="B13" t="s">
        <v>151</v>
      </c>
      <c r="C13" t="s">
        <v>42</v>
      </c>
      <c r="D13" t="s">
        <v>149</v>
      </c>
      <c r="E13" s="96">
        <v>9.307499885559082</v>
      </c>
      <c r="F13" s="96">
        <v>9.161595344543457</v>
      </c>
      <c r="G13" s="96">
        <v>0.14406806230545044</v>
      </c>
      <c r="H13" s="121"/>
      <c r="I13" s="96">
        <v>10000000</v>
      </c>
      <c r="J13" s="96">
        <v>10000000</v>
      </c>
      <c r="K13" s="119" t="s">
        <v>145</v>
      </c>
    </row>
    <row r="14" spans="1:11" x14ac:dyDescent="0.15">
      <c r="A14">
        <v>10</v>
      </c>
      <c r="B14" t="s">
        <v>130</v>
      </c>
      <c r="C14" t="s">
        <v>43</v>
      </c>
      <c r="D14" t="s">
        <v>149</v>
      </c>
      <c r="E14" s="163">
        <v>12.68223762512207</v>
      </c>
      <c r="F14" s="96">
        <v>12.215347290039062</v>
      </c>
      <c r="G14" s="96">
        <v>0.40433892607688904</v>
      </c>
      <c r="H14" s="121"/>
      <c r="I14" s="96">
        <v>1000000</v>
      </c>
      <c r="J14" s="96">
        <v>1000000</v>
      </c>
      <c r="K14" s="119" t="s">
        <v>145</v>
      </c>
    </row>
    <row r="15" spans="1:11" x14ac:dyDescent="0.15">
      <c r="A15">
        <v>11</v>
      </c>
      <c r="B15" t="s">
        <v>131</v>
      </c>
      <c r="C15" t="s">
        <v>43</v>
      </c>
      <c r="D15" t="s">
        <v>149</v>
      </c>
      <c r="E15" s="96">
        <v>11.981705665588379</v>
      </c>
      <c r="F15" s="96">
        <v>12.215347290039062</v>
      </c>
      <c r="G15" s="96">
        <v>0.40433892607688904</v>
      </c>
      <c r="H15" s="121"/>
      <c r="I15" s="96">
        <v>1000000</v>
      </c>
      <c r="J15" s="96">
        <v>1000000</v>
      </c>
      <c r="K15" s="119" t="s">
        <v>145</v>
      </c>
    </row>
    <row r="16" spans="1:11" x14ac:dyDescent="0.15">
      <c r="A16">
        <v>12</v>
      </c>
      <c r="B16" t="s">
        <v>132</v>
      </c>
      <c r="C16" t="s">
        <v>43</v>
      </c>
      <c r="D16" t="s">
        <v>149</v>
      </c>
      <c r="E16" s="96">
        <v>11.982098579406738</v>
      </c>
      <c r="F16" s="96">
        <v>12.215347290039062</v>
      </c>
      <c r="G16" s="96">
        <v>0.40433892607688904</v>
      </c>
      <c r="H16" s="121"/>
      <c r="I16" s="96">
        <v>1000000</v>
      </c>
      <c r="J16" s="96">
        <v>1000000</v>
      </c>
      <c r="K16" s="119" t="s">
        <v>145</v>
      </c>
    </row>
    <row r="17" spans="1:13" x14ac:dyDescent="0.15">
      <c r="A17">
        <v>13</v>
      </c>
      <c r="B17" t="s">
        <v>152</v>
      </c>
      <c r="C17" t="s">
        <v>44</v>
      </c>
      <c r="D17" t="s">
        <v>149</v>
      </c>
      <c r="E17" s="96">
        <v>15.94882869720459</v>
      </c>
      <c r="F17" s="96">
        <v>16.58332633972168</v>
      </c>
      <c r="G17" s="96">
        <v>0.54949474334716797</v>
      </c>
      <c r="H17" s="121"/>
      <c r="I17" s="96">
        <v>100000</v>
      </c>
      <c r="J17" s="96">
        <v>100000</v>
      </c>
      <c r="K17" s="119" t="s">
        <v>145</v>
      </c>
    </row>
    <row r="18" spans="1:13" x14ac:dyDescent="0.15">
      <c r="A18">
        <v>14</v>
      </c>
      <c r="B18" t="s">
        <v>153</v>
      </c>
      <c r="C18" t="s">
        <v>44</v>
      </c>
      <c r="D18" t="s">
        <v>149</v>
      </c>
      <c r="E18" s="163">
        <v>16.902795791625977</v>
      </c>
      <c r="F18" s="96">
        <v>16.58332633972168</v>
      </c>
      <c r="G18" s="96">
        <v>0.54949474334716797</v>
      </c>
      <c r="H18" s="121"/>
      <c r="I18" s="96">
        <v>100000</v>
      </c>
      <c r="J18" s="96">
        <v>100000</v>
      </c>
      <c r="K18" s="119" t="s">
        <v>145</v>
      </c>
    </row>
    <row r="19" spans="1:13" x14ac:dyDescent="0.15">
      <c r="A19">
        <v>15</v>
      </c>
      <c r="B19" t="s">
        <v>154</v>
      </c>
      <c r="C19" t="s">
        <v>44</v>
      </c>
      <c r="D19" t="s">
        <v>149</v>
      </c>
      <c r="E19" s="163">
        <v>16.898351669311523</v>
      </c>
      <c r="F19" s="96">
        <v>16.58332633972168</v>
      </c>
      <c r="G19" s="96">
        <v>0.54949474334716797</v>
      </c>
      <c r="H19" s="121"/>
      <c r="I19" s="96">
        <v>100000</v>
      </c>
      <c r="J19" s="96">
        <v>100000</v>
      </c>
      <c r="K19" s="119" t="s">
        <v>145</v>
      </c>
    </row>
    <row r="20" spans="1:13" x14ac:dyDescent="0.15">
      <c r="A20">
        <v>16</v>
      </c>
      <c r="B20" t="s">
        <v>155</v>
      </c>
      <c r="C20" t="s">
        <v>45</v>
      </c>
      <c r="D20" t="s">
        <v>149</v>
      </c>
      <c r="E20" s="96">
        <v>18.208705902099609</v>
      </c>
      <c r="F20" s="96">
        <v>18.390962600708008</v>
      </c>
      <c r="G20" s="96">
        <v>0.16080407798290253</v>
      </c>
      <c r="H20" s="121"/>
      <c r="I20" s="96">
        <v>10000</v>
      </c>
      <c r="J20" s="96">
        <v>10000</v>
      </c>
      <c r="K20" s="119" t="s">
        <v>145</v>
      </c>
    </row>
    <row r="21" spans="1:13" x14ac:dyDescent="0.15">
      <c r="A21">
        <v>17</v>
      </c>
      <c r="B21" t="s">
        <v>156</v>
      </c>
      <c r="C21" t="s">
        <v>45</v>
      </c>
      <c r="D21" t="s">
        <v>149</v>
      </c>
      <c r="E21" s="96">
        <v>18.512832641601562</v>
      </c>
      <c r="F21" s="96">
        <v>18.390962600708008</v>
      </c>
      <c r="G21" s="96">
        <v>0.16080407798290253</v>
      </c>
      <c r="H21" s="121"/>
      <c r="I21" s="96">
        <v>10000</v>
      </c>
      <c r="J21" s="96">
        <v>10000</v>
      </c>
      <c r="K21" s="119" t="s">
        <v>145</v>
      </c>
    </row>
    <row r="22" spans="1:13" x14ac:dyDescent="0.15">
      <c r="A22">
        <v>18</v>
      </c>
      <c r="B22" t="s">
        <v>157</v>
      </c>
      <c r="C22" t="s">
        <v>45</v>
      </c>
      <c r="D22" t="s">
        <v>149</v>
      </c>
      <c r="E22" s="96">
        <v>18.451345443725586</v>
      </c>
      <c r="F22" s="96">
        <v>18.390962600708008</v>
      </c>
      <c r="G22" s="96">
        <v>0.16080407798290253</v>
      </c>
      <c r="H22" s="121"/>
      <c r="I22" s="96">
        <v>10000</v>
      </c>
      <c r="J22" s="96">
        <v>10000</v>
      </c>
      <c r="K22" s="119" t="s">
        <v>145</v>
      </c>
    </row>
    <row r="23" spans="1:13" x14ac:dyDescent="0.15">
      <c r="A23">
        <v>19</v>
      </c>
      <c r="B23" t="s">
        <v>158</v>
      </c>
      <c r="C23" t="s">
        <v>46</v>
      </c>
      <c r="D23" t="s">
        <v>149</v>
      </c>
      <c r="E23" s="96">
        <v>21.524133682250977</v>
      </c>
      <c r="F23" s="96">
        <v>21.567167282104492</v>
      </c>
      <c r="G23" s="96">
        <v>4.0471240878105164E-2</v>
      </c>
      <c r="H23" s="121"/>
      <c r="I23" s="96">
        <v>1000</v>
      </c>
      <c r="J23" s="96">
        <v>1000</v>
      </c>
      <c r="K23" s="119" t="s">
        <v>145</v>
      </c>
    </row>
    <row r="24" spans="1:13" x14ac:dyDescent="0.15">
      <c r="A24">
        <v>20</v>
      </c>
      <c r="B24" t="s">
        <v>159</v>
      </c>
      <c r="C24" t="s">
        <v>46</v>
      </c>
      <c r="D24" t="s">
        <v>149</v>
      </c>
      <c r="E24" s="96">
        <v>21.572906494140625</v>
      </c>
      <c r="F24" s="96">
        <v>21.567167282104492</v>
      </c>
      <c r="G24" s="96">
        <v>4.0471240878105164E-2</v>
      </c>
      <c r="H24" s="121"/>
      <c r="I24" s="96">
        <v>1000</v>
      </c>
      <c r="J24" s="96">
        <v>1000</v>
      </c>
      <c r="K24" s="119" t="s">
        <v>145</v>
      </c>
    </row>
    <row r="25" spans="1:13" x14ac:dyDescent="0.15">
      <c r="A25">
        <v>21</v>
      </c>
      <c r="B25" t="s">
        <v>160</v>
      </c>
      <c r="C25" t="s">
        <v>46</v>
      </c>
      <c r="D25" t="s">
        <v>149</v>
      </c>
      <c r="E25" s="96">
        <v>21.604463577270508</v>
      </c>
      <c r="F25" s="96">
        <v>21.567167282104492</v>
      </c>
      <c r="G25" s="96">
        <v>4.0471240878105164E-2</v>
      </c>
      <c r="H25" s="121"/>
      <c r="I25" s="96">
        <v>1000</v>
      </c>
      <c r="J25" s="96">
        <v>1000</v>
      </c>
      <c r="K25" s="119" t="s">
        <v>145</v>
      </c>
    </row>
    <row r="26" spans="1:13" x14ac:dyDescent="0.15">
      <c r="A26">
        <v>22</v>
      </c>
      <c r="B26" t="s">
        <v>161</v>
      </c>
      <c r="C26" t="s">
        <v>47</v>
      </c>
      <c r="D26" t="s">
        <v>149</v>
      </c>
      <c r="E26" s="96">
        <v>23.901069641113281</v>
      </c>
      <c r="F26" s="96">
        <v>23.949638366699219</v>
      </c>
      <c r="G26" s="96">
        <v>5.0743475556373596E-2</v>
      </c>
      <c r="H26" s="121"/>
      <c r="I26" s="96">
        <v>100</v>
      </c>
      <c r="J26" s="96">
        <v>100</v>
      </c>
      <c r="K26" s="119" t="s">
        <v>145</v>
      </c>
    </row>
    <row r="27" spans="1:13" x14ac:dyDescent="0.15">
      <c r="A27">
        <v>23</v>
      </c>
      <c r="B27" t="s">
        <v>162</v>
      </c>
      <c r="C27" t="s">
        <v>47</v>
      </c>
      <c r="D27" t="s">
        <v>149</v>
      </c>
      <c r="E27" s="96">
        <v>23.945539474487305</v>
      </c>
      <c r="F27" s="96">
        <v>23.949638366699219</v>
      </c>
      <c r="G27" s="96">
        <v>5.0743475556373596E-2</v>
      </c>
      <c r="H27" s="121"/>
      <c r="I27" s="96">
        <v>100</v>
      </c>
      <c r="J27" s="96">
        <v>100</v>
      </c>
      <c r="K27" s="119" t="s">
        <v>145</v>
      </c>
    </row>
    <row r="28" spans="1:13" x14ac:dyDescent="0.15">
      <c r="A28">
        <v>24</v>
      </c>
      <c r="B28" t="s">
        <v>163</v>
      </c>
      <c r="C28" t="s">
        <v>47</v>
      </c>
      <c r="D28" t="s">
        <v>149</v>
      </c>
      <c r="E28" s="96">
        <v>24.002307891845703</v>
      </c>
      <c r="F28" s="96">
        <v>23.949638366699219</v>
      </c>
      <c r="G28" s="96">
        <v>5.0743475556373596E-2</v>
      </c>
      <c r="H28" s="121"/>
      <c r="I28" s="96">
        <v>100</v>
      </c>
      <c r="J28" s="96">
        <v>100</v>
      </c>
      <c r="K28" s="119" t="s">
        <v>145</v>
      </c>
      <c r="L28" s="136" t="s">
        <v>244</v>
      </c>
    </row>
    <row r="29" spans="1:13" x14ac:dyDescent="0.15">
      <c r="A29" s="131">
        <v>25</v>
      </c>
      <c r="B29" t="s">
        <v>26</v>
      </c>
      <c r="C29" t="s">
        <v>272</v>
      </c>
      <c r="D29" t="s">
        <v>273</v>
      </c>
      <c r="E29" s="96">
        <v>18.213037490844727</v>
      </c>
      <c r="F29" s="96">
        <v>18.189863204956055</v>
      </c>
      <c r="G29" s="96">
        <v>2.8654379770159721E-2</v>
      </c>
      <c r="H29" s="129"/>
      <c r="I29" s="132"/>
      <c r="J29" s="132"/>
      <c r="K29" s="130" t="s">
        <v>239</v>
      </c>
    </row>
    <row r="30" spans="1:13" x14ac:dyDescent="0.15">
      <c r="A30" s="131">
        <v>26</v>
      </c>
      <c r="B30" t="s">
        <v>29</v>
      </c>
      <c r="C30" t="s">
        <v>272</v>
      </c>
      <c r="D30" t="s">
        <v>273</v>
      </c>
      <c r="E30" s="96">
        <v>18.198726654052734</v>
      </c>
      <c r="F30" s="96">
        <v>18.189863204956055</v>
      </c>
      <c r="G30" s="96">
        <v>2.8654379770159721E-2</v>
      </c>
      <c r="H30" s="129"/>
      <c r="I30" s="132"/>
      <c r="J30" s="132"/>
      <c r="K30" s="130" t="s">
        <v>240</v>
      </c>
      <c r="L30" s="58" t="s">
        <v>242</v>
      </c>
    </row>
    <row r="31" spans="1:13" x14ac:dyDescent="0.15">
      <c r="A31" s="131">
        <v>27</v>
      </c>
      <c r="B31" t="s">
        <v>164</v>
      </c>
      <c r="C31" t="s">
        <v>272</v>
      </c>
      <c r="D31" t="s">
        <v>273</v>
      </c>
      <c r="E31" s="96">
        <v>18.15782356262207</v>
      </c>
      <c r="F31" s="96">
        <v>18.189863204956055</v>
      </c>
      <c r="G31" s="96">
        <v>2.8654379770159721E-2</v>
      </c>
      <c r="H31" s="129"/>
      <c r="I31" s="132"/>
      <c r="J31" s="132"/>
      <c r="K31" s="119" t="s">
        <v>145</v>
      </c>
      <c r="L31" s="58" t="s">
        <v>165</v>
      </c>
      <c r="M31" s="58" t="s">
        <v>241</v>
      </c>
    </row>
    <row r="32" spans="1:13" x14ac:dyDescent="0.15">
      <c r="A32">
        <v>28</v>
      </c>
      <c r="B32" t="s">
        <v>166</v>
      </c>
      <c r="C32" t="s">
        <v>274</v>
      </c>
      <c r="D32" t="s">
        <v>273</v>
      </c>
      <c r="E32" s="96">
        <v>14.252834320068359</v>
      </c>
      <c r="F32" s="96">
        <v>14.235832214355469</v>
      </c>
      <c r="G32" s="96">
        <v>1.5127111226320267E-2</v>
      </c>
      <c r="H32" s="121"/>
      <c r="I32" s="135" t="s">
        <v>243</v>
      </c>
      <c r="J32" s="120"/>
      <c r="K32" s="120"/>
    </row>
    <row r="33" spans="1:13" x14ac:dyDescent="0.15">
      <c r="A33">
        <v>29</v>
      </c>
      <c r="B33" t="s">
        <v>167</v>
      </c>
      <c r="C33" t="s">
        <v>274</v>
      </c>
      <c r="D33" t="s">
        <v>273</v>
      </c>
      <c r="E33" s="96">
        <v>14.223862648010254</v>
      </c>
      <c r="F33" s="96">
        <v>14.235832214355469</v>
      </c>
      <c r="G33" s="96">
        <v>1.5127111226320267E-2</v>
      </c>
      <c r="H33" s="121"/>
      <c r="I33" s="120"/>
      <c r="J33" s="120"/>
      <c r="K33" s="120"/>
      <c r="L33" t="str" cm="1">
        <f t="array" ref="L33:L47">_xlfn.UNIQUE(C29:C100)</f>
        <v>Mesa_dust_7W</v>
      </c>
      <c r="M33" cm="1">
        <f t="array" ref="M33:M47">_xlfn.UNIQUE(F29:F100)</f>
        <v>18.189863204956055</v>
      </c>
    </row>
    <row r="34" spans="1:13" x14ac:dyDescent="0.15">
      <c r="A34">
        <v>30</v>
      </c>
      <c r="B34" t="s">
        <v>168</v>
      </c>
      <c r="C34" t="s">
        <v>274</v>
      </c>
      <c r="D34" t="s">
        <v>273</v>
      </c>
      <c r="E34" s="96">
        <v>14.230800628662109</v>
      </c>
      <c r="F34" s="96">
        <v>14.235832214355469</v>
      </c>
      <c r="G34" s="96">
        <v>1.5127111226320267E-2</v>
      </c>
      <c r="H34" s="121"/>
      <c r="I34" s="120"/>
      <c r="J34" s="120"/>
      <c r="K34" s="120"/>
      <c r="L34" t="str">
        <v>Mesa_no_dust_7W</v>
      </c>
      <c r="M34">
        <v>14.235832214355469</v>
      </c>
    </row>
    <row r="35" spans="1:13" x14ac:dyDescent="0.15">
      <c r="A35">
        <v>31</v>
      </c>
      <c r="B35" t="s">
        <v>169</v>
      </c>
      <c r="C35" t="s">
        <v>275</v>
      </c>
      <c r="D35" t="s">
        <v>273</v>
      </c>
      <c r="E35" s="96">
        <v>15.616933822631836</v>
      </c>
      <c r="F35" s="96">
        <v>15.64771556854248</v>
      </c>
      <c r="G35" s="96">
        <v>4.1109282523393631E-2</v>
      </c>
      <c r="H35" s="121"/>
      <c r="I35" s="120"/>
      <c r="J35" s="120"/>
      <c r="K35" s="120"/>
      <c r="L35" t="str">
        <v>Dugan_dust_7W</v>
      </c>
      <c r="M35">
        <v>15.64771556854248</v>
      </c>
    </row>
    <row r="36" spans="1:13" x14ac:dyDescent="0.15">
      <c r="A36">
        <v>32</v>
      </c>
      <c r="B36" t="s">
        <v>170</v>
      </c>
      <c r="C36" t="s">
        <v>275</v>
      </c>
      <c r="D36" t="s">
        <v>273</v>
      </c>
      <c r="E36" s="96">
        <v>15.694400787353516</v>
      </c>
      <c r="F36" s="96">
        <v>15.64771556854248</v>
      </c>
      <c r="G36" s="96">
        <v>4.1109282523393631E-2</v>
      </c>
      <c r="H36" s="121"/>
      <c r="I36" s="120"/>
      <c r="J36" s="120"/>
      <c r="K36" s="120"/>
      <c r="L36" t="str">
        <v>Dugan_no_dust_7W</v>
      </c>
      <c r="M36">
        <v>16.454036712646484</v>
      </c>
    </row>
    <row r="37" spans="1:13" x14ac:dyDescent="0.15">
      <c r="A37">
        <v>33</v>
      </c>
      <c r="B37" t="s">
        <v>171</v>
      </c>
      <c r="C37" t="s">
        <v>275</v>
      </c>
      <c r="D37" t="s">
        <v>273</v>
      </c>
      <c r="E37" s="96">
        <v>15.63181209564209</v>
      </c>
      <c r="F37" s="96">
        <v>15.64771556854248</v>
      </c>
      <c r="G37" s="96">
        <v>4.1109282523393631E-2</v>
      </c>
      <c r="H37" s="121"/>
      <c r="I37" s="120"/>
      <c r="J37" s="120"/>
      <c r="K37" s="120"/>
      <c r="L37" t="str">
        <v>Vert_post_inoc1</v>
      </c>
      <c r="M37">
        <v>16.912542343139648</v>
      </c>
    </row>
    <row r="38" spans="1:13" x14ac:dyDescent="0.15">
      <c r="A38">
        <v>34</v>
      </c>
      <c r="B38" t="s">
        <v>172</v>
      </c>
      <c r="C38" t="s">
        <v>276</v>
      </c>
      <c r="D38" t="s">
        <v>273</v>
      </c>
      <c r="E38" s="96">
        <v>16.494884490966797</v>
      </c>
      <c r="F38" s="96">
        <v>16.454036712646484</v>
      </c>
      <c r="G38" s="96">
        <v>3.5384811460971832E-2</v>
      </c>
      <c r="H38" s="121"/>
      <c r="I38" s="120"/>
      <c r="J38" s="120"/>
      <c r="K38" s="120"/>
      <c r="L38" t="str">
        <v>Vert_post_inoc2</v>
      </c>
      <c r="M38">
        <v>19.313692092895508</v>
      </c>
    </row>
    <row r="39" spans="1:13" x14ac:dyDescent="0.15">
      <c r="A39">
        <v>35</v>
      </c>
      <c r="B39" t="s">
        <v>173</v>
      </c>
      <c r="C39" t="s">
        <v>276</v>
      </c>
      <c r="D39" t="s">
        <v>273</v>
      </c>
      <c r="E39" s="96">
        <v>16.432811737060547</v>
      </c>
      <c r="F39" s="96">
        <v>16.454036712646484</v>
      </c>
      <c r="G39" s="96">
        <v>3.5384811460971832E-2</v>
      </c>
      <c r="H39" s="121"/>
      <c r="I39" s="120"/>
      <c r="J39" s="120"/>
      <c r="K39" s="120"/>
      <c r="L39" t="str">
        <v>MP1-3_10W</v>
      </c>
      <c r="M39">
        <v>15.046893119812012</v>
      </c>
    </row>
    <row r="40" spans="1:13" x14ac:dyDescent="0.15">
      <c r="A40">
        <v>36</v>
      </c>
      <c r="B40" t="s">
        <v>174</v>
      </c>
      <c r="C40" t="s">
        <v>276</v>
      </c>
      <c r="D40" t="s">
        <v>273</v>
      </c>
      <c r="E40" s="96">
        <v>16.434412002563477</v>
      </c>
      <c r="F40" s="96">
        <v>16.454036712646484</v>
      </c>
      <c r="G40" s="96">
        <v>3.5384811460971832E-2</v>
      </c>
      <c r="H40" s="121"/>
      <c r="I40" s="120"/>
      <c r="J40" s="120"/>
      <c r="K40" s="120"/>
      <c r="L40" t="str">
        <v>MP4-6_10W</v>
      </c>
      <c r="M40">
        <v>19.203567504882812</v>
      </c>
    </row>
    <row r="41" spans="1:13" x14ac:dyDescent="0.15">
      <c r="A41">
        <v>37</v>
      </c>
      <c r="B41" t="s">
        <v>175</v>
      </c>
      <c r="C41" t="s">
        <v>261</v>
      </c>
      <c r="D41" t="s">
        <v>273</v>
      </c>
      <c r="E41" s="96">
        <v>16.901052474975586</v>
      </c>
      <c r="F41" s="96">
        <v>16.912542343139648</v>
      </c>
      <c r="G41" s="96">
        <v>2.4973997846245766E-2</v>
      </c>
      <c r="H41" s="121"/>
      <c r="I41" s="120"/>
      <c r="J41" s="120"/>
      <c r="K41" s="120"/>
      <c r="L41" t="str">
        <v>MP7-9_10W</v>
      </c>
      <c r="M41">
        <v>18.562686920166016</v>
      </c>
    </row>
    <row r="42" spans="1:13" x14ac:dyDescent="0.15">
      <c r="A42">
        <v>38</v>
      </c>
      <c r="B42" t="s">
        <v>176</v>
      </c>
      <c r="C42" t="s">
        <v>261</v>
      </c>
      <c r="D42" t="s">
        <v>273</v>
      </c>
      <c r="E42" s="96">
        <v>16.895380020141602</v>
      </c>
      <c r="F42" s="96">
        <v>16.912542343139648</v>
      </c>
      <c r="G42" s="96">
        <v>2.4973997846245766E-2</v>
      </c>
      <c r="H42" s="121"/>
      <c r="I42" s="120"/>
      <c r="J42" s="120"/>
      <c r="K42" s="120"/>
      <c r="L42" t="str">
        <v>MP1-3_2W</v>
      </c>
      <c r="M42">
        <v>12.309591293334961</v>
      </c>
    </row>
    <row r="43" spans="1:13" x14ac:dyDescent="0.15">
      <c r="A43">
        <v>39</v>
      </c>
      <c r="B43" t="s">
        <v>177</v>
      </c>
      <c r="C43" t="s">
        <v>261</v>
      </c>
      <c r="D43" t="s">
        <v>273</v>
      </c>
      <c r="E43" s="96">
        <v>16.941192626953125</v>
      </c>
      <c r="F43" s="96">
        <v>16.912542343139648</v>
      </c>
      <c r="G43" s="96">
        <v>2.4973997846245766E-2</v>
      </c>
      <c r="H43" s="121"/>
      <c r="I43" s="120"/>
      <c r="J43" s="120"/>
      <c r="K43" s="120"/>
      <c r="L43" t="str">
        <v>MP4-6_2W</v>
      </c>
      <c r="M43">
        <v>12.087531089782715</v>
      </c>
    </row>
    <row r="44" spans="1:13" x14ac:dyDescent="0.15">
      <c r="A44">
        <v>40</v>
      </c>
      <c r="B44" t="s">
        <v>178</v>
      </c>
      <c r="C44" s="58" t="s">
        <v>262</v>
      </c>
      <c r="D44" t="s">
        <v>273</v>
      </c>
      <c r="E44" s="96">
        <v>19.30329704284668</v>
      </c>
      <c r="F44" s="96">
        <v>19.313692092895508</v>
      </c>
      <c r="G44" s="96">
        <v>8.877650648355484E-2</v>
      </c>
      <c r="H44" s="121"/>
      <c r="I44" s="120"/>
      <c r="J44" s="120"/>
      <c r="K44" s="120"/>
      <c r="L44" t="str">
        <v>MP7-9_2W</v>
      </c>
      <c r="M44">
        <v>12.935336112976074</v>
      </c>
    </row>
    <row r="45" spans="1:13" x14ac:dyDescent="0.15">
      <c r="A45">
        <v>41</v>
      </c>
      <c r="B45" t="s">
        <v>179</v>
      </c>
      <c r="C45" s="58" t="s">
        <v>262</v>
      </c>
      <c r="D45" t="s">
        <v>273</v>
      </c>
      <c r="E45" s="96">
        <v>19.407209396362305</v>
      </c>
      <c r="F45" s="96">
        <v>19.313692092895508</v>
      </c>
      <c r="G45" s="96">
        <v>8.877650648355484E-2</v>
      </c>
      <c r="H45" s="121"/>
      <c r="I45" s="120"/>
      <c r="J45" s="120"/>
      <c r="K45" s="120"/>
      <c r="L45" t="str">
        <v>Vert_farm</v>
      </c>
      <c r="M45">
        <v>12.892425537109375</v>
      </c>
    </row>
    <row r="46" spans="1:13" x14ac:dyDescent="0.15">
      <c r="A46">
        <v>42</v>
      </c>
      <c r="B46" t="s">
        <v>180</v>
      </c>
      <c r="C46" s="58" t="s">
        <v>262</v>
      </c>
      <c r="D46" t="s">
        <v>273</v>
      </c>
      <c r="E46" s="96">
        <v>19.230571746826172</v>
      </c>
      <c r="F46" s="96">
        <v>19.313692092895508</v>
      </c>
      <c r="G46" s="96">
        <v>8.877650648355484E-2</v>
      </c>
      <c r="H46" s="121"/>
      <c r="I46" s="120"/>
      <c r="J46" s="120"/>
      <c r="K46" s="120"/>
      <c r="L46" t="str">
        <v>Farm_Inoculant</v>
      </c>
      <c r="M46">
        <v>13.764999389648438</v>
      </c>
    </row>
    <row r="47" spans="1:13" x14ac:dyDescent="0.15">
      <c r="A47">
        <v>43</v>
      </c>
      <c r="B47" t="s">
        <v>185</v>
      </c>
      <c r="C47" t="s">
        <v>277</v>
      </c>
      <c r="D47" t="s">
        <v>273</v>
      </c>
      <c r="E47" s="96">
        <v>15.01346492767334</v>
      </c>
      <c r="F47" s="96">
        <v>15.046893119812012</v>
      </c>
      <c r="G47" s="96">
        <v>3.4087661653757095E-2</v>
      </c>
      <c r="H47" s="121"/>
      <c r="I47" s="120"/>
      <c r="J47" s="120"/>
      <c r="K47" s="120"/>
      <c r="L47">
        <v>0</v>
      </c>
      <c r="M47">
        <v>0</v>
      </c>
    </row>
    <row r="48" spans="1:13" x14ac:dyDescent="0.15">
      <c r="A48">
        <v>44</v>
      </c>
      <c r="B48" t="s">
        <v>186</v>
      </c>
      <c r="C48" t="s">
        <v>277</v>
      </c>
      <c r="D48" t="s">
        <v>273</v>
      </c>
      <c r="E48" s="96">
        <v>15.08160400390625</v>
      </c>
      <c r="F48" s="96">
        <v>15.046893119812012</v>
      </c>
      <c r="G48" s="96">
        <v>3.4087661653757095E-2</v>
      </c>
      <c r="H48" s="121"/>
      <c r="I48" s="120"/>
      <c r="J48" s="120"/>
      <c r="K48" s="120"/>
    </row>
    <row r="49" spans="1:11" x14ac:dyDescent="0.15">
      <c r="A49">
        <v>45</v>
      </c>
      <c r="B49" t="s">
        <v>187</v>
      </c>
      <c r="C49" t="s">
        <v>277</v>
      </c>
      <c r="D49" t="s">
        <v>273</v>
      </c>
      <c r="E49" s="96">
        <v>15.045609474182129</v>
      </c>
      <c r="F49" s="96">
        <v>15.046893119812012</v>
      </c>
      <c r="G49" s="96">
        <v>3.4087661653757095E-2</v>
      </c>
      <c r="H49" s="121"/>
      <c r="I49" s="120"/>
      <c r="J49" s="120"/>
      <c r="K49" s="120"/>
    </row>
    <row r="50" spans="1:11" x14ac:dyDescent="0.15">
      <c r="A50">
        <v>46</v>
      </c>
      <c r="B50" t="s">
        <v>188</v>
      </c>
      <c r="C50" t="s">
        <v>278</v>
      </c>
      <c r="D50" t="s">
        <v>273</v>
      </c>
      <c r="E50" s="96">
        <v>19.140213012695312</v>
      </c>
      <c r="F50" s="96">
        <v>19.203567504882812</v>
      </c>
      <c r="G50" s="96">
        <v>5.6007198989391327E-2</v>
      </c>
      <c r="H50" s="121"/>
      <c r="I50" s="120"/>
      <c r="J50" s="120"/>
      <c r="K50" s="120"/>
    </row>
    <row r="51" spans="1:11" x14ac:dyDescent="0.15">
      <c r="A51">
        <v>47</v>
      </c>
      <c r="B51" t="s">
        <v>189</v>
      </c>
      <c r="C51" t="s">
        <v>278</v>
      </c>
      <c r="D51" t="s">
        <v>273</v>
      </c>
      <c r="E51" s="96">
        <v>19.224002838134766</v>
      </c>
      <c r="F51" s="96">
        <v>19.203567504882812</v>
      </c>
      <c r="G51" s="96">
        <v>5.6007198989391327E-2</v>
      </c>
      <c r="H51" s="121"/>
      <c r="I51" s="120"/>
      <c r="J51" s="120"/>
      <c r="K51" s="120"/>
    </row>
    <row r="52" spans="1:11" x14ac:dyDescent="0.15">
      <c r="A52">
        <v>48</v>
      </c>
      <c r="B52" t="s">
        <v>190</v>
      </c>
      <c r="C52" t="s">
        <v>278</v>
      </c>
      <c r="D52" t="s">
        <v>273</v>
      </c>
      <c r="E52" s="96">
        <v>19.246488571166992</v>
      </c>
      <c r="F52" s="96">
        <v>19.203567504882812</v>
      </c>
      <c r="G52" s="96">
        <v>5.6007198989391327E-2</v>
      </c>
      <c r="H52" s="121"/>
      <c r="I52" s="120"/>
      <c r="J52" s="120"/>
      <c r="K52" s="120"/>
    </row>
    <row r="53" spans="1:11" x14ac:dyDescent="0.15">
      <c r="A53">
        <v>49</v>
      </c>
      <c r="B53" t="s">
        <v>191</v>
      </c>
      <c r="C53" t="s">
        <v>279</v>
      </c>
      <c r="D53" t="s">
        <v>273</v>
      </c>
      <c r="E53" s="96">
        <v>18.495029449462891</v>
      </c>
      <c r="F53" s="96">
        <v>18.562686920166016</v>
      </c>
      <c r="G53" s="96">
        <v>6.3634805381298065E-2</v>
      </c>
      <c r="H53" s="121"/>
      <c r="I53" s="120"/>
      <c r="J53" s="120"/>
      <c r="K53" s="120"/>
    </row>
    <row r="54" spans="1:11" x14ac:dyDescent="0.15">
      <c r="A54">
        <v>50</v>
      </c>
      <c r="B54" t="s">
        <v>192</v>
      </c>
      <c r="C54" t="s">
        <v>279</v>
      </c>
      <c r="D54" t="s">
        <v>273</v>
      </c>
      <c r="E54" s="96">
        <v>18.621339797973633</v>
      </c>
      <c r="F54" s="96">
        <v>18.562686920166016</v>
      </c>
      <c r="G54" s="96">
        <v>6.3634805381298065E-2</v>
      </c>
      <c r="H54" s="121"/>
      <c r="I54" s="120"/>
      <c r="J54" s="120"/>
      <c r="K54" s="120"/>
    </row>
    <row r="55" spans="1:11" x14ac:dyDescent="0.15">
      <c r="A55">
        <v>51</v>
      </c>
      <c r="B55" t="s">
        <v>193</v>
      </c>
      <c r="C55" t="s">
        <v>279</v>
      </c>
      <c r="D55" t="s">
        <v>273</v>
      </c>
      <c r="E55" s="96">
        <v>18.571691513061523</v>
      </c>
      <c r="F55" s="96">
        <v>18.562686920166016</v>
      </c>
      <c r="G55" s="96">
        <v>6.3634805381298065E-2</v>
      </c>
      <c r="H55" s="121"/>
      <c r="I55" s="120"/>
      <c r="J55" s="120"/>
      <c r="K55" s="120"/>
    </row>
    <row r="56" spans="1:11" x14ac:dyDescent="0.15">
      <c r="A56">
        <v>52</v>
      </c>
      <c r="B56" t="s">
        <v>194</v>
      </c>
      <c r="C56" t="s">
        <v>280</v>
      </c>
      <c r="D56" t="s">
        <v>273</v>
      </c>
      <c r="E56" s="96">
        <v>12.321386337280273</v>
      </c>
      <c r="F56" s="96">
        <f>AVERAGE(E56:E58)</f>
        <v>12.309591293334961</v>
      </c>
      <c r="G56" s="96">
        <v>0.4738304615020752</v>
      </c>
      <c r="H56" s="121"/>
      <c r="I56" s="120"/>
      <c r="J56" s="120"/>
      <c r="K56" s="120"/>
    </row>
    <row r="57" spans="1:11" x14ac:dyDescent="0.15">
      <c r="A57">
        <v>53</v>
      </c>
      <c r="B57" t="s">
        <v>195</v>
      </c>
      <c r="C57" t="s">
        <v>280</v>
      </c>
      <c r="D57" t="s">
        <v>273</v>
      </c>
      <c r="E57" s="96"/>
      <c r="F57" s="96">
        <f>F56</f>
        <v>12.309591293334961</v>
      </c>
      <c r="G57" s="96">
        <v>0.4738304615020752</v>
      </c>
      <c r="H57" s="164">
        <v>13.13</v>
      </c>
      <c r="I57" s="120"/>
      <c r="J57" s="120"/>
      <c r="K57" s="120"/>
    </row>
    <row r="58" spans="1:11" x14ac:dyDescent="0.15">
      <c r="A58">
        <v>54</v>
      </c>
      <c r="B58" t="s">
        <v>196</v>
      </c>
      <c r="C58" t="s">
        <v>280</v>
      </c>
      <c r="D58" t="s">
        <v>273</v>
      </c>
      <c r="E58" s="96">
        <v>12.297796249389648</v>
      </c>
      <c r="F58" s="96">
        <f>F57</f>
        <v>12.309591293334961</v>
      </c>
      <c r="G58" s="96">
        <v>0.4738304615020752</v>
      </c>
      <c r="H58" s="121"/>
      <c r="I58" s="120"/>
      <c r="J58" s="120"/>
      <c r="K58" s="120"/>
    </row>
    <row r="59" spans="1:11" x14ac:dyDescent="0.15">
      <c r="A59">
        <v>55</v>
      </c>
      <c r="B59" t="s">
        <v>197</v>
      </c>
      <c r="C59" t="s">
        <v>281</v>
      </c>
      <c r="D59" t="s">
        <v>273</v>
      </c>
      <c r="E59" s="96">
        <v>12.120059967041016</v>
      </c>
      <c r="F59" s="96">
        <v>12.087531089782715</v>
      </c>
      <c r="G59" s="96">
        <v>7.6328538358211517E-2</v>
      </c>
      <c r="H59" s="121"/>
      <c r="I59" s="120"/>
      <c r="J59" s="120"/>
      <c r="K59" s="120"/>
    </row>
    <row r="60" spans="1:11" x14ac:dyDescent="0.15">
      <c r="A60">
        <v>56</v>
      </c>
      <c r="B60" t="s">
        <v>198</v>
      </c>
      <c r="C60" t="s">
        <v>281</v>
      </c>
      <c r="D60" t="s">
        <v>273</v>
      </c>
      <c r="E60" s="96">
        <v>12.142205238342285</v>
      </c>
      <c r="F60" s="96">
        <v>12.087531089782715</v>
      </c>
      <c r="G60" s="96">
        <v>7.6328538358211517E-2</v>
      </c>
      <c r="H60" s="121"/>
      <c r="I60" s="120"/>
      <c r="J60" s="120"/>
      <c r="K60" s="120"/>
    </row>
    <row r="61" spans="1:11" x14ac:dyDescent="0.15">
      <c r="A61">
        <v>57</v>
      </c>
      <c r="B61" t="s">
        <v>199</v>
      </c>
      <c r="C61" t="s">
        <v>281</v>
      </c>
      <c r="D61" t="s">
        <v>273</v>
      </c>
      <c r="E61" s="96">
        <v>12.000326156616211</v>
      </c>
      <c r="F61" s="96">
        <v>12.087531089782715</v>
      </c>
      <c r="G61" s="96">
        <v>7.6328538358211517E-2</v>
      </c>
      <c r="H61" s="121"/>
      <c r="I61" s="120"/>
      <c r="J61" s="120"/>
      <c r="K61" s="120"/>
    </row>
    <row r="62" spans="1:11" x14ac:dyDescent="0.15">
      <c r="A62">
        <v>58</v>
      </c>
      <c r="B62" t="s">
        <v>200</v>
      </c>
      <c r="C62" t="s">
        <v>282</v>
      </c>
      <c r="D62" t="s">
        <v>273</v>
      </c>
      <c r="E62" s="96">
        <v>12.91370964050293</v>
      </c>
      <c r="F62" s="96">
        <v>12.935336112976074</v>
      </c>
      <c r="G62" s="96">
        <v>1.897553913295269E-2</v>
      </c>
      <c r="H62" s="121"/>
      <c r="I62" s="120"/>
      <c r="J62" s="120"/>
      <c r="K62" s="120"/>
    </row>
    <row r="63" spans="1:11" x14ac:dyDescent="0.15">
      <c r="A63">
        <v>59</v>
      </c>
      <c r="B63" t="s">
        <v>201</v>
      </c>
      <c r="C63" t="s">
        <v>282</v>
      </c>
      <c r="D63" t="s">
        <v>273</v>
      </c>
      <c r="E63" s="96">
        <v>12.943100929260254</v>
      </c>
      <c r="F63" s="96">
        <v>12.935336112976074</v>
      </c>
      <c r="G63" s="96">
        <v>1.897553913295269E-2</v>
      </c>
      <c r="H63" s="121"/>
      <c r="I63" s="120"/>
      <c r="J63" s="120"/>
      <c r="K63" s="120"/>
    </row>
    <row r="64" spans="1:11" x14ac:dyDescent="0.15">
      <c r="A64">
        <v>60</v>
      </c>
      <c r="B64" t="s">
        <v>202</v>
      </c>
      <c r="C64" t="s">
        <v>282</v>
      </c>
      <c r="D64" t="s">
        <v>273</v>
      </c>
      <c r="E64" s="96">
        <v>12.949197769165039</v>
      </c>
      <c r="F64" s="96">
        <v>12.935336112976074</v>
      </c>
      <c r="G64" s="96">
        <v>1.897553913295269E-2</v>
      </c>
      <c r="H64" s="121"/>
      <c r="I64" s="120"/>
      <c r="J64" s="120"/>
      <c r="K64" s="120"/>
    </row>
    <row r="65" spans="1:11" x14ac:dyDescent="0.15">
      <c r="A65">
        <v>61</v>
      </c>
      <c r="B65" t="s">
        <v>203</v>
      </c>
      <c r="C65" t="s">
        <v>283</v>
      </c>
      <c r="D65" t="s">
        <v>273</v>
      </c>
      <c r="E65" s="96">
        <v>12.911855697631836</v>
      </c>
      <c r="F65" s="96">
        <v>12.892425537109375</v>
      </c>
      <c r="G65" s="96">
        <v>2.6690028607845306E-2</v>
      </c>
      <c r="H65" s="121"/>
      <c r="I65" s="120"/>
      <c r="J65" s="120"/>
      <c r="K65" s="120"/>
    </row>
    <row r="66" spans="1:11" x14ac:dyDescent="0.15">
      <c r="A66">
        <v>62</v>
      </c>
      <c r="B66" t="s">
        <v>204</v>
      </c>
      <c r="C66" t="s">
        <v>283</v>
      </c>
      <c r="D66" t="s">
        <v>273</v>
      </c>
      <c r="E66" s="96">
        <v>12.903427124023438</v>
      </c>
      <c r="F66" s="96">
        <v>12.892425537109375</v>
      </c>
      <c r="G66" s="96">
        <v>2.6690028607845306E-2</v>
      </c>
      <c r="H66" s="121"/>
      <c r="I66" s="120"/>
      <c r="J66" s="120"/>
      <c r="K66" s="120"/>
    </row>
    <row r="67" spans="1:11" x14ac:dyDescent="0.15">
      <c r="A67">
        <v>63</v>
      </c>
      <c r="B67" t="s">
        <v>205</v>
      </c>
      <c r="C67" t="s">
        <v>283</v>
      </c>
      <c r="D67" t="s">
        <v>273</v>
      </c>
      <c r="E67" s="96">
        <v>12.861992835998535</v>
      </c>
      <c r="F67" s="96">
        <v>12.892425537109375</v>
      </c>
      <c r="G67" s="96">
        <v>2.6690028607845306E-2</v>
      </c>
      <c r="H67" s="121"/>
      <c r="I67" s="120"/>
      <c r="J67" s="120"/>
      <c r="K67" s="120"/>
    </row>
    <row r="68" spans="1:11" x14ac:dyDescent="0.15">
      <c r="A68">
        <v>64</v>
      </c>
      <c r="B68" t="s">
        <v>206</v>
      </c>
      <c r="C68" t="s">
        <v>284</v>
      </c>
      <c r="D68" t="s">
        <v>273</v>
      </c>
      <c r="E68" s="96">
        <v>13.738175392150879</v>
      </c>
      <c r="F68" s="96">
        <v>13.764999389648438</v>
      </c>
      <c r="G68" s="96">
        <v>0.1237916573882103</v>
      </c>
      <c r="H68" s="121"/>
      <c r="I68" s="120"/>
      <c r="J68" s="120"/>
      <c r="K68" s="120"/>
    </row>
    <row r="69" spans="1:11" x14ac:dyDescent="0.15">
      <c r="A69">
        <v>65</v>
      </c>
      <c r="B69" t="s">
        <v>207</v>
      </c>
      <c r="C69" t="s">
        <v>284</v>
      </c>
      <c r="D69" t="s">
        <v>273</v>
      </c>
      <c r="E69" s="96">
        <v>13.656818389892578</v>
      </c>
      <c r="F69" s="96">
        <v>13.764999389648438</v>
      </c>
      <c r="G69" s="96">
        <v>0.1237916573882103</v>
      </c>
      <c r="H69" s="121"/>
      <c r="I69" s="120"/>
      <c r="J69" s="120"/>
      <c r="K69" s="120"/>
    </row>
    <row r="70" spans="1:11" x14ac:dyDescent="0.15">
      <c r="A70">
        <v>66</v>
      </c>
      <c r="B70" t="s">
        <v>208</v>
      </c>
      <c r="C70" t="s">
        <v>284</v>
      </c>
      <c r="D70" t="s">
        <v>273</v>
      </c>
      <c r="E70" s="96">
        <v>13.900003433227539</v>
      </c>
      <c r="F70" s="96">
        <v>13.764999389648438</v>
      </c>
      <c r="G70" s="96">
        <v>0.1237916573882103</v>
      </c>
      <c r="H70" s="121"/>
      <c r="I70" s="120"/>
      <c r="J70" s="120"/>
      <c r="K70" s="120"/>
    </row>
    <row r="71" spans="1:11" x14ac:dyDescent="0.15">
      <c r="A71">
        <v>67</v>
      </c>
      <c r="B71" t="s">
        <v>209</v>
      </c>
      <c r="E71" s="96"/>
      <c r="F71" s="96"/>
      <c r="G71" s="96"/>
      <c r="H71" s="121"/>
      <c r="I71" s="120"/>
      <c r="J71" s="120"/>
      <c r="K71" s="120"/>
    </row>
    <row r="72" spans="1:11" x14ac:dyDescent="0.15">
      <c r="A72">
        <v>68</v>
      </c>
      <c r="B72" t="s">
        <v>181</v>
      </c>
      <c r="E72" s="96"/>
      <c r="F72" s="96"/>
      <c r="G72" s="96"/>
      <c r="H72" s="121"/>
      <c r="I72" s="120"/>
      <c r="J72" s="120"/>
      <c r="K72" s="120"/>
    </row>
    <row r="73" spans="1:11" x14ac:dyDescent="0.15">
      <c r="A73">
        <v>69</v>
      </c>
      <c r="B73" t="s">
        <v>182</v>
      </c>
      <c r="E73" s="96"/>
      <c r="F73" s="96"/>
      <c r="G73" s="96"/>
      <c r="H73" s="121"/>
      <c r="I73" s="120"/>
      <c r="J73" s="120"/>
      <c r="K73" s="120"/>
    </row>
    <row r="74" spans="1:11" x14ac:dyDescent="0.15">
      <c r="A74">
        <v>70</v>
      </c>
      <c r="B74" t="s">
        <v>183</v>
      </c>
      <c r="E74" s="96"/>
      <c r="F74" s="96"/>
      <c r="G74" s="96"/>
      <c r="H74" s="121"/>
      <c r="I74" s="120"/>
      <c r="J74" s="120"/>
      <c r="K74" s="120"/>
    </row>
    <row r="75" spans="1:11" x14ac:dyDescent="0.15">
      <c r="A75">
        <v>71</v>
      </c>
      <c r="B75" t="s">
        <v>184</v>
      </c>
      <c r="E75" s="96"/>
      <c r="F75" s="96"/>
      <c r="G75" s="96"/>
      <c r="H75" s="121"/>
      <c r="I75" s="120"/>
      <c r="J75" s="120"/>
      <c r="K75" s="120"/>
    </row>
    <row r="76" spans="1:11" x14ac:dyDescent="0.15">
      <c r="A76">
        <v>72</v>
      </c>
      <c r="B76" t="s">
        <v>210</v>
      </c>
      <c r="E76" s="96"/>
      <c r="F76" s="96"/>
      <c r="G76" s="96"/>
      <c r="H76" s="121"/>
      <c r="I76" s="120"/>
      <c r="J76" s="120"/>
      <c r="K76" s="120"/>
    </row>
    <row r="77" spans="1:11" x14ac:dyDescent="0.15">
      <c r="A77">
        <v>73</v>
      </c>
      <c r="B77" t="s">
        <v>211</v>
      </c>
      <c r="E77" s="96"/>
      <c r="F77" s="96"/>
      <c r="G77" s="96"/>
      <c r="H77" s="121"/>
      <c r="I77" s="120"/>
      <c r="J77" s="120"/>
      <c r="K77" s="120"/>
    </row>
    <row r="78" spans="1:11" x14ac:dyDescent="0.15">
      <c r="A78">
        <v>74</v>
      </c>
      <c r="B78" t="s">
        <v>212</v>
      </c>
      <c r="E78" s="96"/>
      <c r="F78" s="96"/>
      <c r="G78" s="96"/>
      <c r="H78" s="121"/>
      <c r="I78" s="120"/>
      <c r="J78" s="120"/>
      <c r="K78" s="120"/>
    </row>
    <row r="79" spans="1:11" x14ac:dyDescent="0.15">
      <c r="A79">
        <v>75</v>
      </c>
      <c r="B79" t="s">
        <v>213</v>
      </c>
      <c r="E79" s="96"/>
      <c r="F79" s="96"/>
      <c r="G79" s="96"/>
      <c r="H79" s="121"/>
      <c r="I79" s="120"/>
      <c r="J79" s="120"/>
      <c r="K79" s="120"/>
    </row>
    <row r="80" spans="1:11" x14ac:dyDescent="0.15">
      <c r="A80">
        <v>76</v>
      </c>
      <c r="B80" t="s">
        <v>214</v>
      </c>
      <c r="E80" s="96"/>
      <c r="F80" s="96"/>
      <c r="G80" s="96"/>
      <c r="H80" s="121"/>
      <c r="I80" s="120"/>
      <c r="J80" s="120"/>
      <c r="K80" s="120"/>
    </row>
    <row r="81" spans="1:11" x14ac:dyDescent="0.15">
      <c r="A81">
        <v>77</v>
      </c>
      <c r="B81" t="s">
        <v>215</v>
      </c>
      <c r="E81" s="96"/>
      <c r="F81" s="96"/>
      <c r="G81" s="96"/>
      <c r="H81" s="121"/>
      <c r="I81" s="120"/>
      <c r="J81" s="120"/>
      <c r="K81" s="120"/>
    </row>
    <row r="82" spans="1:11" x14ac:dyDescent="0.15">
      <c r="A82">
        <v>78</v>
      </c>
      <c r="B82" t="s">
        <v>216</v>
      </c>
      <c r="E82" s="96"/>
      <c r="F82" s="96"/>
      <c r="G82" s="96"/>
      <c r="H82" s="121"/>
      <c r="I82" s="120"/>
      <c r="J82" s="120"/>
      <c r="K82" s="120"/>
    </row>
    <row r="83" spans="1:11" x14ac:dyDescent="0.15">
      <c r="A83">
        <v>79</v>
      </c>
      <c r="B83" t="s">
        <v>217</v>
      </c>
      <c r="E83" s="96"/>
      <c r="F83" s="96"/>
      <c r="G83" s="96"/>
      <c r="H83" s="121"/>
      <c r="I83" s="120"/>
      <c r="J83" s="120"/>
      <c r="K83" s="120"/>
    </row>
    <row r="84" spans="1:11" x14ac:dyDescent="0.15">
      <c r="A84">
        <v>80</v>
      </c>
      <c r="B84" t="s">
        <v>218</v>
      </c>
      <c r="E84" s="96"/>
      <c r="F84" s="96"/>
      <c r="G84" s="96"/>
      <c r="H84" s="121"/>
      <c r="I84" s="120"/>
      <c r="J84" s="120"/>
      <c r="K84" s="120"/>
    </row>
    <row r="85" spans="1:11" x14ac:dyDescent="0.15">
      <c r="A85">
        <v>81</v>
      </c>
      <c r="B85" t="s">
        <v>219</v>
      </c>
      <c r="E85" s="96"/>
      <c r="F85" s="96"/>
      <c r="G85" s="96"/>
      <c r="H85" s="121"/>
      <c r="I85" s="120"/>
      <c r="J85" s="120"/>
      <c r="K85" s="120"/>
    </row>
    <row r="86" spans="1:11" x14ac:dyDescent="0.15">
      <c r="A86">
        <v>82</v>
      </c>
      <c r="B86" t="s">
        <v>220</v>
      </c>
      <c r="E86" s="96"/>
      <c r="F86" s="96"/>
      <c r="G86" s="96"/>
      <c r="H86" s="121"/>
      <c r="I86" s="120"/>
      <c r="J86" s="120"/>
      <c r="K86" s="120"/>
    </row>
    <row r="87" spans="1:11" x14ac:dyDescent="0.15">
      <c r="A87">
        <v>83</v>
      </c>
      <c r="B87" t="s">
        <v>221</v>
      </c>
      <c r="E87" s="96"/>
      <c r="F87" s="96"/>
      <c r="G87" s="96"/>
      <c r="H87" s="121"/>
      <c r="I87" s="120"/>
      <c r="J87" s="120"/>
      <c r="K87" s="120"/>
    </row>
    <row r="88" spans="1:11" x14ac:dyDescent="0.15">
      <c r="A88">
        <v>84</v>
      </c>
      <c r="B88" t="s">
        <v>222</v>
      </c>
      <c r="E88" s="96"/>
      <c r="F88" s="96"/>
      <c r="G88" s="96"/>
      <c r="H88" s="121"/>
      <c r="I88" s="120"/>
      <c r="J88" s="120"/>
      <c r="K88" s="120"/>
    </row>
    <row r="89" spans="1:11" x14ac:dyDescent="0.15">
      <c r="A89">
        <v>85</v>
      </c>
      <c r="B89" t="s">
        <v>223</v>
      </c>
      <c r="E89" s="96"/>
      <c r="F89" s="96"/>
      <c r="G89" s="96"/>
      <c r="H89" s="121"/>
      <c r="I89" s="120"/>
      <c r="J89" s="120"/>
      <c r="K89" s="120"/>
    </row>
    <row r="90" spans="1:11" x14ac:dyDescent="0.15">
      <c r="A90">
        <v>86</v>
      </c>
      <c r="B90" t="s">
        <v>224</v>
      </c>
      <c r="E90" s="96"/>
      <c r="F90" s="96"/>
      <c r="G90" s="96"/>
      <c r="H90" s="121"/>
      <c r="I90" s="120"/>
      <c r="J90" s="120"/>
      <c r="K90" s="120"/>
    </row>
    <row r="91" spans="1:11" x14ac:dyDescent="0.15">
      <c r="A91">
        <v>87</v>
      </c>
      <c r="B91" t="s">
        <v>225</v>
      </c>
      <c r="E91" s="96"/>
      <c r="F91" s="96"/>
      <c r="G91" s="96"/>
      <c r="H91" s="121"/>
      <c r="I91" s="120"/>
      <c r="J91" s="120"/>
      <c r="K91" s="120"/>
    </row>
    <row r="92" spans="1:11" x14ac:dyDescent="0.15">
      <c r="A92">
        <v>88</v>
      </c>
      <c r="B92" t="s">
        <v>226</v>
      </c>
      <c r="E92" s="96"/>
      <c r="F92" s="96"/>
      <c r="G92" s="96"/>
      <c r="H92" s="121"/>
      <c r="I92" s="120"/>
      <c r="J92" s="120"/>
      <c r="K92" s="120"/>
    </row>
    <row r="93" spans="1:11" x14ac:dyDescent="0.15">
      <c r="A93">
        <v>89</v>
      </c>
      <c r="B93" t="s">
        <v>227</v>
      </c>
      <c r="E93" s="96"/>
      <c r="F93" s="96"/>
      <c r="G93" s="96"/>
      <c r="H93" s="121"/>
      <c r="I93" s="120"/>
      <c r="J93" s="120"/>
      <c r="K93" s="120"/>
    </row>
    <row r="94" spans="1:11" x14ac:dyDescent="0.15">
      <c r="A94">
        <v>90</v>
      </c>
      <c r="B94" t="s">
        <v>228</v>
      </c>
      <c r="E94" s="96"/>
      <c r="F94" s="96"/>
      <c r="G94" s="96"/>
      <c r="H94" s="121"/>
      <c r="I94" s="120"/>
      <c r="J94" s="120"/>
      <c r="K94" s="120"/>
    </row>
    <row r="95" spans="1:11" x14ac:dyDescent="0.15">
      <c r="A95">
        <v>91</v>
      </c>
      <c r="B95" t="s">
        <v>229</v>
      </c>
      <c r="E95" s="96"/>
      <c r="F95" s="96"/>
      <c r="G95" s="96"/>
      <c r="H95" s="121"/>
      <c r="I95" s="120"/>
      <c r="J95" s="120"/>
      <c r="K95" s="120"/>
    </row>
    <row r="96" spans="1:11" x14ac:dyDescent="0.15">
      <c r="A96">
        <v>92</v>
      </c>
      <c r="B96" t="s">
        <v>230</v>
      </c>
      <c r="E96" s="96"/>
      <c r="F96" s="96"/>
      <c r="G96" s="96"/>
      <c r="H96" s="121"/>
      <c r="I96" s="120"/>
      <c r="J96" s="120"/>
      <c r="K96" s="120"/>
    </row>
    <row r="97" spans="1:11" x14ac:dyDescent="0.15">
      <c r="A97">
        <v>93</v>
      </c>
      <c r="B97" t="s">
        <v>231</v>
      </c>
      <c r="E97" s="96"/>
      <c r="F97" s="96"/>
      <c r="G97" s="96"/>
      <c r="H97" s="121"/>
      <c r="I97" s="120"/>
      <c r="J97" s="120"/>
      <c r="K97" s="120"/>
    </row>
    <row r="98" spans="1:11" x14ac:dyDescent="0.15">
      <c r="A98">
        <v>94</v>
      </c>
      <c r="B98" t="s">
        <v>232</v>
      </c>
      <c r="E98" s="96"/>
      <c r="F98" s="96"/>
      <c r="G98" s="96"/>
      <c r="H98" s="121"/>
      <c r="I98" s="120"/>
      <c r="J98" s="120"/>
      <c r="K98" s="120"/>
    </row>
    <row r="99" spans="1:11" x14ac:dyDescent="0.15">
      <c r="A99">
        <v>95</v>
      </c>
      <c r="B99" t="s">
        <v>233</v>
      </c>
      <c r="E99" s="96"/>
      <c r="F99" s="96"/>
      <c r="G99" s="96"/>
      <c r="H99" s="121"/>
      <c r="I99" s="120"/>
      <c r="J99" s="120"/>
      <c r="K99" s="120"/>
    </row>
    <row r="100" spans="1:11" x14ac:dyDescent="0.15">
      <c r="A100">
        <v>96</v>
      </c>
      <c r="B100" t="s">
        <v>234</v>
      </c>
      <c r="F100" s="96"/>
      <c r="G100" s="96"/>
      <c r="H100" s="121"/>
      <c r="I100" s="120"/>
      <c r="J100" s="120"/>
      <c r="K100" s="120"/>
    </row>
  </sheetData>
  <conditionalFormatting sqref="E2:E10 E14:E65537">
    <cfRule type="cellIs" dxfId="1" priority="2" stopIfTrue="1" operator="greaterThan">
      <formula>26</formula>
    </cfRule>
  </conditionalFormatting>
  <conditionalFormatting sqref="F35:F37">
    <cfRule type="cellIs" dxfId="0" priority="1" stopIfTrue="1" operator="greaterThan">
      <formula>26</formula>
    </cfRule>
  </conditionalFormatting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2294-2619-F64F-BA93-AF17DC2A902D}">
  <dimension ref="A1:V62"/>
  <sheetViews>
    <sheetView tabSelected="1" zoomScale="110" zoomScaleNormal="110" workbookViewId="0">
      <selection activeCell="D9" sqref="D9"/>
    </sheetView>
  </sheetViews>
  <sheetFormatPr baseColWidth="10" defaultRowHeight="13" x14ac:dyDescent="0.15"/>
  <cols>
    <col min="1" max="1" width="16.83203125" bestFit="1" customWidth="1"/>
    <col min="2" max="2" width="21" bestFit="1" customWidth="1"/>
    <col min="3" max="3" width="19.5" bestFit="1" customWidth="1"/>
    <col min="4" max="4" width="16.83203125" customWidth="1"/>
    <col min="5" max="5" width="15.33203125" bestFit="1" customWidth="1"/>
    <col min="6" max="6" width="16.1640625" style="97" bestFit="1" customWidth="1"/>
    <col min="7" max="8" width="12.1640625" bestFit="1" customWidth="1"/>
    <col min="9" max="9" width="15.1640625" bestFit="1" customWidth="1"/>
    <col min="10" max="10" width="11.5" customWidth="1"/>
    <col min="11" max="11" width="10.33203125" bestFit="1" customWidth="1"/>
    <col min="12" max="14" width="8.83203125" customWidth="1"/>
    <col min="15" max="15" width="14" bestFit="1" customWidth="1"/>
    <col min="16" max="256" width="8.83203125" customWidth="1"/>
    <col min="257" max="257" width="16.83203125" bestFit="1" customWidth="1"/>
    <col min="258" max="258" width="21" bestFit="1" customWidth="1"/>
    <col min="259" max="259" width="19.5" bestFit="1" customWidth="1"/>
    <col min="260" max="260" width="13.5" customWidth="1"/>
    <col min="261" max="261" width="15.33203125" bestFit="1" customWidth="1"/>
    <col min="262" max="262" width="16.1640625" bestFit="1" customWidth="1"/>
    <col min="263" max="264" width="12.1640625" bestFit="1" customWidth="1"/>
    <col min="265" max="265" width="15.1640625" bestFit="1" customWidth="1"/>
    <col min="266" max="266" width="11.5" customWidth="1"/>
    <col min="267" max="267" width="10.33203125" bestFit="1" customWidth="1"/>
    <col min="268" max="512" width="8.83203125" customWidth="1"/>
    <col min="513" max="513" width="16.83203125" bestFit="1" customWidth="1"/>
    <col min="514" max="514" width="21" bestFit="1" customWidth="1"/>
    <col min="515" max="515" width="19.5" bestFit="1" customWidth="1"/>
    <col min="516" max="516" width="13.5" customWidth="1"/>
    <col min="517" max="517" width="15.33203125" bestFit="1" customWidth="1"/>
    <col min="518" max="518" width="16.1640625" bestFit="1" customWidth="1"/>
    <col min="519" max="520" width="12.1640625" bestFit="1" customWidth="1"/>
    <col min="521" max="521" width="15.1640625" bestFit="1" customWidth="1"/>
    <col min="522" max="522" width="11.5" customWidth="1"/>
    <col min="523" max="523" width="10.33203125" bestFit="1" customWidth="1"/>
    <col min="524" max="768" width="8.83203125" customWidth="1"/>
    <col min="769" max="769" width="16.83203125" bestFit="1" customWidth="1"/>
    <col min="770" max="770" width="21" bestFit="1" customWidth="1"/>
    <col min="771" max="771" width="19.5" bestFit="1" customWidth="1"/>
    <col min="772" max="772" width="13.5" customWidth="1"/>
    <col min="773" max="773" width="15.33203125" bestFit="1" customWidth="1"/>
    <col min="774" max="774" width="16.1640625" bestFit="1" customWidth="1"/>
    <col min="775" max="776" width="12.1640625" bestFit="1" customWidth="1"/>
    <col min="777" max="777" width="15.1640625" bestFit="1" customWidth="1"/>
    <col min="778" max="778" width="11.5" customWidth="1"/>
    <col min="779" max="779" width="10.33203125" bestFit="1" customWidth="1"/>
    <col min="780" max="1024" width="8.83203125" customWidth="1"/>
    <col min="1025" max="1025" width="16.83203125" bestFit="1" customWidth="1"/>
    <col min="1026" max="1026" width="21" bestFit="1" customWidth="1"/>
    <col min="1027" max="1027" width="19.5" bestFit="1" customWidth="1"/>
    <col min="1028" max="1028" width="13.5" customWidth="1"/>
    <col min="1029" max="1029" width="15.33203125" bestFit="1" customWidth="1"/>
    <col min="1030" max="1030" width="16.1640625" bestFit="1" customWidth="1"/>
    <col min="1031" max="1032" width="12.1640625" bestFit="1" customWidth="1"/>
    <col min="1033" max="1033" width="15.1640625" bestFit="1" customWidth="1"/>
    <col min="1034" max="1034" width="11.5" customWidth="1"/>
    <col min="1035" max="1035" width="10.33203125" bestFit="1" customWidth="1"/>
    <col min="1036" max="1280" width="8.83203125" customWidth="1"/>
    <col min="1281" max="1281" width="16.83203125" bestFit="1" customWidth="1"/>
    <col min="1282" max="1282" width="21" bestFit="1" customWidth="1"/>
    <col min="1283" max="1283" width="19.5" bestFit="1" customWidth="1"/>
    <col min="1284" max="1284" width="13.5" customWidth="1"/>
    <col min="1285" max="1285" width="15.33203125" bestFit="1" customWidth="1"/>
    <col min="1286" max="1286" width="16.1640625" bestFit="1" customWidth="1"/>
    <col min="1287" max="1288" width="12.1640625" bestFit="1" customWidth="1"/>
    <col min="1289" max="1289" width="15.1640625" bestFit="1" customWidth="1"/>
    <col min="1290" max="1290" width="11.5" customWidth="1"/>
    <col min="1291" max="1291" width="10.33203125" bestFit="1" customWidth="1"/>
    <col min="1292" max="1536" width="8.83203125" customWidth="1"/>
    <col min="1537" max="1537" width="16.83203125" bestFit="1" customWidth="1"/>
    <col min="1538" max="1538" width="21" bestFit="1" customWidth="1"/>
    <col min="1539" max="1539" width="19.5" bestFit="1" customWidth="1"/>
    <col min="1540" max="1540" width="13.5" customWidth="1"/>
    <col min="1541" max="1541" width="15.33203125" bestFit="1" customWidth="1"/>
    <col min="1542" max="1542" width="16.1640625" bestFit="1" customWidth="1"/>
    <col min="1543" max="1544" width="12.1640625" bestFit="1" customWidth="1"/>
    <col min="1545" max="1545" width="15.1640625" bestFit="1" customWidth="1"/>
    <col min="1546" max="1546" width="11.5" customWidth="1"/>
    <col min="1547" max="1547" width="10.33203125" bestFit="1" customWidth="1"/>
    <col min="1548" max="1792" width="8.83203125" customWidth="1"/>
    <col min="1793" max="1793" width="16.83203125" bestFit="1" customWidth="1"/>
    <col min="1794" max="1794" width="21" bestFit="1" customWidth="1"/>
    <col min="1795" max="1795" width="19.5" bestFit="1" customWidth="1"/>
    <col min="1796" max="1796" width="13.5" customWidth="1"/>
    <col min="1797" max="1797" width="15.33203125" bestFit="1" customWidth="1"/>
    <col min="1798" max="1798" width="16.1640625" bestFit="1" customWidth="1"/>
    <col min="1799" max="1800" width="12.1640625" bestFit="1" customWidth="1"/>
    <col min="1801" max="1801" width="15.1640625" bestFit="1" customWidth="1"/>
    <col min="1802" max="1802" width="11.5" customWidth="1"/>
    <col min="1803" max="1803" width="10.33203125" bestFit="1" customWidth="1"/>
    <col min="1804" max="2048" width="8.83203125" customWidth="1"/>
    <col min="2049" max="2049" width="16.83203125" bestFit="1" customWidth="1"/>
    <col min="2050" max="2050" width="21" bestFit="1" customWidth="1"/>
    <col min="2051" max="2051" width="19.5" bestFit="1" customWidth="1"/>
    <col min="2052" max="2052" width="13.5" customWidth="1"/>
    <col min="2053" max="2053" width="15.33203125" bestFit="1" customWidth="1"/>
    <col min="2054" max="2054" width="16.1640625" bestFit="1" customWidth="1"/>
    <col min="2055" max="2056" width="12.1640625" bestFit="1" customWidth="1"/>
    <col min="2057" max="2057" width="15.1640625" bestFit="1" customWidth="1"/>
    <col min="2058" max="2058" width="11.5" customWidth="1"/>
    <col min="2059" max="2059" width="10.33203125" bestFit="1" customWidth="1"/>
    <col min="2060" max="2304" width="8.83203125" customWidth="1"/>
    <col min="2305" max="2305" width="16.83203125" bestFit="1" customWidth="1"/>
    <col min="2306" max="2306" width="21" bestFit="1" customWidth="1"/>
    <col min="2307" max="2307" width="19.5" bestFit="1" customWidth="1"/>
    <col min="2308" max="2308" width="13.5" customWidth="1"/>
    <col min="2309" max="2309" width="15.33203125" bestFit="1" customWidth="1"/>
    <col min="2310" max="2310" width="16.1640625" bestFit="1" customWidth="1"/>
    <col min="2311" max="2312" width="12.1640625" bestFit="1" customWidth="1"/>
    <col min="2313" max="2313" width="15.1640625" bestFit="1" customWidth="1"/>
    <col min="2314" max="2314" width="11.5" customWidth="1"/>
    <col min="2315" max="2315" width="10.33203125" bestFit="1" customWidth="1"/>
    <col min="2316" max="2560" width="8.83203125" customWidth="1"/>
    <col min="2561" max="2561" width="16.83203125" bestFit="1" customWidth="1"/>
    <col min="2562" max="2562" width="21" bestFit="1" customWidth="1"/>
    <col min="2563" max="2563" width="19.5" bestFit="1" customWidth="1"/>
    <col min="2564" max="2564" width="13.5" customWidth="1"/>
    <col min="2565" max="2565" width="15.33203125" bestFit="1" customWidth="1"/>
    <col min="2566" max="2566" width="16.1640625" bestFit="1" customWidth="1"/>
    <col min="2567" max="2568" width="12.1640625" bestFit="1" customWidth="1"/>
    <col min="2569" max="2569" width="15.1640625" bestFit="1" customWidth="1"/>
    <col min="2570" max="2570" width="11.5" customWidth="1"/>
    <col min="2571" max="2571" width="10.33203125" bestFit="1" customWidth="1"/>
    <col min="2572" max="2816" width="8.83203125" customWidth="1"/>
    <col min="2817" max="2817" width="16.83203125" bestFit="1" customWidth="1"/>
    <col min="2818" max="2818" width="21" bestFit="1" customWidth="1"/>
    <col min="2819" max="2819" width="19.5" bestFit="1" customWidth="1"/>
    <col min="2820" max="2820" width="13.5" customWidth="1"/>
    <col min="2821" max="2821" width="15.33203125" bestFit="1" customWidth="1"/>
    <col min="2822" max="2822" width="16.1640625" bestFit="1" customWidth="1"/>
    <col min="2823" max="2824" width="12.1640625" bestFit="1" customWidth="1"/>
    <col min="2825" max="2825" width="15.1640625" bestFit="1" customWidth="1"/>
    <col min="2826" max="2826" width="11.5" customWidth="1"/>
    <col min="2827" max="2827" width="10.33203125" bestFit="1" customWidth="1"/>
    <col min="2828" max="3072" width="8.83203125" customWidth="1"/>
    <col min="3073" max="3073" width="16.83203125" bestFit="1" customWidth="1"/>
    <col min="3074" max="3074" width="21" bestFit="1" customWidth="1"/>
    <col min="3075" max="3075" width="19.5" bestFit="1" customWidth="1"/>
    <col min="3076" max="3076" width="13.5" customWidth="1"/>
    <col min="3077" max="3077" width="15.33203125" bestFit="1" customWidth="1"/>
    <col min="3078" max="3078" width="16.1640625" bestFit="1" customWidth="1"/>
    <col min="3079" max="3080" width="12.1640625" bestFit="1" customWidth="1"/>
    <col min="3081" max="3081" width="15.1640625" bestFit="1" customWidth="1"/>
    <col min="3082" max="3082" width="11.5" customWidth="1"/>
    <col min="3083" max="3083" width="10.33203125" bestFit="1" customWidth="1"/>
    <col min="3084" max="3328" width="8.83203125" customWidth="1"/>
    <col min="3329" max="3329" width="16.83203125" bestFit="1" customWidth="1"/>
    <col min="3330" max="3330" width="21" bestFit="1" customWidth="1"/>
    <col min="3331" max="3331" width="19.5" bestFit="1" customWidth="1"/>
    <col min="3332" max="3332" width="13.5" customWidth="1"/>
    <col min="3333" max="3333" width="15.33203125" bestFit="1" customWidth="1"/>
    <col min="3334" max="3334" width="16.1640625" bestFit="1" customWidth="1"/>
    <col min="3335" max="3336" width="12.1640625" bestFit="1" customWidth="1"/>
    <col min="3337" max="3337" width="15.1640625" bestFit="1" customWidth="1"/>
    <col min="3338" max="3338" width="11.5" customWidth="1"/>
    <col min="3339" max="3339" width="10.33203125" bestFit="1" customWidth="1"/>
    <col min="3340" max="3584" width="8.83203125" customWidth="1"/>
    <col min="3585" max="3585" width="16.83203125" bestFit="1" customWidth="1"/>
    <col min="3586" max="3586" width="21" bestFit="1" customWidth="1"/>
    <col min="3587" max="3587" width="19.5" bestFit="1" customWidth="1"/>
    <col min="3588" max="3588" width="13.5" customWidth="1"/>
    <col min="3589" max="3589" width="15.33203125" bestFit="1" customWidth="1"/>
    <col min="3590" max="3590" width="16.1640625" bestFit="1" customWidth="1"/>
    <col min="3591" max="3592" width="12.1640625" bestFit="1" customWidth="1"/>
    <col min="3593" max="3593" width="15.1640625" bestFit="1" customWidth="1"/>
    <col min="3594" max="3594" width="11.5" customWidth="1"/>
    <col min="3595" max="3595" width="10.33203125" bestFit="1" customWidth="1"/>
    <col min="3596" max="3840" width="8.83203125" customWidth="1"/>
    <col min="3841" max="3841" width="16.83203125" bestFit="1" customWidth="1"/>
    <col min="3842" max="3842" width="21" bestFit="1" customWidth="1"/>
    <col min="3843" max="3843" width="19.5" bestFit="1" customWidth="1"/>
    <col min="3844" max="3844" width="13.5" customWidth="1"/>
    <col min="3845" max="3845" width="15.33203125" bestFit="1" customWidth="1"/>
    <col min="3846" max="3846" width="16.1640625" bestFit="1" customWidth="1"/>
    <col min="3847" max="3848" width="12.1640625" bestFit="1" customWidth="1"/>
    <col min="3849" max="3849" width="15.1640625" bestFit="1" customWidth="1"/>
    <col min="3850" max="3850" width="11.5" customWidth="1"/>
    <col min="3851" max="3851" width="10.33203125" bestFit="1" customWidth="1"/>
    <col min="3852" max="4096" width="8.83203125" customWidth="1"/>
    <col min="4097" max="4097" width="16.83203125" bestFit="1" customWidth="1"/>
    <col min="4098" max="4098" width="21" bestFit="1" customWidth="1"/>
    <col min="4099" max="4099" width="19.5" bestFit="1" customWidth="1"/>
    <col min="4100" max="4100" width="13.5" customWidth="1"/>
    <col min="4101" max="4101" width="15.33203125" bestFit="1" customWidth="1"/>
    <col min="4102" max="4102" width="16.1640625" bestFit="1" customWidth="1"/>
    <col min="4103" max="4104" width="12.1640625" bestFit="1" customWidth="1"/>
    <col min="4105" max="4105" width="15.1640625" bestFit="1" customWidth="1"/>
    <col min="4106" max="4106" width="11.5" customWidth="1"/>
    <col min="4107" max="4107" width="10.33203125" bestFit="1" customWidth="1"/>
    <col min="4108" max="4352" width="8.83203125" customWidth="1"/>
    <col min="4353" max="4353" width="16.83203125" bestFit="1" customWidth="1"/>
    <col min="4354" max="4354" width="21" bestFit="1" customWidth="1"/>
    <col min="4355" max="4355" width="19.5" bestFit="1" customWidth="1"/>
    <col min="4356" max="4356" width="13.5" customWidth="1"/>
    <col min="4357" max="4357" width="15.33203125" bestFit="1" customWidth="1"/>
    <col min="4358" max="4358" width="16.1640625" bestFit="1" customWidth="1"/>
    <col min="4359" max="4360" width="12.1640625" bestFit="1" customWidth="1"/>
    <col min="4361" max="4361" width="15.1640625" bestFit="1" customWidth="1"/>
    <col min="4362" max="4362" width="11.5" customWidth="1"/>
    <col min="4363" max="4363" width="10.33203125" bestFit="1" customWidth="1"/>
    <col min="4364" max="4608" width="8.83203125" customWidth="1"/>
    <col min="4609" max="4609" width="16.83203125" bestFit="1" customWidth="1"/>
    <col min="4610" max="4610" width="21" bestFit="1" customWidth="1"/>
    <col min="4611" max="4611" width="19.5" bestFit="1" customWidth="1"/>
    <col min="4612" max="4612" width="13.5" customWidth="1"/>
    <col min="4613" max="4613" width="15.33203125" bestFit="1" customWidth="1"/>
    <col min="4614" max="4614" width="16.1640625" bestFit="1" customWidth="1"/>
    <col min="4615" max="4616" width="12.1640625" bestFit="1" customWidth="1"/>
    <col min="4617" max="4617" width="15.1640625" bestFit="1" customWidth="1"/>
    <col min="4618" max="4618" width="11.5" customWidth="1"/>
    <col min="4619" max="4619" width="10.33203125" bestFit="1" customWidth="1"/>
    <col min="4620" max="4864" width="8.83203125" customWidth="1"/>
    <col min="4865" max="4865" width="16.83203125" bestFit="1" customWidth="1"/>
    <col min="4866" max="4866" width="21" bestFit="1" customWidth="1"/>
    <col min="4867" max="4867" width="19.5" bestFit="1" customWidth="1"/>
    <col min="4868" max="4868" width="13.5" customWidth="1"/>
    <col min="4869" max="4869" width="15.33203125" bestFit="1" customWidth="1"/>
    <col min="4870" max="4870" width="16.1640625" bestFit="1" customWidth="1"/>
    <col min="4871" max="4872" width="12.1640625" bestFit="1" customWidth="1"/>
    <col min="4873" max="4873" width="15.1640625" bestFit="1" customWidth="1"/>
    <col min="4874" max="4874" width="11.5" customWidth="1"/>
    <col min="4875" max="4875" width="10.33203125" bestFit="1" customWidth="1"/>
    <col min="4876" max="5120" width="8.83203125" customWidth="1"/>
    <col min="5121" max="5121" width="16.83203125" bestFit="1" customWidth="1"/>
    <col min="5122" max="5122" width="21" bestFit="1" customWidth="1"/>
    <col min="5123" max="5123" width="19.5" bestFit="1" customWidth="1"/>
    <col min="5124" max="5124" width="13.5" customWidth="1"/>
    <col min="5125" max="5125" width="15.33203125" bestFit="1" customWidth="1"/>
    <col min="5126" max="5126" width="16.1640625" bestFit="1" customWidth="1"/>
    <col min="5127" max="5128" width="12.1640625" bestFit="1" customWidth="1"/>
    <col min="5129" max="5129" width="15.1640625" bestFit="1" customWidth="1"/>
    <col min="5130" max="5130" width="11.5" customWidth="1"/>
    <col min="5131" max="5131" width="10.33203125" bestFit="1" customWidth="1"/>
    <col min="5132" max="5376" width="8.83203125" customWidth="1"/>
    <col min="5377" max="5377" width="16.83203125" bestFit="1" customWidth="1"/>
    <col min="5378" max="5378" width="21" bestFit="1" customWidth="1"/>
    <col min="5379" max="5379" width="19.5" bestFit="1" customWidth="1"/>
    <col min="5380" max="5380" width="13.5" customWidth="1"/>
    <col min="5381" max="5381" width="15.33203125" bestFit="1" customWidth="1"/>
    <col min="5382" max="5382" width="16.1640625" bestFit="1" customWidth="1"/>
    <col min="5383" max="5384" width="12.1640625" bestFit="1" customWidth="1"/>
    <col min="5385" max="5385" width="15.1640625" bestFit="1" customWidth="1"/>
    <col min="5386" max="5386" width="11.5" customWidth="1"/>
    <col min="5387" max="5387" width="10.33203125" bestFit="1" customWidth="1"/>
    <col min="5388" max="5632" width="8.83203125" customWidth="1"/>
    <col min="5633" max="5633" width="16.83203125" bestFit="1" customWidth="1"/>
    <col min="5634" max="5634" width="21" bestFit="1" customWidth="1"/>
    <col min="5635" max="5635" width="19.5" bestFit="1" customWidth="1"/>
    <col min="5636" max="5636" width="13.5" customWidth="1"/>
    <col min="5637" max="5637" width="15.33203125" bestFit="1" customWidth="1"/>
    <col min="5638" max="5638" width="16.1640625" bestFit="1" customWidth="1"/>
    <col min="5639" max="5640" width="12.1640625" bestFit="1" customWidth="1"/>
    <col min="5641" max="5641" width="15.1640625" bestFit="1" customWidth="1"/>
    <col min="5642" max="5642" width="11.5" customWidth="1"/>
    <col min="5643" max="5643" width="10.33203125" bestFit="1" customWidth="1"/>
    <col min="5644" max="5888" width="8.83203125" customWidth="1"/>
    <col min="5889" max="5889" width="16.83203125" bestFit="1" customWidth="1"/>
    <col min="5890" max="5890" width="21" bestFit="1" customWidth="1"/>
    <col min="5891" max="5891" width="19.5" bestFit="1" customWidth="1"/>
    <col min="5892" max="5892" width="13.5" customWidth="1"/>
    <col min="5893" max="5893" width="15.33203125" bestFit="1" customWidth="1"/>
    <col min="5894" max="5894" width="16.1640625" bestFit="1" customWidth="1"/>
    <col min="5895" max="5896" width="12.1640625" bestFit="1" customWidth="1"/>
    <col min="5897" max="5897" width="15.1640625" bestFit="1" customWidth="1"/>
    <col min="5898" max="5898" width="11.5" customWidth="1"/>
    <col min="5899" max="5899" width="10.33203125" bestFit="1" customWidth="1"/>
    <col min="5900" max="6144" width="8.83203125" customWidth="1"/>
    <col min="6145" max="6145" width="16.83203125" bestFit="1" customWidth="1"/>
    <col min="6146" max="6146" width="21" bestFit="1" customWidth="1"/>
    <col min="6147" max="6147" width="19.5" bestFit="1" customWidth="1"/>
    <col min="6148" max="6148" width="13.5" customWidth="1"/>
    <col min="6149" max="6149" width="15.33203125" bestFit="1" customWidth="1"/>
    <col min="6150" max="6150" width="16.1640625" bestFit="1" customWidth="1"/>
    <col min="6151" max="6152" width="12.1640625" bestFit="1" customWidth="1"/>
    <col min="6153" max="6153" width="15.1640625" bestFit="1" customWidth="1"/>
    <col min="6154" max="6154" width="11.5" customWidth="1"/>
    <col min="6155" max="6155" width="10.33203125" bestFit="1" customWidth="1"/>
    <col min="6156" max="6400" width="8.83203125" customWidth="1"/>
    <col min="6401" max="6401" width="16.83203125" bestFit="1" customWidth="1"/>
    <col min="6402" max="6402" width="21" bestFit="1" customWidth="1"/>
    <col min="6403" max="6403" width="19.5" bestFit="1" customWidth="1"/>
    <col min="6404" max="6404" width="13.5" customWidth="1"/>
    <col min="6405" max="6405" width="15.33203125" bestFit="1" customWidth="1"/>
    <col min="6406" max="6406" width="16.1640625" bestFit="1" customWidth="1"/>
    <col min="6407" max="6408" width="12.1640625" bestFit="1" customWidth="1"/>
    <col min="6409" max="6409" width="15.1640625" bestFit="1" customWidth="1"/>
    <col min="6410" max="6410" width="11.5" customWidth="1"/>
    <col min="6411" max="6411" width="10.33203125" bestFit="1" customWidth="1"/>
    <col min="6412" max="6656" width="8.83203125" customWidth="1"/>
    <col min="6657" max="6657" width="16.83203125" bestFit="1" customWidth="1"/>
    <col min="6658" max="6658" width="21" bestFit="1" customWidth="1"/>
    <col min="6659" max="6659" width="19.5" bestFit="1" customWidth="1"/>
    <col min="6660" max="6660" width="13.5" customWidth="1"/>
    <col min="6661" max="6661" width="15.33203125" bestFit="1" customWidth="1"/>
    <col min="6662" max="6662" width="16.1640625" bestFit="1" customWidth="1"/>
    <col min="6663" max="6664" width="12.1640625" bestFit="1" customWidth="1"/>
    <col min="6665" max="6665" width="15.1640625" bestFit="1" customWidth="1"/>
    <col min="6666" max="6666" width="11.5" customWidth="1"/>
    <col min="6667" max="6667" width="10.33203125" bestFit="1" customWidth="1"/>
    <col min="6668" max="6912" width="8.83203125" customWidth="1"/>
    <col min="6913" max="6913" width="16.83203125" bestFit="1" customWidth="1"/>
    <col min="6914" max="6914" width="21" bestFit="1" customWidth="1"/>
    <col min="6915" max="6915" width="19.5" bestFit="1" customWidth="1"/>
    <col min="6916" max="6916" width="13.5" customWidth="1"/>
    <col min="6917" max="6917" width="15.33203125" bestFit="1" customWidth="1"/>
    <col min="6918" max="6918" width="16.1640625" bestFit="1" customWidth="1"/>
    <col min="6919" max="6920" width="12.1640625" bestFit="1" customWidth="1"/>
    <col min="6921" max="6921" width="15.1640625" bestFit="1" customWidth="1"/>
    <col min="6922" max="6922" width="11.5" customWidth="1"/>
    <col min="6923" max="6923" width="10.33203125" bestFit="1" customWidth="1"/>
    <col min="6924" max="7168" width="8.83203125" customWidth="1"/>
    <col min="7169" max="7169" width="16.83203125" bestFit="1" customWidth="1"/>
    <col min="7170" max="7170" width="21" bestFit="1" customWidth="1"/>
    <col min="7171" max="7171" width="19.5" bestFit="1" customWidth="1"/>
    <col min="7172" max="7172" width="13.5" customWidth="1"/>
    <col min="7173" max="7173" width="15.33203125" bestFit="1" customWidth="1"/>
    <col min="7174" max="7174" width="16.1640625" bestFit="1" customWidth="1"/>
    <col min="7175" max="7176" width="12.1640625" bestFit="1" customWidth="1"/>
    <col min="7177" max="7177" width="15.1640625" bestFit="1" customWidth="1"/>
    <col min="7178" max="7178" width="11.5" customWidth="1"/>
    <col min="7179" max="7179" width="10.33203125" bestFit="1" customWidth="1"/>
    <col min="7180" max="7424" width="8.83203125" customWidth="1"/>
    <col min="7425" max="7425" width="16.83203125" bestFit="1" customWidth="1"/>
    <col min="7426" max="7426" width="21" bestFit="1" customWidth="1"/>
    <col min="7427" max="7427" width="19.5" bestFit="1" customWidth="1"/>
    <col min="7428" max="7428" width="13.5" customWidth="1"/>
    <col min="7429" max="7429" width="15.33203125" bestFit="1" customWidth="1"/>
    <col min="7430" max="7430" width="16.1640625" bestFit="1" customWidth="1"/>
    <col min="7431" max="7432" width="12.1640625" bestFit="1" customWidth="1"/>
    <col min="7433" max="7433" width="15.1640625" bestFit="1" customWidth="1"/>
    <col min="7434" max="7434" width="11.5" customWidth="1"/>
    <col min="7435" max="7435" width="10.33203125" bestFit="1" customWidth="1"/>
    <col min="7436" max="7680" width="8.83203125" customWidth="1"/>
    <col min="7681" max="7681" width="16.83203125" bestFit="1" customWidth="1"/>
    <col min="7682" max="7682" width="21" bestFit="1" customWidth="1"/>
    <col min="7683" max="7683" width="19.5" bestFit="1" customWidth="1"/>
    <col min="7684" max="7684" width="13.5" customWidth="1"/>
    <col min="7685" max="7685" width="15.33203125" bestFit="1" customWidth="1"/>
    <col min="7686" max="7686" width="16.1640625" bestFit="1" customWidth="1"/>
    <col min="7687" max="7688" width="12.1640625" bestFit="1" customWidth="1"/>
    <col min="7689" max="7689" width="15.1640625" bestFit="1" customWidth="1"/>
    <col min="7690" max="7690" width="11.5" customWidth="1"/>
    <col min="7691" max="7691" width="10.33203125" bestFit="1" customWidth="1"/>
    <col min="7692" max="7936" width="8.83203125" customWidth="1"/>
    <col min="7937" max="7937" width="16.83203125" bestFit="1" customWidth="1"/>
    <col min="7938" max="7938" width="21" bestFit="1" customWidth="1"/>
    <col min="7939" max="7939" width="19.5" bestFit="1" customWidth="1"/>
    <col min="7940" max="7940" width="13.5" customWidth="1"/>
    <col min="7941" max="7941" width="15.33203125" bestFit="1" customWidth="1"/>
    <col min="7942" max="7942" width="16.1640625" bestFit="1" customWidth="1"/>
    <col min="7943" max="7944" width="12.1640625" bestFit="1" customWidth="1"/>
    <col min="7945" max="7945" width="15.1640625" bestFit="1" customWidth="1"/>
    <col min="7946" max="7946" width="11.5" customWidth="1"/>
    <col min="7947" max="7947" width="10.33203125" bestFit="1" customWidth="1"/>
    <col min="7948" max="8192" width="8.83203125" customWidth="1"/>
    <col min="8193" max="8193" width="16.83203125" bestFit="1" customWidth="1"/>
    <col min="8194" max="8194" width="21" bestFit="1" customWidth="1"/>
    <col min="8195" max="8195" width="19.5" bestFit="1" customWidth="1"/>
    <col min="8196" max="8196" width="13.5" customWidth="1"/>
    <col min="8197" max="8197" width="15.33203125" bestFit="1" customWidth="1"/>
    <col min="8198" max="8198" width="16.1640625" bestFit="1" customWidth="1"/>
    <col min="8199" max="8200" width="12.1640625" bestFit="1" customWidth="1"/>
    <col min="8201" max="8201" width="15.1640625" bestFit="1" customWidth="1"/>
    <col min="8202" max="8202" width="11.5" customWidth="1"/>
    <col min="8203" max="8203" width="10.33203125" bestFit="1" customWidth="1"/>
    <col min="8204" max="8448" width="8.83203125" customWidth="1"/>
    <col min="8449" max="8449" width="16.83203125" bestFit="1" customWidth="1"/>
    <col min="8450" max="8450" width="21" bestFit="1" customWidth="1"/>
    <col min="8451" max="8451" width="19.5" bestFit="1" customWidth="1"/>
    <col min="8452" max="8452" width="13.5" customWidth="1"/>
    <col min="8453" max="8453" width="15.33203125" bestFit="1" customWidth="1"/>
    <col min="8454" max="8454" width="16.1640625" bestFit="1" customWidth="1"/>
    <col min="8455" max="8456" width="12.1640625" bestFit="1" customWidth="1"/>
    <col min="8457" max="8457" width="15.1640625" bestFit="1" customWidth="1"/>
    <col min="8458" max="8458" width="11.5" customWidth="1"/>
    <col min="8459" max="8459" width="10.33203125" bestFit="1" customWidth="1"/>
    <col min="8460" max="8704" width="8.83203125" customWidth="1"/>
    <col min="8705" max="8705" width="16.83203125" bestFit="1" customWidth="1"/>
    <col min="8706" max="8706" width="21" bestFit="1" customWidth="1"/>
    <col min="8707" max="8707" width="19.5" bestFit="1" customWidth="1"/>
    <col min="8708" max="8708" width="13.5" customWidth="1"/>
    <col min="8709" max="8709" width="15.33203125" bestFit="1" customWidth="1"/>
    <col min="8710" max="8710" width="16.1640625" bestFit="1" customWidth="1"/>
    <col min="8711" max="8712" width="12.1640625" bestFit="1" customWidth="1"/>
    <col min="8713" max="8713" width="15.1640625" bestFit="1" customWidth="1"/>
    <col min="8714" max="8714" width="11.5" customWidth="1"/>
    <col min="8715" max="8715" width="10.33203125" bestFit="1" customWidth="1"/>
    <col min="8716" max="8960" width="8.83203125" customWidth="1"/>
    <col min="8961" max="8961" width="16.83203125" bestFit="1" customWidth="1"/>
    <col min="8962" max="8962" width="21" bestFit="1" customWidth="1"/>
    <col min="8963" max="8963" width="19.5" bestFit="1" customWidth="1"/>
    <col min="8964" max="8964" width="13.5" customWidth="1"/>
    <col min="8965" max="8965" width="15.33203125" bestFit="1" customWidth="1"/>
    <col min="8966" max="8966" width="16.1640625" bestFit="1" customWidth="1"/>
    <col min="8967" max="8968" width="12.1640625" bestFit="1" customWidth="1"/>
    <col min="8969" max="8969" width="15.1640625" bestFit="1" customWidth="1"/>
    <col min="8970" max="8970" width="11.5" customWidth="1"/>
    <col min="8971" max="8971" width="10.33203125" bestFit="1" customWidth="1"/>
    <col min="8972" max="9216" width="8.83203125" customWidth="1"/>
    <col min="9217" max="9217" width="16.83203125" bestFit="1" customWidth="1"/>
    <col min="9218" max="9218" width="21" bestFit="1" customWidth="1"/>
    <col min="9219" max="9219" width="19.5" bestFit="1" customWidth="1"/>
    <col min="9220" max="9220" width="13.5" customWidth="1"/>
    <col min="9221" max="9221" width="15.33203125" bestFit="1" customWidth="1"/>
    <col min="9222" max="9222" width="16.1640625" bestFit="1" customWidth="1"/>
    <col min="9223" max="9224" width="12.1640625" bestFit="1" customWidth="1"/>
    <col min="9225" max="9225" width="15.1640625" bestFit="1" customWidth="1"/>
    <col min="9226" max="9226" width="11.5" customWidth="1"/>
    <col min="9227" max="9227" width="10.33203125" bestFit="1" customWidth="1"/>
    <col min="9228" max="9472" width="8.83203125" customWidth="1"/>
    <col min="9473" max="9473" width="16.83203125" bestFit="1" customWidth="1"/>
    <col min="9474" max="9474" width="21" bestFit="1" customWidth="1"/>
    <col min="9475" max="9475" width="19.5" bestFit="1" customWidth="1"/>
    <col min="9476" max="9476" width="13.5" customWidth="1"/>
    <col min="9477" max="9477" width="15.33203125" bestFit="1" customWidth="1"/>
    <col min="9478" max="9478" width="16.1640625" bestFit="1" customWidth="1"/>
    <col min="9479" max="9480" width="12.1640625" bestFit="1" customWidth="1"/>
    <col min="9481" max="9481" width="15.1640625" bestFit="1" customWidth="1"/>
    <col min="9482" max="9482" width="11.5" customWidth="1"/>
    <col min="9483" max="9483" width="10.33203125" bestFit="1" customWidth="1"/>
    <col min="9484" max="9728" width="8.83203125" customWidth="1"/>
    <col min="9729" max="9729" width="16.83203125" bestFit="1" customWidth="1"/>
    <col min="9730" max="9730" width="21" bestFit="1" customWidth="1"/>
    <col min="9731" max="9731" width="19.5" bestFit="1" customWidth="1"/>
    <col min="9732" max="9732" width="13.5" customWidth="1"/>
    <col min="9733" max="9733" width="15.33203125" bestFit="1" customWidth="1"/>
    <col min="9734" max="9734" width="16.1640625" bestFit="1" customWidth="1"/>
    <col min="9735" max="9736" width="12.1640625" bestFit="1" customWidth="1"/>
    <col min="9737" max="9737" width="15.1640625" bestFit="1" customWidth="1"/>
    <col min="9738" max="9738" width="11.5" customWidth="1"/>
    <col min="9739" max="9739" width="10.33203125" bestFit="1" customWidth="1"/>
    <col min="9740" max="9984" width="8.83203125" customWidth="1"/>
    <col min="9985" max="9985" width="16.83203125" bestFit="1" customWidth="1"/>
    <col min="9986" max="9986" width="21" bestFit="1" customWidth="1"/>
    <col min="9987" max="9987" width="19.5" bestFit="1" customWidth="1"/>
    <col min="9988" max="9988" width="13.5" customWidth="1"/>
    <col min="9989" max="9989" width="15.33203125" bestFit="1" customWidth="1"/>
    <col min="9990" max="9990" width="16.1640625" bestFit="1" customWidth="1"/>
    <col min="9991" max="9992" width="12.1640625" bestFit="1" customWidth="1"/>
    <col min="9993" max="9993" width="15.1640625" bestFit="1" customWidth="1"/>
    <col min="9994" max="9994" width="11.5" customWidth="1"/>
    <col min="9995" max="9995" width="10.33203125" bestFit="1" customWidth="1"/>
    <col min="9996" max="10240" width="8.83203125" customWidth="1"/>
    <col min="10241" max="10241" width="16.83203125" bestFit="1" customWidth="1"/>
    <col min="10242" max="10242" width="21" bestFit="1" customWidth="1"/>
    <col min="10243" max="10243" width="19.5" bestFit="1" customWidth="1"/>
    <col min="10244" max="10244" width="13.5" customWidth="1"/>
    <col min="10245" max="10245" width="15.33203125" bestFit="1" customWidth="1"/>
    <col min="10246" max="10246" width="16.1640625" bestFit="1" customWidth="1"/>
    <col min="10247" max="10248" width="12.1640625" bestFit="1" customWidth="1"/>
    <col min="10249" max="10249" width="15.1640625" bestFit="1" customWidth="1"/>
    <col min="10250" max="10250" width="11.5" customWidth="1"/>
    <col min="10251" max="10251" width="10.33203125" bestFit="1" customWidth="1"/>
    <col min="10252" max="10496" width="8.83203125" customWidth="1"/>
    <col min="10497" max="10497" width="16.83203125" bestFit="1" customWidth="1"/>
    <col min="10498" max="10498" width="21" bestFit="1" customWidth="1"/>
    <col min="10499" max="10499" width="19.5" bestFit="1" customWidth="1"/>
    <col min="10500" max="10500" width="13.5" customWidth="1"/>
    <col min="10501" max="10501" width="15.33203125" bestFit="1" customWidth="1"/>
    <col min="10502" max="10502" width="16.1640625" bestFit="1" customWidth="1"/>
    <col min="10503" max="10504" width="12.1640625" bestFit="1" customWidth="1"/>
    <col min="10505" max="10505" width="15.1640625" bestFit="1" customWidth="1"/>
    <col min="10506" max="10506" width="11.5" customWidth="1"/>
    <col min="10507" max="10507" width="10.33203125" bestFit="1" customWidth="1"/>
    <col min="10508" max="10752" width="8.83203125" customWidth="1"/>
    <col min="10753" max="10753" width="16.83203125" bestFit="1" customWidth="1"/>
    <col min="10754" max="10754" width="21" bestFit="1" customWidth="1"/>
    <col min="10755" max="10755" width="19.5" bestFit="1" customWidth="1"/>
    <col min="10756" max="10756" width="13.5" customWidth="1"/>
    <col min="10757" max="10757" width="15.33203125" bestFit="1" customWidth="1"/>
    <col min="10758" max="10758" width="16.1640625" bestFit="1" customWidth="1"/>
    <col min="10759" max="10760" width="12.1640625" bestFit="1" customWidth="1"/>
    <col min="10761" max="10761" width="15.1640625" bestFit="1" customWidth="1"/>
    <col min="10762" max="10762" width="11.5" customWidth="1"/>
    <col min="10763" max="10763" width="10.33203125" bestFit="1" customWidth="1"/>
    <col min="10764" max="11008" width="8.83203125" customWidth="1"/>
    <col min="11009" max="11009" width="16.83203125" bestFit="1" customWidth="1"/>
    <col min="11010" max="11010" width="21" bestFit="1" customWidth="1"/>
    <col min="11011" max="11011" width="19.5" bestFit="1" customWidth="1"/>
    <col min="11012" max="11012" width="13.5" customWidth="1"/>
    <col min="11013" max="11013" width="15.33203125" bestFit="1" customWidth="1"/>
    <col min="11014" max="11014" width="16.1640625" bestFit="1" customWidth="1"/>
    <col min="11015" max="11016" width="12.1640625" bestFit="1" customWidth="1"/>
    <col min="11017" max="11017" width="15.1640625" bestFit="1" customWidth="1"/>
    <col min="11018" max="11018" width="11.5" customWidth="1"/>
    <col min="11019" max="11019" width="10.33203125" bestFit="1" customWidth="1"/>
    <col min="11020" max="11264" width="8.83203125" customWidth="1"/>
    <col min="11265" max="11265" width="16.83203125" bestFit="1" customWidth="1"/>
    <col min="11266" max="11266" width="21" bestFit="1" customWidth="1"/>
    <col min="11267" max="11267" width="19.5" bestFit="1" customWidth="1"/>
    <col min="11268" max="11268" width="13.5" customWidth="1"/>
    <col min="11269" max="11269" width="15.33203125" bestFit="1" customWidth="1"/>
    <col min="11270" max="11270" width="16.1640625" bestFit="1" customWidth="1"/>
    <col min="11271" max="11272" width="12.1640625" bestFit="1" customWidth="1"/>
    <col min="11273" max="11273" width="15.1640625" bestFit="1" customWidth="1"/>
    <col min="11274" max="11274" width="11.5" customWidth="1"/>
    <col min="11275" max="11275" width="10.33203125" bestFit="1" customWidth="1"/>
    <col min="11276" max="11520" width="8.83203125" customWidth="1"/>
    <col min="11521" max="11521" width="16.83203125" bestFit="1" customWidth="1"/>
    <col min="11522" max="11522" width="21" bestFit="1" customWidth="1"/>
    <col min="11523" max="11523" width="19.5" bestFit="1" customWidth="1"/>
    <col min="11524" max="11524" width="13.5" customWidth="1"/>
    <col min="11525" max="11525" width="15.33203125" bestFit="1" customWidth="1"/>
    <col min="11526" max="11526" width="16.1640625" bestFit="1" customWidth="1"/>
    <col min="11527" max="11528" width="12.1640625" bestFit="1" customWidth="1"/>
    <col min="11529" max="11529" width="15.1640625" bestFit="1" customWidth="1"/>
    <col min="11530" max="11530" width="11.5" customWidth="1"/>
    <col min="11531" max="11531" width="10.33203125" bestFit="1" customWidth="1"/>
    <col min="11532" max="11776" width="8.83203125" customWidth="1"/>
    <col min="11777" max="11777" width="16.83203125" bestFit="1" customWidth="1"/>
    <col min="11778" max="11778" width="21" bestFit="1" customWidth="1"/>
    <col min="11779" max="11779" width="19.5" bestFit="1" customWidth="1"/>
    <col min="11780" max="11780" width="13.5" customWidth="1"/>
    <col min="11781" max="11781" width="15.33203125" bestFit="1" customWidth="1"/>
    <col min="11782" max="11782" width="16.1640625" bestFit="1" customWidth="1"/>
    <col min="11783" max="11784" width="12.1640625" bestFit="1" customWidth="1"/>
    <col min="11785" max="11785" width="15.1640625" bestFit="1" customWidth="1"/>
    <col min="11786" max="11786" width="11.5" customWidth="1"/>
    <col min="11787" max="11787" width="10.33203125" bestFit="1" customWidth="1"/>
    <col min="11788" max="12032" width="8.83203125" customWidth="1"/>
    <col min="12033" max="12033" width="16.83203125" bestFit="1" customWidth="1"/>
    <col min="12034" max="12034" width="21" bestFit="1" customWidth="1"/>
    <col min="12035" max="12035" width="19.5" bestFit="1" customWidth="1"/>
    <col min="12036" max="12036" width="13.5" customWidth="1"/>
    <col min="12037" max="12037" width="15.33203125" bestFit="1" customWidth="1"/>
    <col min="12038" max="12038" width="16.1640625" bestFit="1" customWidth="1"/>
    <col min="12039" max="12040" width="12.1640625" bestFit="1" customWidth="1"/>
    <col min="12041" max="12041" width="15.1640625" bestFit="1" customWidth="1"/>
    <col min="12042" max="12042" width="11.5" customWidth="1"/>
    <col min="12043" max="12043" width="10.33203125" bestFit="1" customWidth="1"/>
    <col min="12044" max="12288" width="8.83203125" customWidth="1"/>
    <col min="12289" max="12289" width="16.83203125" bestFit="1" customWidth="1"/>
    <col min="12290" max="12290" width="21" bestFit="1" customWidth="1"/>
    <col min="12291" max="12291" width="19.5" bestFit="1" customWidth="1"/>
    <col min="12292" max="12292" width="13.5" customWidth="1"/>
    <col min="12293" max="12293" width="15.33203125" bestFit="1" customWidth="1"/>
    <col min="12294" max="12294" width="16.1640625" bestFit="1" customWidth="1"/>
    <col min="12295" max="12296" width="12.1640625" bestFit="1" customWidth="1"/>
    <col min="12297" max="12297" width="15.1640625" bestFit="1" customWidth="1"/>
    <col min="12298" max="12298" width="11.5" customWidth="1"/>
    <col min="12299" max="12299" width="10.33203125" bestFit="1" customWidth="1"/>
    <col min="12300" max="12544" width="8.83203125" customWidth="1"/>
    <col min="12545" max="12545" width="16.83203125" bestFit="1" customWidth="1"/>
    <col min="12546" max="12546" width="21" bestFit="1" customWidth="1"/>
    <col min="12547" max="12547" width="19.5" bestFit="1" customWidth="1"/>
    <col min="12548" max="12548" width="13.5" customWidth="1"/>
    <col min="12549" max="12549" width="15.33203125" bestFit="1" customWidth="1"/>
    <col min="12550" max="12550" width="16.1640625" bestFit="1" customWidth="1"/>
    <col min="12551" max="12552" width="12.1640625" bestFit="1" customWidth="1"/>
    <col min="12553" max="12553" width="15.1640625" bestFit="1" customWidth="1"/>
    <col min="12554" max="12554" width="11.5" customWidth="1"/>
    <col min="12555" max="12555" width="10.33203125" bestFit="1" customWidth="1"/>
    <col min="12556" max="12800" width="8.83203125" customWidth="1"/>
    <col min="12801" max="12801" width="16.83203125" bestFit="1" customWidth="1"/>
    <col min="12802" max="12802" width="21" bestFit="1" customWidth="1"/>
    <col min="12803" max="12803" width="19.5" bestFit="1" customWidth="1"/>
    <col min="12804" max="12804" width="13.5" customWidth="1"/>
    <col min="12805" max="12805" width="15.33203125" bestFit="1" customWidth="1"/>
    <col min="12806" max="12806" width="16.1640625" bestFit="1" customWidth="1"/>
    <col min="12807" max="12808" width="12.1640625" bestFit="1" customWidth="1"/>
    <col min="12809" max="12809" width="15.1640625" bestFit="1" customWidth="1"/>
    <col min="12810" max="12810" width="11.5" customWidth="1"/>
    <col min="12811" max="12811" width="10.33203125" bestFit="1" customWidth="1"/>
    <col min="12812" max="13056" width="8.83203125" customWidth="1"/>
    <col min="13057" max="13057" width="16.83203125" bestFit="1" customWidth="1"/>
    <col min="13058" max="13058" width="21" bestFit="1" customWidth="1"/>
    <col min="13059" max="13059" width="19.5" bestFit="1" customWidth="1"/>
    <col min="13060" max="13060" width="13.5" customWidth="1"/>
    <col min="13061" max="13061" width="15.33203125" bestFit="1" customWidth="1"/>
    <col min="13062" max="13062" width="16.1640625" bestFit="1" customWidth="1"/>
    <col min="13063" max="13064" width="12.1640625" bestFit="1" customWidth="1"/>
    <col min="13065" max="13065" width="15.1640625" bestFit="1" customWidth="1"/>
    <col min="13066" max="13066" width="11.5" customWidth="1"/>
    <col min="13067" max="13067" width="10.33203125" bestFit="1" customWidth="1"/>
    <col min="13068" max="13312" width="8.83203125" customWidth="1"/>
    <col min="13313" max="13313" width="16.83203125" bestFit="1" customWidth="1"/>
    <col min="13314" max="13314" width="21" bestFit="1" customWidth="1"/>
    <col min="13315" max="13315" width="19.5" bestFit="1" customWidth="1"/>
    <col min="13316" max="13316" width="13.5" customWidth="1"/>
    <col min="13317" max="13317" width="15.33203125" bestFit="1" customWidth="1"/>
    <col min="13318" max="13318" width="16.1640625" bestFit="1" customWidth="1"/>
    <col min="13319" max="13320" width="12.1640625" bestFit="1" customWidth="1"/>
    <col min="13321" max="13321" width="15.1640625" bestFit="1" customWidth="1"/>
    <col min="13322" max="13322" width="11.5" customWidth="1"/>
    <col min="13323" max="13323" width="10.33203125" bestFit="1" customWidth="1"/>
    <col min="13324" max="13568" width="8.83203125" customWidth="1"/>
    <col min="13569" max="13569" width="16.83203125" bestFit="1" customWidth="1"/>
    <col min="13570" max="13570" width="21" bestFit="1" customWidth="1"/>
    <col min="13571" max="13571" width="19.5" bestFit="1" customWidth="1"/>
    <col min="13572" max="13572" width="13.5" customWidth="1"/>
    <col min="13573" max="13573" width="15.33203125" bestFit="1" customWidth="1"/>
    <col min="13574" max="13574" width="16.1640625" bestFit="1" customWidth="1"/>
    <col min="13575" max="13576" width="12.1640625" bestFit="1" customWidth="1"/>
    <col min="13577" max="13577" width="15.1640625" bestFit="1" customWidth="1"/>
    <col min="13578" max="13578" width="11.5" customWidth="1"/>
    <col min="13579" max="13579" width="10.33203125" bestFit="1" customWidth="1"/>
    <col min="13580" max="13824" width="8.83203125" customWidth="1"/>
    <col min="13825" max="13825" width="16.83203125" bestFit="1" customWidth="1"/>
    <col min="13826" max="13826" width="21" bestFit="1" customWidth="1"/>
    <col min="13827" max="13827" width="19.5" bestFit="1" customWidth="1"/>
    <col min="13828" max="13828" width="13.5" customWidth="1"/>
    <col min="13829" max="13829" width="15.33203125" bestFit="1" customWidth="1"/>
    <col min="13830" max="13830" width="16.1640625" bestFit="1" customWidth="1"/>
    <col min="13831" max="13832" width="12.1640625" bestFit="1" customWidth="1"/>
    <col min="13833" max="13833" width="15.1640625" bestFit="1" customWidth="1"/>
    <col min="13834" max="13834" width="11.5" customWidth="1"/>
    <col min="13835" max="13835" width="10.33203125" bestFit="1" customWidth="1"/>
    <col min="13836" max="14080" width="8.83203125" customWidth="1"/>
    <col min="14081" max="14081" width="16.83203125" bestFit="1" customWidth="1"/>
    <col min="14082" max="14082" width="21" bestFit="1" customWidth="1"/>
    <col min="14083" max="14083" width="19.5" bestFit="1" customWidth="1"/>
    <col min="14084" max="14084" width="13.5" customWidth="1"/>
    <col min="14085" max="14085" width="15.33203125" bestFit="1" customWidth="1"/>
    <col min="14086" max="14086" width="16.1640625" bestFit="1" customWidth="1"/>
    <col min="14087" max="14088" width="12.1640625" bestFit="1" customWidth="1"/>
    <col min="14089" max="14089" width="15.1640625" bestFit="1" customWidth="1"/>
    <col min="14090" max="14090" width="11.5" customWidth="1"/>
    <col min="14091" max="14091" width="10.33203125" bestFit="1" customWidth="1"/>
    <col min="14092" max="14336" width="8.83203125" customWidth="1"/>
    <col min="14337" max="14337" width="16.83203125" bestFit="1" customWidth="1"/>
    <col min="14338" max="14338" width="21" bestFit="1" customWidth="1"/>
    <col min="14339" max="14339" width="19.5" bestFit="1" customWidth="1"/>
    <col min="14340" max="14340" width="13.5" customWidth="1"/>
    <col min="14341" max="14341" width="15.33203125" bestFit="1" customWidth="1"/>
    <col min="14342" max="14342" width="16.1640625" bestFit="1" customWidth="1"/>
    <col min="14343" max="14344" width="12.1640625" bestFit="1" customWidth="1"/>
    <col min="14345" max="14345" width="15.1640625" bestFit="1" customWidth="1"/>
    <col min="14346" max="14346" width="11.5" customWidth="1"/>
    <col min="14347" max="14347" width="10.33203125" bestFit="1" customWidth="1"/>
    <col min="14348" max="14592" width="8.83203125" customWidth="1"/>
    <col min="14593" max="14593" width="16.83203125" bestFit="1" customWidth="1"/>
    <col min="14594" max="14594" width="21" bestFit="1" customWidth="1"/>
    <col min="14595" max="14595" width="19.5" bestFit="1" customWidth="1"/>
    <col min="14596" max="14596" width="13.5" customWidth="1"/>
    <col min="14597" max="14597" width="15.33203125" bestFit="1" customWidth="1"/>
    <col min="14598" max="14598" width="16.1640625" bestFit="1" customWidth="1"/>
    <col min="14599" max="14600" width="12.1640625" bestFit="1" customWidth="1"/>
    <col min="14601" max="14601" width="15.1640625" bestFit="1" customWidth="1"/>
    <col min="14602" max="14602" width="11.5" customWidth="1"/>
    <col min="14603" max="14603" width="10.33203125" bestFit="1" customWidth="1"/>
    <col min="14604" max="14848" width="8.83203125" customWidth="1"/>
    <col min="14849" max="14849" width="16.83203125" bestFit="1" customWidth="1"/>
    <col min="14850" max="14850" width="21" bestFit="1" customWidth="1"/>
    <col min="14851" max="14851" width="19.5" bestFit="1" customWidth="1"/>
    <col min="14852" max="14852" width="13.5" customWidth="1"/>
    <col min="14853" max="14853" width="15.33203125" bestFit="1" customWidth="1"/>
    <col min="14854" max="14854" width="16.1640625" bestFit="1" customWidth="1"/>
    <col min="14855" max="14856" width="12.1640625" bestFit="1" customWidth="1"/>
    <col min="14857" max="14857" width="15.1640625" bestFit="1" customWidth="1"/>
    <col min="14858" max="14858" width="11.5" customWidth="1"/>
    <col min="14859" max="14859" width="10.33203125" bestFit="1" customWidth="1"/>
    <col min="14860" max="15104" width="8.83203125" customWidth="1"/>
    <col min="15105" max="15105" width="16.83203125" bestFit="1" customWidth="1"/>
    <col min="15106" max="15106" width="21" bestFit="1" customWidth="1"/>
    <col min="15107" max="15107" width="19.5" bestFit="1" customWidth="1"/>
    <col min="15108" max="15108" width="13.5" customWidth="1"/>
    <col min="15109" max="15109" width="15.33203125" bestFit="1" customWidth="1"/>
    <col min="15110" max="15110" width="16.1640625" bestFit="1" customWidth="1"/>
    <col min="15111" max="15112" width="12.1640625" bestFit="1" customWidth="1"/>
    <col min="15113" max="15113" width="15.1640625" bestFit="1" customWidth="1"/>
    <col min="15114" max="15114" width="11.5" customWidth="1"/>
    <col min="15115" max="15115" width="10.33203125" bestFit="1" customWidth="1"/>
    <col min="15116" max="15360" width="8.83203125" customWidth="1"/>
    <col min="15361" max="15361" width="16.83203125" bestFit="1" customWidth="1"/>
    <col min="15362" max="15362" width="21" bestFit="1" customWidth="1"/>
    <col min="15363" max="15363" width="19.5" bestFit="1" customWidth="1"/>
    <col min="15364" max="15364" width="13.5" customWidth="1"/>
    <col min="15365" max="15365" width="15.33203125" bestFit="1" customWidth="1"/>
    <col min="15366" max="15366" width="16.1640625" bestFit="1" customWidth="1"/>
    <col min="15367" max="15368" width="12.1640625" bestFit="1" customWidth="1"/>
    <col min="15369" max="15369" width="15.1640625" bestFit="1" customWidth="1"/>
    <col min="15370" max="15370" width="11.5" customWidth="1"/>
    <col min="15371" max="15371" width="10.33203125" bestFit="1" customWidth="1"/>
    <col min="15372" max="15616" width="8.83203125" customWidth="1"/>
    <col min="15617" max="15617" width="16.83203125" bestFit="1" customWidth="1"/>
    <col min="15618" max="15618" width="21" bestFit="1" customWidth="1"/>
    <col min="15619" max="15619" width="19.5" bestFit="1" customWidth="1"/>
    <col min="15620" max="15620" width="13.5" customWidth="1"/>
    <col min="15621" max="15621" width="15.33203125" bestFit="1" customWidth="1"/>
    <col min="15622" max="15622" width="16.1640625" bestFit="1" customWidth="1"/>
    <col min="15623" max="15624" width="12.1640625" bestFit="1" customWidth="1"/>
    <col min="15625" max="15625" width="15.1640625" bestFit="1" customWidth="1"/>
    <col min="15626" max="15626" width="11.5" customWidth="1"/>
    <col min="15627" max="15627" width="10.33203125" bestFit="1" customWidth="1"/>
    <col min="15628" max="15872" width="8.83203125" customWidth="1"/>
    <col min="15873" max="15873" width="16.83203125" bestFit="1" customWidth="1"/>
    <col min="15874" max="15874" width="21" bestFit="1" customWidth="1"/>
    <col min="15875" max="15875" width="19.5" bestFit="1" customWidth="1"/>
    <col min="15876" max="15876" width="13.5" customWidth="1"/>
    <col min="15877" max="15877" width="15.33203125" bestFit="1" customWidth="1"/>
    <col min="15878" max="15878" width="16.1640625" bestFit="1" customWidth="1"/>
    <col min="15879" max="15880" width="12.1640625" bestFit="1" customWidth="1"/>
    <col min="15881" max="15881" width="15.1640625" bestFit="1" customWidth="1"/>
    <col min="15882" max="15882" width="11.5" customWidth="1"/>
    <col min="15883" max="15883" width="10.33203125" bestFit="1" customWidth="1"/>
    <col min="15884" max="16128" width="8.83203125" customWidth="1"/>
    <col min="16129" max="16129" width="16.83203125" bestFit="1" customWidth="1"/>
    <col min="16130" max="16130" width="21" bestFit="1" customWidth="1"/>
    <col min="16131" max="16131" width="19.5" bestFit="1" customWidth="1"/>
    <col min="16132" max="16132" width="13.5" customWidth="1"/>
    <col min="16133" max="16133" width="15.33203125" bestFit="1" customWidth="1"/>
    <col min="16134" max="16134" width="16.1640625" bestFit="1" customWidth="1"/>
    <col min="16135" max="16136" width="12.1640625" bestFit="1" customWidth="1"/>
    <col min="16137" max="16137" width="15.1640625" bestFit="1" customWidth="1"/>
    <col min="16138" max="16138" width="11.5" customWidth="1"/>
    <col min="16139" max="16139" width="10.33203125" bestFit="1" customWidth="1"/>
    <col min="16140" max="16384" width="8.83203125" customWidth="1"/>
  </cols>
  <sheetData>
    <row r="1" spans="1:22" ht="19" thickBot="1" x14ac:dyDescent="0.2">
      <c r="A1" t="s">
        <v>106</v>
      </c>
      <c r="B1" s="89" t="s">
        <v>42</v>
      </c>
      <c r="C1" s="89" t="s">
        <v>43</v>
      </c>
      <c r="D1" s="89" t="s">
        <v>44</v>
      </c>
      <c r="E1" s="89" t="s">
        <v>45</v>
      </c>
      <c r="F1" s="90" t="s">
        <v>46</v>
      </c>
      <c r="G1" s="89" t="s">
        <v>47</v>
      </c>
      <c r="H1" s="89" t="s">
        <v>48</v>
      </c>
      <c r="I1" s="89" t="s">
        <v>107</v>
      </c>
      <c r="K1" s="91" t="s">
        <v>108</v>
      </c>
      <c r="L1" s="91" t="s">
        <v>109</v>
      </c>
      <c r="M1" s="91" t="s">
        <v>110</v>
      </c>
    </row>
    <row r="2" spans="1:22" ht="19" thickBot="1" x14ac:dyDescent="0.2">
      <c r="A2" t="s">
        <v>106</v>
      </c>
      <c r="B2" s="92">
        <v>10000000</v>
      </c>
      <c r="C2" s="92">
        <v>1000000</v>
      </c>
      <c r="D2" s="92">
        <v>100000</v>
      </c>
      <c r="E2" s="92">
        <v>10000</v>
      </c>
      <c r="F2" s="93">
        <v>1000</v>
      </c>
      <c r="G2" s="92">
        <v>100</v>
      </c>
      <c r="H2" s="92">
        <v>10</v>
      </c>
      <c r="I2" s="93">
        <v>0</v>
      </c>
      <c r="K2" s="94">
        <f>B9</f>
        <v>31.62025200525914</v>
      </c>
      <c r="L2" s="94">
        <f>C9</f>
        <v>0.99592734882774225</v>
      </c>
      <c r="M2" s="94">
        <f>D9</f>
        <v>-3.2220302263895575</v>
      </c>
    </row>
    <row r="3" spans="1:22" ht="18" x14ac:dyDescent="0.15">
      <c r="A3" t="s">
        <v>111</v>
      </c>
      <c r="B3" s="95">
        <f>LOG10(B2)</f>
        <v>7</v>
      </c>
      <c r="C3" s="95">
        <f t="shared" ref="C3:H3" si="0">LOG10(C2)</f>
        <v>6</v>
      </c>
      <c r="D3" s="95">
        <f t="shared" si="0"/>
        <v>5</v>
      </c>
      <c r="E3" s="95">
        <f t="shared" si="0"/>
        <v>4</v>
      </c>
      <c r="F3" s="95">
        <f t="shared" si="0"/>
        <v>3</v>
      </c>
      <c r="G3" s="95">
        <f t="shared" si="0"/>
        <v>2</v>
      </c>
      <c r="H3" s="95">
        <f t="shared" si="0"/>
        <v>1</v>
      </c>
      <c r="I3" s="95" t="s">
        <v>237</v>
      </c>
      <c r="K3" s="191" t="s">
        <v>112</v>
      </c>
      <c r="L3" s="191"/>
      <c r="M3" s="191"/>
    </row>
    <row r="4" spans="1:22" x14ac:dyDescent="0.15">
      <c r="A4" t="s">
        <v>113</v>
      </c>
      <c r="B4" s="96">
        <f>Results!E11</f>
        <v>9.0194368362426758</v>
      </c>
      <c r="C4" s="96"/>
      <c r="D4" s="96">
        <f>Results!E17</f>
        <v>15.94882869720459</v>
      </c>
      <c r="E4" s="96">
        <f>Results!E20</f>
        <v>18.208705902099609</v>
      </c>
      <c r="F4" s="107">
        <f>Results!E23</f>
        <v>21.524133682250977</v>
      </c>
      <c r="G4" s="96">
        <f>Results!E26</f>
        <v>23.901069641113281</v>
      </c>
      <c r="H4" s="96"/>
      <c r="I4" s="96">
        <f>Results!E5</f>
        <v>24.424070358276367</v>
      </c>
    </row>
    <row r="5" spans="1:22" x14ac:dyDescent="0.15">
      <c r="B5" s="96">
        <f>Results!E12</f>
        <v>9.1578493118286133</v>
      </c>
      <c r="C5" s="96">
        <f>Results!E15</f>
        <v>11.981705665588379</v>
      </c>
      <c r="D5" s="96"/>
      <c r="E5" s="96">
        <f>Results!E21</f>
        <v>18.512832641601562</v>
      </c>
      <c r="F5" s="107">
        <f>Results!E24</f>
        <v>21.572906494140625</v>
      </c>
      <c r="G5" s="96">
        <f>Results!E27</f>
        <v>23.945539474487305</v>
      </c>
      <c r="H5" s="96">
        <f>Results!E29</f>
        <v>18.213037490844727</v>
      </c>
      <c r="I5" s="96">
        <f>Results!E6</f>
        <v>24.475160598754883</v>
      </c>
      <c r="N5" s="119"/>
      <c r="O5" s="119"/>
      <c r="P5" s="119"/>
      <c r="Q5" s="119"/>
      <c r="R5" s="119"/>
      <c r="S5" s="119"/>
      <c r="T5" s="119"/>
      <c r="U5" s="119"/>
      <c r="V5" s="119"/>
    </row>
    <row r="6" spans="1:22" x14ac:dyDescent="0.15">
      <c r="B6" s="96">
        <f>Results!E13</f>
        <v>9.307499885559082</v>
      </c>
      <c r="C6" s="96">
        <f>Results!E16</f>
        <v>11.982098579406738</v>
      </c>
      <c r="D6" s="96"/>
      <c r="E6" s="96">
        <f>Results!E22</f>
        <v>18.451345443725586</v>
      </c>
      <c r="F6" s="107">
        <f>Results!E25</f>
        <v>21.604463577270508</v>
      </c>
      <c r="G6" s="96">
        <f>Results!E28</f>
        <v>24.002307891845703</v>
      </c>
      <c r="H6" s="96">
        <f>Results!E30</f>
        <v>18.198726654052734</v>
      </c>
      <c r="I6" s="96">
        <f>Results!E7</f>
        <v>24.315486907958984</v>
      </c>
      <c r="N6" s="119"/>
      <c r="O6" s="119"/>
      <c r="P6" s="119"/>
      <c r="Q6" s="119"/>
      <c r="R6" s="119"/>
      <c r="S6" s="119"/>
      <c r="T6" s="119"/>
      <c r="U6" s="119"/>
      <c r="V6" s="119"/>
    </row>
    <row r="7" spans="1:22" x14ac:dyDescent="0.15">
      <c r="A7" t="s">
        <v>114</v>
      </c>
      <c r="B7" s="96">
        <f t="shared" ref="B7:I7" si="1">AVERAGE(B4:B6)</f>
        <v>9.161595344543457</v>
      </c>
      <c r="C7" s="96">
        <f t="shared" si="1"/>
        <v>11.981902122497559</v>
      </c>
      <c r="D7" s="96">
        <f t="shared" si="1"/>
        <v>15.94882869720459</v>
      </c>
      <c r="E7" s="96">
        <f t="shared" si="1"/>
        <v>18.390961329142254</v>
      </c>
      <c r="F7" s="107">
        <v>22.067216873168899</v>
      </c>
      <c r="G7" s="96">
        <f t="shared" si="1"/>
        <v>23.949639002482098</v>
      </c>
      <c r="H7" s="96">
        <f>Results!E31</f>
        <v>18.15782356262207</v>
      </c>
      <c r="I7" s="96">
        <f t="shared" si="1"/>
        <v>24.404905954996746</v>
      </c>
      <c r="N7" s="119"/>
      <c r="O7" s="119"/>
      <c r="P7" s="119"/>
      <c r="Q7" s="119"/>
      <c r="R7" s="119"/>
      <c r="S7" s="119"/>
      <c r="T7" s="119"/>
      <c r="U7" s="119"/>
      <c r="V7" s="119"/>
    </row>
    <row r="8" spans="1:22" x14ac:dyDescent="0.15">
      <c r="B8" s="91" t="s">
        <v>108</v>
      </c>
      <c r="C8" s="91" t="s">
        <v>109</v>
      </c>
      <c r="D8" s="91" t="s">
        <v>110</v>
      </c>
      <c r="N8" s="119"/>
      <c r="O8" s="119"/>
      <c r="P8" s="119"/>
      <c r="Q8" s="119"/>
      <c r="R8" s="119"/>
      <c r="S8" s="119"/>
      <c r="T8" s="119"/>
      <c r="U8" s="119"/>
      <c r="V8" s="119"/>
    </row>
    <row r="9" spans="1:22" x14ac:dyDescent="0.15">
      <c r="B9" s="119">
        <f>INTERCEPT(B7:F7,B3:F3)</f>
        <v>31.62025200525914</v>
      </c>
      <c r="C9" s="162">
        <f>RSQ(B7:F7,B3:F3)</f>
        <v>0.99592734882774225</v>
      </c>
      <c r="D9" s="119">
        <f>SLOPE(B7:F7,B3:F3)</f>
        <v>-3.2220302263895575</v>
      </c>
      <c r="E9" s="128" t="s">
        <v>238</v>
      </c>
      <c r="N9" s="119"/>
      <c r="O9" s="119"/>
      <c r="P9" s="119"/>
      <c r="Q9" s="119"/>
      <c r="R9" s="119"/>
      <c r="S9" s="119"/>
      <c r="T9" s="119"/>
      <c r="U9" s="119"/>
      <c r="V9" s="119"/>
    </row>
    <row r="10" spans="1:22" x14ac:dyDescent="0.15">
      <c r="N10" s="119"/>
      <c r="O10" s="119"/>
      <c r="P10" s="119"/>
      <c r="Q10" s="119"/>
      <c r="R10" s="119"/>
      <c r="S10" s="119"/>
      <c r="T10" s="119"/>
      <c r="U10" s="119"/>
      <c r="V10" s="119"/>
    </row>
    <row r="11" spans="1:22" s="100" customFormat="1" ht="43" customHeight="1" x14ac:dyDescent="0.2">
      <c r="A11" s="98" t="s">
        <v>115</v>
      </c>
      <c r="B11" s="98" t="s">
        <v>116</v>
      </c>
      <c r="C11" s="98" t="s">
        <v>117</v>
      </c>
      <c r="D11" s="98" t="s">
        <v>118</v>
      </c>
      <c r="E11" s="98" t="s">
        <v>119</v>
      </c>
      <c r="F11" s="98" t="s">
        <v>120</v>
      </c>
      <c r="G11" s="99" t="s">
        <v>121</v>
      </c>
      <c r="H11" s="98" t="s">
        <v>122</v>
      </c>
      <c r="I11" s="98" t="s">
        <v>123</v>
      </c>
      <c r="J11" s="100" t="s">
        <v>124</v>
      </c>
      <c r="K11" s="100" t="s">
        <v>125</v>
      </c>
      <c r="L11" s="137" t="s">
        <v>245</v>
      </c>
      <c r="M11" t="s">
        <v>254</v>
      </c>
      <c r="N11" s="127" t="s">
        <v>255</v>
      </c>
      <c r="O11" s="142" t="s">
        <v>247</v>
      </c>
      <c r="P11" s="127"/>
      <c r="Q11" s="142" t="s">
        <v>248</v>
      </c>
      <c r="R11" s="127"/>
      <c r="S11" s="127"/>
      <c r="T11" s="127"/>
      <c r="U11" s="127"/>
      <c r="V11" s="127"/>
    </row>
    <row r="12" spans="1:22" ht="16" x14ac:dyDescent="0.15">
      <c r="A12" s="101"/>
      <c r="B12" s="165" t="str">
        <f>Results!L33</f>
        <v>Mesa_dust_7W</v>
      </c>
      <c r="C12" s="166">
        <f>Results!M33</f>
        <v>18.189863204956055</v>
      </c>
      <c r="D12" s="167">
        <f>(C12-$B$9)/$D$9</f>
        <v>4.1683000644449235</v>
      </c>
      <c r="E12" s="168">
        <f>10^D12</f>
        <v>14733.301098593265</v>
      </c>
      <c r="F12" s="169">
        <f>E12*20</f>
        <v>294666.02197186532</v>
      </c>
      <c r="G12" s="170">
        <v>10</v>
      </c>
      <c r="H12" s="168">
        <f>F12*G12</f>
        <v>2946660.2197186532</v>
      </c>
      <c r="I12" s="168">
        <f>H12/J12</f>
        <v>11929.798460399406</v>
      </c>
      <c r="J12" s="171">
        <v>247</v>
      </c>
      <c r="K12" s="172">
        <f>Qubit!B2</f>
        <v>1.52</v>
      </c>
      <c r="L12" s="173">
        <v>28.1</v>
      </c>
      <c r="M12" s="173"/>
      <c r="N12" s="174">
        <f>M12+L12</f>
        <v>28.1</v>
      </c>
      <c r="O12" s="175" t="str">
        <f>Qubit!A2</f>
        <v>Mesa_dust7W</v>
      </c>
      <c r="P12" s="119"/>
      <c r="Q12" s="119">
        <v>10</v>
      </c>
      <c r="R12" s="119"/>
      <c r="S12" s="119"/>
      <c r="T12" s="119"/>
      <c r="U12" s="119"/>
      <c r="V12" s="119"/>
    </row>
    <row r="13" spans="1:22" ht="16" x14ac:dyDescent="0.15">
      <c r="A13" s="101"/>
      <c r="B13" s="165" t="str">
        <f>Results!L34</f>
        <v>Mesa_no_dust_7W</v>
      </c>
      <c r="C13" s="166">
        <f>Results!M34</f>
        <v>14.235832214355469</v>
      </c>
      <c r="D13" s="167">
        <f t="shared" ref="D13:D23" si="2">(C13-$B$9)/$D$9</f>
        <v>5.3954862522763367</v>
      </c>
      <c r="E13" s="168">
        <f t="shared" ref="E13:E23" si="3">10^D13</f>
        <v>248591.48705928214</v>
      </c>
      <c r="F13" s="169">
        <f t="shared" ref="F13:F23" si="4">E13*20</f>
        <v>4971829.7411856428</v>
      </c>
      <c r="G13" s="170">
        <v>10</v>
      </c>
      <c r="H13" s="168">
        <f t="shared" ref="H13:H23" si="5">F13*G13</f>
        <v>49718297.411856428</v>
      </c>
      <c r="I13" s="168">
        <f t="shared" ref="I13:I23" si="6">H13/J13</f>
        <v>171442.40486847045</v>
      </c>
      <c r="J13" s="171">
        <v>290</v>
      </c>
      <c r="K13" s="172">
        <f>Qubit!B3</f>
        <v>7.3</v>
      </c>
      <c r="L13" s="173">
        <v>77.7</v>
      </c>
      <c r="M13" s="173"/>
      <c r="N13" s="174">
        <f t="shared" ref="N13:N23" si="7">M13+L13</f>
        <v>77.7</v>
      </c>
      <c r="O13" s="175" t="str">
        <f>Qubit!A3</f>
        <v>Mesa_no_dust7W</v>
      </c>
      <c r="Q13" s="119">
        <v>10</v>
      </c>
      <c r="R13" s="119"/>
      <c r="S13" s="119"/>
      <c r="T13" s="119"/>
      <c r="U13" s="119"/>
      <c r="V13" s="119"/>
    </row>
    <row r="14" spans="1:22" ht="16" x14ac:dyDescent="0.15">
      <c r="A14" s="101"/>
      <c r="B14" s="165" t="str">
        <f>Results!L35</f>
        <v>Dugan_dust_7W</v>
      </c>
      <c r="C14" s="166">
        <f>Results!M35</f>
        <v>15.64771556854248</v>
      </c>
      <c r="D14" s="167">
        <f t="shared" si="2"/>
        <v>4.9572894462305115</v>
      </c>
      <c r="E14" s="168">
        <f t="shared" si="3"/>
        <v>90633.64498516258</v>
      </c>
      <c r="F14" s="169">
        <f t="shared" si="4"/>
        <v>1812672.8997032517</v>
      </c>
      <c r="G14" s="170">
        <v>10</v>
      </c>
      <c r="H14" s="168">
        <f t="shared" si="5"/>
        <v>18126728.997032516</v>
      </c>
      <c r="I14" s="168">
        <f t="shared" si="6"/>
        <v>66888.298882038798</v>
      </c>
      <c r="J14" s="171">
        <v>271</v>
      </c>
      <c r="K14" s="172">
        <f>Qubit!B4</f>
        <v>5.0999999999999996</v>
      </c>
      <c r="L14" s="173">
        <v>119.3</v>
      </c>
      <c r="M14" s="173"/>
      <c r="N14" s="174">
        <f t="shared" si="7"/>
        <v>119.3</v>
      </c>
      <c r="O14" s="175" t="str">
        <f>Qubit!A4</f>
        <v>Dugan_dust7W</v>
      </c>
      <c r="Q14" s="119">
        <v>10</v>
      </c>
      <c r="R14" s="119"/>
      <c r="S14" s="119"/>
      <c r="T14" s="119"/>
      <c r="U14" s="119"/>
      <c r="V14" s="119"/>
    </row>
    <row r="15" spans="1:22" ht="16" x14ac:dyDescent="0.15">
      <c r="A15" s="101"/>
      <c r="B15" s="165" t="str">
        <f>Results!L36</f>
        <v>Dugan_no_dust_7W</v>
      </c>
      <c r="C15" s="166">
        <f>Results!M36</f>
        <v>16.454036712646484</v>
      </c>
      <c r="D15" s="167">
        <f t="shared" si="2"/>
        <v>4.7070369385103943</v>
      </c>
      <c r="E15" s="168">
        <f t="shared" si="3"/>
        <v>50937.419355974176</v>
      </c>
      <c r="F15" s="169">
        <f t="shared" si="4"/>
        <v>1018748.3871194836</v>
      </c>
      <c r="G15" s="170">
        <v>10</v>
      </c>
      <c r="H15" s="168">
        <f t="shared" si="5"/>
        <v>10187483.871194836</v>
      </c>
      <c r="I15" s="168">
        <f t="shared" si="6"/>
        <v>39182.630273826289</v>
      </c>
      <c r="J15" s="171">
        <v>260</v>
      </c>
      <c r="K15" s="172">
        <f>Qubit!B5</f>
        <v>2.96</v>
      </c>
      <c r="L15" s="173">
        <v>66.5</v>
      </c>
      <c r="M15" s="173"/>
      <c r="N15" s="174">
        <f t="shared" si="7"/>
        <v>66.5</v>
      </c>
      <c r="O15" s="175" t="str">
        <f>Qubit!A5</f>
        <v>Dugan_no_dust7W</v>
      </c>
      <c r="P15" s="119"/>
      <c r="Q15" s="119">
        <v>10</v>
      </c>
      <c r="R15" s="119"/>
      <c r="S15" s="119"/>
      <c r="T15" s="119"/>
      <c r="U15" s="119"/>
      <c r="V15" s="119"/>
    </row>
    <row r="16" spans="1:22" ht="16" x14ac:dyDescent="0.15">
      <c r="A16" s="101"/>
      <c r="B16" s="123" t="str">
        <f>Results!L37</f>
        <v>Vert_post_inoc1</v>
      </c>
      <c r="C16" s="124">
        <f>Results!M37</f>
        <v>16.912542343139648</v>
      </c>
      <c r="D16" s="102">
        <f t="shared" si="2"/>
        <v>4.564733608536069</v>
      </c>
      <c r="E16" s="133">
        <f t="shared" si="3"/>
        <v>36705.708265015332</v>
      </c>
      <c r="F16" s="134">
        <f t="shared" si="4"/>
        <v>734114.16530030663</v>
      </c>
      <c r="G16" s="138">
        <v>10</v>
      </c>
      <c r="H16" s="133">
        <f t="shared" si="5"/>
        <v>7341141.6530030668</v>
      </c>
      <c r="I16" s="133">
        <f t="shared" si="6"/>
        <v>31106.532427979095</v>
      </c>
      <c r="J16" s="156">
        <v>236</v>
      </c>
      <c r="K16" s="108">
        <f>Qubit!B6</f>
        <v>5.04</v>
      </c>
      <c r="L16" s="139">
        <v>5.52</v>
      </c>
      <c r="M16" s="139"/>
      <c r="N16" s="152">
        <f t="shared" si="7"/>
        <v>5.52</v>
      </c>
      <c r="O16" s="119" t="str">
        <f>Qubit!A6</f>
        <v>Vert_post_inoc1</v>
      </c>
      <c r="P16" s="119"/>
      <c r="Q16" s="119">
        <v>10</v>
      </c>
      <c r="R16" s="119"/>
      <c r="S16" s="119"/>
      <c r="T16" s="119"/>
      <c r="U16" s="119"/>
      <c r="V16" s="119"/>
    </row>
    <row r="17" spans="1:22" ht="16" x14ac:dyDescent="0.15">
      <c r="A17" s="101"/>
      <c r="B17" s="123" t="str">
        <f>Results!L38</f>
        <v>Vert_post_inoc2</v>
      </c>
      <c r="C17" s="124">
        <f>Results!M38</f>
        <v>19.313692092895508</v>
      </c>
      <c r="D17" s="102">
        <f t="shared" si="2"/>
        <v>3.8195047990452076</v>
      </c>
      <c r="E17" s="133">
        <f t="shared" si="3"/>
        <v>6599.4052670465162</v>
      </c>
      <c r="F17" s="134">
        <f t="shared" si="4"/>
        <v>131988.10534093031</v>
      </c>
      <c r="G17" s="138">
        <v>10</v>
      </c>
      <c r="H17" s="133">
        <f t="shared" si="5"/>
        <v>1319881.0534093031</v>
      </c>
      <c r="I17" s="133">
        <f t="shared" si="6"/>
        <v>5522.5148678213518</v>
      </c>
      <c r="J17" s="156">
        <v>239</v>
      </c>
      <c r="K17" s="108">
        <f>Qubit!B7</f>
        <v>2.08</v>
      </c>
      <c r="L17" s="139">
        <v>5.82</v>
      </c>
      <c r="M17" s="139"/>
      <c r="N17" s="152">
        <f t="shared" si="7"/>
        <v>5.82</v>
      </c>
      <c r="O17" s="119" t="str">
        <f>Qubit!A7</f>
        <v>Vert_post_inoc2</v>
      </c>
      <c r="P17" s="119"/>
      <c r="Q17" s="119">
        <v>10</v>
      </c>
      <c r="R17" s="119"/>
      <c r="S17" s="119"/>
      <c r="T17" s="119"/>
      <c r="U17" s="119"/>
      <c r="V17" s="119"/>
    </row>
    <row r="18" spans="1:22" ht="16" x14ac:dyDescent="0.15">
      <c r="A18" s="101"/>
      <c r="B18" s="123" t="str">
        <f>Results!L39</f>
        <v>MP1-3_10W</v>
      </c>
      <c r="C18" s="124">
        <f>Results!M39</f>
        <v>15.046893119812012</v>
      </c>
      <c r="D18" s="102">
        <f t="shared" si="2"/>
        <v>5.1437626964841936</v>
      </c>
      <c r="E18" s="133">
        <f t="shared" si="3"/>
        <v>139239.57739303701</v>
      </c>
      <c r="F18" s="134">
        <f t="shared" si="4"/>
        <v>2784791.5478607402</v>
      </c>
      <c r="G18" s="138">
        <v>10</v>
      </c>
      <c r="H18" s="133">
        <f t="shared" si="5"/>
        <v>27847915.478607401</v>
      </c>
      <c r="I18" s="133">
        <f t="shared" si="6"/>
        <v>309421.2830956378</v>
      </c>
      <c r="J18" s="156">
        <v>90</v>
      </c>
      <c r="K18" s="108">
        <f>Qubit!B8</f>
        <v>4.4800000000000004</v>
      </c>
      <c r="L18" s="139">
        <f>AVERAGE('[1]Chl A'!$S$19:$S$21)</f>
        <v>88.235240038835443</v>
      </c>
      <c r="M18" s="139"/>
      <c r="N18" s="152">
        <f t="shared" si="7"/>
        <v>88.235240038835443</v>
      </c>
      <c r="O18" s="119" t="str">
        <f>Qubit!A8</f>
        <v>MP_1-3_10W</v>
      </c>
      <c r="Q18" s="119">
        <v>10</v>
      </c>
      <c r="R18" s="119"/>
      <c r="S18" s="119"/>
      <c r="T18" s="119"/>
      <c r="U18" s="119"/>
      <c r="V18" s="119"/>
    </row>
    <row r="19" spans="1:22" ht="16" x14ac:dyDescent="0.15">
      <c r="A19" s="101"/>
      <c r="B19" s="123" t="str">
        <f>Results!L40</f>
        <v>MP4-6_10W</v>
      </c>
      <c r="C19" s="124">
        <f>Results!M40</f>
        <v>19.203567504882812</v>
      </c>
      <c r="D19" s="102">
        <f t="shared" si="2"/>
        <v>3.8536834318558921</v>
      </c>
      <c r="E19" s="133">
        <f t="shared" si="3"/>
        <v>7139.7570154824616</v>
      </c>
      <c r="F19" s="134">
        <f t="shared" si="4"/>
        <v>142795.14030964923</v>
      </c>
      <c r="G19" s="138">
        <v>10</v>
      </c>
      <c r="H19" s="133">
        <f t="shared" si="5"/>
        <v>1427951.4030964924</v>
      </c>
      <c r="I19" s="133">
        <f>H19/J19</f>
        <v>13221.772250893448</v>
      </c>
      <c r="J19" s="156">
        <v>108</v>
      </c>
      <c r="K19" s="108">
        <f>Qubit!B9</f>
        <v>1.08</v>
      </c>
      <c r="L19" s="139">
        <f>AVERAGE('[1]Chl A'!$S$22:$S$24)</f>
        <v>65.265701846486365</v>
      </c>
      <c r="M19" s="139"/>
      <c r="N19" s="152">
        <f t="shared" si="7"/>
        <v>65.265701846486365</v>
      </c>
      <c r="O19" s="119" t="str">
        <f>Qubit!A9</f>
        <v>MP_4-6_10W</v>
      </c>
      <c r="P19" s="119"/>
      <c r="Q19" s="119">
        <v>10</v>
      </c>
      <c r="R19" s="119"/>
      <c r="S19" s="119"/>
      <c r="T19" s="119"/>
      <c r="U19" s="119"/>
      <c r="V19" s="119"/>
    </row>
    <row r="20" spans="1:22" ht="16" x14ac:dyDescent="0.15">
      <c r="A20" s="101"/>
      <c r="B20" s="123" t="str">
        <f>Results!L41</f>
        <v>MP7-9_10W</v>
      </c>
      <c r="C20" s="124">
        <f>Results!M41</f>
        <v>18.562686920166016</v>
      </c>
      <c r="D20" s="102">
        <f t="shared" si="2"/>
        <v>4.0525892582096485</v>
      </c>
      <c r="E20" s="133">
        <f t="shared" si="3"/>
        <v>11287.27895065516</v>
      </c>
      <c r="F20" s="134">
        <f t="shared" si="4"/>
        <v>225745.57901310321</v>
      </c>
      <c r="G20" s="138">
        <v>10</v>
      </c>
      <c r="H20" s="133">
        <f t="shared" si="5"/>
        <v>2257455.790131032</v>
      </c>
      <c r="I20" s="133">
        <f t="shared" si="6"/>
        <v>22574.55790131032</v>
      </c>
      <c r="J20" s="156">
        <v>100</v>
      </c>
      <c r="K20" s="108">
        <f>Qubit!B10</f>
        <v>1.41</v>
      </c>
      <c r="L20" s="139">
        <f>AVERAGE('[1]Chl A'!$S$25:$S$27)</f>
        <v>69.785310546417932</v>
      </c>
      <c r="M20" s="139"/>
      <c r="N20" s="152">
        <f t="shared" si="7"/>
        <v>69.785310546417932</v>
      </c>
      <c r="O20" s="119" t="str">
        <f>Qubit!A10</f>
        <v>MP_7-9_10W</v>
      </c>
      <c r="P20" s="119"/>
      <c r="Q20" s="119">
        <v>10</v>
      </c>
      <c r="R20" s="119"/>
      <c r="S20" s="119"/>
      <c r="T20" s="119"/>
      <c r="U20" s="119"/>
      <c r="V20" s="119"/>
    </row>
    <row r="21" spans="1:22" ht="16" x14ac:dyDescent="0.15">
      <c r="A21" s="103"/>
      <c r="B21" s="123" t="str">
        <f>Results!L42</f>
        <v>MP1-3_2W</v>
      </c>
      <c r="C21" s="124">
        <f>Results!M42</f>
        <v>12.309591293334961</v>
      </c>
      <c r="D21" s="102">
        <f t="shared" si="2"/>
        <v>5.9933207807186584</v>
      </c>
      <c r="E21" s="133">
        <f t="shared" si="3"/>
        <v>984738.18935458292</v>
      </c>
      <c r="F21" s="134">
        <f t="shared" si="4"/>
        <v>19694763.787091658</v>
      </c>
      <c r="G21" s="138">
        <v>10</v>
      </c>
      <c r="H21" s="133">
        <f t="shared" si="5"/>
        <v>196947637.87091658</v>
      </c>
      <c r="I21" s="133">
        <f t="shared" si="6"/>
        <v>883173.26399514161</v>
      </c>
      <c r="J21" s="156">
        <v>223</v>
      </c>
      <c r="K21" s="108">
        <f>Qubit!B11</f>
        <v>26.2</v>
      </c>
      <c r="L21" s="139">
        <f>AVERAGE('[1]Chl A'!$S$4:$S$6)</f>
        <v>24.874405475949203</v>
      </c>
      <c r="M21" s="139"/>
      <c r="N21" s="152">
        <f t="shared" si="7"/>
        <v>24.874405475949203</v>
      </c>
      <c r="O21" s="119" t="str">
        <f>Qubit!A11</f>
        <v>MP_1-3_2W</v>
      </c>
      <c r="Q21" s="119">
        <v>10</v>
      </c>
      <c r="R21" s="119"/>
      <c r="S21" s="119"/>
      <c r="T21" s="119"/>
      <c r="U21" s="119"/>
      <c r="V21" s="119"/>
    </row>
    <row r="22" spans="1:22" ht="16" x14ac:dyDescent="0.15">
      <c r="A22" s="103"/>
      <c r="B22" s="123" t="str">
        <f>Results!L43</f>
        <v>MP4-6_2W</v>
      </c>
      <c r="C22" s="124">
        <f>Results!M43</f>
        <v>12.087531089782715</v>
      </c>
      <c r="D22" s="102">
        <f t="shared" si="2"/>
        <v>6.0622401228568839</v>
      </c>
      <c r="E22" s="133">
        <f t="shared" si="3"/>
        <v>1154091.1822851598</v>
      </c>
      <c r="F22" s="134">
        <f t="shared" si="4"/>
        <v>23081823.645703197</v>
      </c>
      <c r="G22" s="138">
        <v>10</v>
      </c>
      <c r="H22" s="133">
        <f t="shared" si="5"/>
        <v>230818236.45703197</v>
      </c>
      <c r="I22" s="133">
        <f>H22/J22</f>
        <v>1039721.7858424863</v>
      </c>
      <c r="J22" s="156">
        <v>222</v>
      </c>
      <c r="K22" s="108">
        <f>Qubit!B12</f>
        <v>30.2</v>
      </c>
      <c r="L22" s="139">
        <f>AVERAGE('[1]Chl A'!$S$7:$S$9)</f>
        <v>29.909822195974055</v>
      </c>
      <c r="M22" s="139"/>
      <c r="N22" s="152">
        <f t="shared" si="7"/>
        <v>29.909822195974055</v>
      </c>
      <c r="O22" s="119" t="str">
        <f>Qubit!A12</f>
        <v>MP_4-6_2W</v>
      </c>
      <c r="Q22" s="119">
        <v>10</v>
      </c>
      <c r="R22" s="119"/>
      <c r="S22" s="119"/>
      <c r="T22" s="119"/>
      <c r="U22" s="119"/>
      <c r="V22" s="119"/>
    </row>
    <row r="23" spans="1:22" ht="16" x14ac:dyDescent="0.15">
      <c r="A23" s="103"/>
      <c r="B23" s="123" t="str">
        <f>Results!L44</f>
        <v>MP7-9_2W</v>
      </c>
      <c r="C23" s="124">
        <f>Results!M44</f>
        <v>12.935336112976074</v>
      </c>
      <c r="D23" s="102">
        <f t="shared" si="2"/>
        <v>5.799112540672974</v>
      </c>
      <c r="E23" s="133">
        <f t="shared" si="3"/>
        <v>629669.33074970671</v>
      </c>
      <c r="F23" s="134">
        <f t="shared" si="4"/>
        <v>12593386.614994135</v>
      </c>
      <c r="G23" s="138">
        <v>10</v>
      </c>
      <c r="H23" s="133">
        <f t="shared" si="5"/>
        <v>125933866.14994135</v>
      </c>
      <c r="I23" s="133">
        <f t="shared" si="6"/>
        <v>567269.66734207817</v>
      </c>
      <c r="J23" s="156">
        <v>222</v>
      </c>
      <c r="K23" s="108">
        <f>Qubit!B13</f>
        <v>19.7</v>
      </c>
      <c r="L23" s="139">
        <f>AVERAGE('[1]Chl A'!$S$10:$S$12)</f>
        <v>16.053390425160135</v>
      </c>
      <c r="M23" s="139"/>
      <c r="N23" s="152">
        <f t="shared" si="7"/>
        <v>16.053390425160135</v>
      </c>
      <c r="O23" s="119" t="str">
        <f>Qubit!A13</f>
        <v>MP_7-9_2W</v>
      </c>
      <c r="Q23">
        <v>10</v>
      </c>
    </row>
    <row r="24" spans="1:22" ht="16" x14ac:dyDescent="0.15">
      <c r="A24" s="103"/>
      <c r="B24" s="123" t="str">
        <f>Results!L45</f>
        <v>Vert_farm</v>
      </c>
      <c r="C24" s="124">
        <f>Results!M45</f>
        <v>12.892425537109375</v>
      </c>
      <c r="D24" s="102">
        <f t="shared" ref="D24:D25" si="8">(C24-$B$9)/$D$9</f>
        <v>5.8124304094860122</v>
      </c>
      <c r="E24" s="133">
        <f t="shared" ref="E24:E25" si="9">10^D24</f>
        <v>649277.58424669667</v>
      </c>
      <c r="F24" s="134">
        <f t="shared" ref="F24:F25" si="10">E24*20</f>
        <v>12985551.684933934</v>
      </c>
      <c r="G24" s="138">
        <v>10</v>
      </c>
      <c r="H24" s="133">
        <f t="shared" ref="H24:H25" si="11">F24*G24</f>
        <v>129855516.84933934</v>
      </c>
      <c r="I24" s="133">
        <f t="shared" ref="I24:I25" si="12">H24/J24</f>
        <v>479171.64889055106</v>
      </c>
      <c r="J24" s="126">
        <v>271</v>
      </c>
      <c r="K24" s="108">
        <f>Qubit!B14</f>
        <v>23.2</v>
      </c>
      <c r="L24" s="139">
        <v>4.22</v>
      </c>
      <c r="M24" s="139"/>
      <c r="N24" s="152">
        <f t="shared" ref="N24:N25" si="13">M24+L24</f>
        <v>4.22</v>
      </c>
      <c r="O24" s="119" t="str">
        <f>Qubit!A14</f>
        <v>Vert_FARM</v>
      </c>
    </row>
    <row r="25" spans="1:22" ht="16" x14ac:dyDescent="0.15">
      <c r="A25" s="103"/>
      <c r="B25" s="123" t="str">
        <f>Results!L46</f>
        <v>Farm_Inoculant</v>
      </c>
      <c r="C25" s="124">
        <f>Results!M46</f>
        <v>13.764999389648438</v>
      </c>
      <c r="D25" s="102">
        <f t="shared" si="8"/>
        <v>5.5416154911800399</v>
      </c>
      <c r="E25" s="133">
        <f t="shared" si="9"/>
        <v>348029.04610623117</v>
      </c>
      <c r="F25" s="134">
        <f t="shared" si="10"/>
        <v>6960580.9221246233</v>
      </c>
      <c r="G25" s="138">
        <v>100</v>
      </c>
      <c r="H25" s="133">
        <f t="shared" si="11"/>
        <v>696058092.21246231</v>
      </c>
      <c r="I25" s="133">
        <f t="shared" si="12"/>
        <v>3026339.5313585317</v>
      </c>
      <c r="J25" s="126">
        <v>230</v>
      </c>
      <c r="K25" s="108">
        <f>Qubit!B15</f>
        <v>106</v>
      </c>
      <c r="L25" s="139">
        <v>26.3</v>
      </c>
      <c r="M25" s="139"/>
      <c r="N25" s="152">
        <f t="shared" si="13"/>
        <v>26.3</v>
      </c>
      <c r="O25" s="119" t="str">
        <f>Qubit!A15</f>
        <v>Vert_Inoculant</v>
      </c>
      <c r="Q25" s="119"/>
    </row>
    <row r="26" spans="1:22" ht="16" x14ac:dyDescent="0.15">
      <c r="A26" s="103"/>
      <c r="B26" s="123">
        <f>Results!L47</f>
        <v>0</v>
      </c>
      <c r="C26" s="124"/>
      <c r="D26" s="102"/>
      <c r="E26" s="125"/>
      <c r="F26" s="134"/>
      <c r="G26" s="138"/>
      <c r="H26" s="133"/>
      <c r="I26" s="133"/>
      <c r="J26" s="126"/>
      <c r="K26" s="108"/>
      <c r="L26" s="139"/>
      <c r="N26" s="152"/>
      <c r="O26" s="157"/>
      <c r="Q26" s="119"/>
    </row>
    <row r="27" spans="1:22" ht="16" x14ac:dyDescent="0.15">
      <c r="A27" s="103"/>
      <c r="B27" s="123">
        <f>Results!L48</f>
        <v>0</v>
      </c>
      <c r="C27" s="124"/>
      <c r="D27" s="102"/>
      <c r="E27" s="125"/>
      <c r="F27" s="134"/>
      <c r="G27" s="138"/>
      <c r="H27" s="133"/>
      <c r="I27" s="133"/>
      <c r="J27" s="126"/>
      <c r="K27" s="108"/>
      <c r="L27" s="139"/>
      <c r="N27" s="152"/>
      <c r="O27" s="157"/>
      <c r="Q27" s="119"/>
    </row>
    <row r="28" spans="1:22" ht="16" x14ac:dyDescent="0.15">
      <c r="A28" s="103"/>
      <c r="B28" s="123"/>
      <c r="C28" s="124"/>
      <c r="D28" s="102"/>
      <c r="E28" s="125"/>
      <c r="F28" s="134"/>
      <c r="G28" s="138"/>
      <c r="H28" s="133"/>
      <c r="I28" s="133"/>
      <c r="J28" s="126"/>
      <c r="K28" s="108"/>
      <c r="L28" s="139"/>
      <c r="N28" s="152"/>
      <c r="O28" s="119"/>
      <c r="Q28" s="119"/>
    </row>
    <row r="29" spans="1:22" ht="16" x14ac:dyDescent="0.15">
      <c r="A29" s="103"/>
      <c r="B29" s="123"/>
      <c r="C29" s="124"/>
      <c r="D29" s="102"/>
      <c r="E29" s="125"/>
      <c r="F29" s="134"/>
      <c r="G29" s="138"/>
      <c r="H29" s="133"/>
      <c r="I29" s="133"/>
      <c r="J29" s="126"/>
      <c r="K29" s="108"/>
      <c r="L29" s="139"/>
      <c r="N29" s="152"/>
      <c r="O29" s="119"/>
    </row>
    <row r="30" spans="1:22" ht="16" x14ac:dyDescent="0.15">
      <c r="A30" s="103"/>
      <c r="B30" s="123"/>
      <c r="C30" s="124"/>
      <c r="D30" s="102"/>
      <c r="E30" s="125"/>
      <c r="F30" s="134"/>
      <c r="G30" s="138"/>
      <c r="H30" s="133"/>
      <c r="I30" s="133"/>
      <c r="J30" s="126"/>
      <c r="K30" s="108"/>
      <c r="L30" s="139"/>
      <c r="N30" s="152"/>
      <c r="O30" s="119"/>
      <c r="P30" s="119"/>
      <c r="Q30" s="119"/>
    </row>
    <row r="31" spans="1:22" ht="16" x14ac:dyDescent="0.15">
      <c r="A31" s="103"/>
      <c r="B31" s="123"/>
      <c r="C31" s="124"/>
      <c r="D31" s="102"/>
      <c r="E31" s="125"/>
      <c r="F31" s="134"/>
      <c r="G31" s="138"/>
      <c r="H31" s="133"/>
      <c r="I31" s="133"/>
      <c r="J31" s="126"/>
      <c r="K31" s="108"/>
      <c r="L31" s="139"/>
      <c r="N31" s="152"/>
      <c r="O31" s="119"/>
      <c r="P31" s="119"/>
      <c r="Q31" s="119"/>
    </row>
    <row r="32" spans="1:22" ht="16" x14ac:dyDescent="0.15">
      <c r="A32" s="103"/>
      <c r="B32" s="123"/>
      <c r="C32" s="124"/>
      <c r="D32" s="102"/>
      <c r="E32" s="125"/>
      <c r="F32" s="134"/>
      <c r="G32" s="138"/>
      <c r="H32" s="133"/>
      <c r="I32" s="133"/>
      <c r="J32" s="126"/>
      <c r="K32" s="108"/>
      <c r="L32" s="139"/>
      <c r="N32" s="152"/>
      <c r="O32" s="119"/>
      <c r="P32" s="119"/>
      <c r="Q32" s="119"/>
    </row>
    <row r="33" spans="1:19" ht="16" x14ac:dyDescent="0.15">
      <c r="A33" s="103"/>
      <c r="B33" s="123"/>
      <c r="C33" s="124"/>
      <c r="D33" s="102"/>
      <c r="E33" s="125"/>
      <c r="F33" s="134"/>
      <c r="G33" s="138"/>
      <c r="H33" s="133"/>
      <c r="I33" s="133"/>
      <c r="J33" s="126"/>
      <c r="K33" s="108"/>
      <c r="L33" s="139"/>
      <c r="N33" s="152"/>
      <c r="O33" s="119"/>
      <c r="P33" s="119"/>
      <c r="Q33" s="119"/>
    </row>
    <row r="34" spans="1:19" ht="16" x14ac:dyDescent="0.15">
      <c r="A34" s="103"/>
      <c r="B34" s="123"/>
      <c r="C34" s="124"/>
      <c r="D34" s="102"/>
      <c r="E34" s="125"/>
      <c r="F34" s="134"/>
      <c r="G34" s="138"/>
      <c r="H34" s="133"/>
      <c r="I34" s="133"/>
      <c r="J34" s="126"/>
      <c r="K34" s="108"/>
      <c r="L34" s="139"/>
      <c r="N34" s="152"/>
      <c r="O34" s="119"/>
      <c r="P34" s="119"/>
      <c r="Q34" s="119"/>
    </row>
    <row r="35" spans="1:19" ht="16" x14ac:dyDescent="0.15">
      <c r="A35" s="103"/>
      <c r="B35" s="123"/>
      <c r="C35" s="124"/>
      <c r="D35" s="102"/>
      <c r="E35" s="125"/>
      <c r="F35" s="134"/>
      <c r="G35" s="138"/>
      <c r="H35" s="133"/>
      <c r="I35" s="133"/>
      <c r="J35" s="126"/>
      <c r="K35" s="108"/>
      <c r="N35" s="152"/>
      <c r="O35" s="119"/>
      <c r="R35">
        <f>COUNTIF(Q12:Q34,"=2")</f>
        <v>0</v>
      </c>
      <c r="S35" s="58" t="s">
        <v>250</v>
      </c>
    </row>
    <row r="36" spans="1:19" x14ac:dyDescent="0.15">
      <c r="E36" s="104"/>
      <c r="G36" s="151"/>
      <c r="H36" s="150"/>
      <c r="I36" s="105"/>
      <c r="N36" s="152"/>
      <c r="O36" s="119"/>
      <c r="R36">
        <f>COUNTIF(Q12:Q34,"=10")</f>
        <v>12</v>
      </c>
      <c r="S36" s="58" t="s">
        <v>249</v>
      </c>
    </row>
    <row r="37" spans="1:19" ht="15" customHeight="1" x14ac:dyDescent="0.15">
      <c r="E37" s="104"/>
      <c r="F37" s="106"/>
      <c r="G37" s="58"/>
      <c r="H37" s="150"/>
      <c r="I37" s="105"/>
      <c r="N37" s="152"/>
    </row>
    <row r="38" spans="1:19" x14ac:dyDescent="0.15">
      <c r="E38" s="104"/>
      <c r="G38" s="58"/>
      <c r="H38" s="150"/>
      <c r="N38" s="152"/>
    </row>
    <row r="39" spans="1:19" x14ac:dyDescent="0.15">
      <c r="E39" s="104"/>
    </row>
    <row r="40" spans="1:19" x14ac:dyDescent="0.15">
      <c r="E40" s="104"/>
    </row>
    <row r="41" spans="1:19" x14ac:dyDescent="0.15">
      <c r="E41" s="104"/>
    </row>
    <row r="42" spans="1:19" x14ac:dyDescent="0.15">
      <c r="E42" s="104"/>
    </row>
    <row r="43" spans="1:19" x14ac:dyDescent="0.15">
      <c r="E43" s="104"/>
    </row>
    <row r="44" spans="1:19" x14ac:dyDescent="0.15">
      <c r="E44" s="104"/>
    </row>
    <row r="45" spans="1:19" x14ac:dyDescent="0.15">
      <c r="E45" s="104"/>
    </row>
    <row r="46" spans="1:19" x14ac:dyDescent="0.15">
      <c r="E46" s="104"/>
    </row>
    <row r="47" spans="1:19" x14ac:dyDescent="0.15">
      <c r="E47" s="104"/>
    </row>
    <row r="48" spans="1:19" x14ac:dyDescent="0.15">
      <c r="E48" s="104"/>
    </row>
    <row r="49" spans="5:5" x14ac:dyDescent="0.15">
      <c r="E49" s="104"/>
    </row>
    <row r="50" spans="5:5" x14ac:dyDescent="0.15">
      <c r="E50" s="104"/>
    </row>
    <row r="51" spans="5:5" x14ac:dyDescent="0.15">
      <c r="E51" s="104"/>
    </row>
    <row r="52" spans="5:5" x14ac:dyDescent="0.15">
      <c r="E52" s="104"/>
    </row>
    <row r="53" spans="5:5" x14ac:dyDescent="0.15">
      <c r="E53" s="104"/>
    </row>
    <row r="54" spans="5:5" x14ac:dyDescent="0.15">
      <c r="E54" s="104"/>
    </row>
    <row r="55" spans="5:5" x14ac:dyDescent="0.15">
      <c r="E55" s="104"/>
    </row>
    <row r="56" spans="5:5" x14ac:dyDescent="0.15">
      <c r="E56" s="104"/>
    </row>
    <row r="57" spans="5:5" x14ac:dyDescent="0.15">
      <c r="E57" s="104"/>
    </row>
    <row r="58" spans="5:5" x14ac:dyDescent="0.15">
      <c r="E58" s="104"/>
    </row>
    <row r="59" spans="5:5" x14ac:dyDescent="0.15">
      <c r="E59" s="104"/>
    </row>
    <row r="60" spans="5:5" x14ac:dyDescent="0.15">
      <c r="E60" s="104"/>
    </row>
    <row r="61" spans="5:5" x14ac:dyDescent="0.15">
      <c r="E61" s="104"/>
    </row>
    <row r="62" spans="5:5" x14ac:dyDescent="0.15">
      <c r="E62" s="104"/>
    </row>
  </sheetData>
  <sortState xmlns:xlrd2="http://schemas.microsoft.com/office/spreadsheetml/2017/richdata2" ref="O12:Q34">
    <sortCondition ref="Q12:Q34"/>
    <sortCondition ref="O12:O34"/>
  </sortState>
  <mergeCells count="1">
    <mergeCell ref="K3:M3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16S std</vt:lpstr>
      <vt:lpstr>Qubit</vt:lpstr>
      <vt:lpstr>plate</vt:lpstr>
      <vt:lpstr>Results</vt:lpstr>
      <vt:lpstr>Calculation</vt:lpstr>
      <vt:lpstr>Chart1</vt:lpstr>
      <vt:lpstr>Chart2</vt:lpstr>
      <vt:lpstr>Chart3</vt:lpstr>
      <vt:lpstr>Chart4</vt:lpstr>
      <vt:lpstr>Chart5</vt:lpstr>
      <vt:lpstr>Chart6</vt:lpstr>
      <vt:lpstr>plate!Print_Area</vt:lpstr>
    </vt:vector>
  </TitlesOfParts>
  <Manager/>
  <Company>School of Life Sciences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ltorvalds</dc:creator>
  <cp:keywords/>
  <dc:description/>
  <cp:lastModifiedBy>Brian Scott</cp:lastModifiedBy>
  <cp:revision/>
  <cp:lastPrinted>2024-01-08T14:56:14Z</cp:lastPrinted>
  <dcterms:created xsi:type="dcterms:W3CDTF">2011-03-10T22:05:20Z</dcterms:created>
  <dcterms:modified xsi:type="dcterms:W3CDTF">2025-01-14T21:52:50Z</dcterms:modified>
  <cp:category/>
  <cp:contentStatus/>
</cp:coreProperties>
</file>