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billy/Library/Containers/com.apple.mail/Data/Library/Mail Downloads/B5F962D1-A1FE-41AF-A8A8-8E21D5AE645A/"/>
    </mc:Choice>
  </mc:AlternateContent>
  <xr:revisionPtr revIDLastSave="0" documentId="13_ncr:1_{16946682-877A-594A-98D1-9C135E741206}" xr6:coauthVersionLast="47" xr6:coauthVersionMax="47" xr10:uidLastSave="{00000000-0000-0000-0000-000000000000}"/>
  <bookViews>
    <workbookView xWindow="6080" yWindow="460" windowWidth="23340" windowHeight="16000" activeTab="2" xr2:uid="{00000000-000D-0000-FFFF-FFFF00000000}"/>
  </bookViews>
  <sheets>
    <sheet name="qPCR-PG" sheetId="1" r:id="rId1"/>
    <sheet name="Calcul Gamme" sheetId="2" r:id="rId2"/>
    <sheet name="EquationCourbe1" sheetId="8" r:id="rId3"/>
    <sheet name="EquationCourbe2" sheetId="9" r:id="rId4"/>
    <sheet name="Equation Courbe3" sheetId="4" r:id="rId5"/>
    <sheet name="%ageEnrichissement" sheetId="6" r:id="rId6"/>
    <sheet name="ExpJDCultureplantePot" sheetId="5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6" l="1"/>
  <c r="E76" i="5" l="1"/>
  <c r="E70" i="5"/>
  <c r="E71" i="5"/>
  <c r="E72" i="5"/>
  <c r="E73" i="5"/>
  <c r="E69" i="5"/>
  <c r="E85" i="9"/>
  <c r="F85" i="9" s="1"/>
  <c r="E86" i="9"/>
  <c r="E87" i="9"/>
  <c r="E88" i="9"/>
  <c r="E89" i="9"/>
  <c r="F89" i="9" s="1"/>
  <c r="E90" i="9"/>
  <c r="F90" i="9" s="1"/>
  <c r="E91" i="9"/>
  <c r="E92" i="9"/>
  <c r="E93" i="9"/>
  <c r="F93" i="9" s="1"/>
  <c r="E94" i="9"/>
  <c r="F94" i="9" s="1"/>
  <c r="E84" i="9"/>
  <c r="F84" i="9" s="1"/>
  <c r="C63" i="9"/>
  <c r="C64" i="9"/>
  <c r="C65" i="9"/>
  <c r="C66" i="9"/>
  <c r="D66" i="9" s="1"/>
  <c r="C67" i="9"/>
  <c r="C68" i="9"/>
  <c r="C69" i="9"/>
  <c r="D69" i="9" s="1"/>
  <c r="C70" i="9"/>
  <c r="D70" i="9" s="1"/>
  <c r="C71" i="9"/>
  <c r="C72" i="9"/>
  <c r="C62" i="9"/>
  <c r="D62" i="9" s="1"/>
  <c r="D46" i="9"/>
  <c r="D47" i="9"/>
  <c r="D48" i="9"/>
  <c r="D49" i="9"/>
  <c r="D50" i="9"/>
  <c r="D51" i="9"/>
  <c r="D52" i="9"/>
  <c r="D53" i="9"/>
  <c r="D54" i="9"/>
  <c r="D45" i="9"/>
  <c r="D55" i="9"/>
  <c r="F27" i="2"/>
  <c r="F92" i="9"/>
  <c r="F91" i="9"/>
  <c r="F88" i="9"/>
  <c r="F87" i="9"/>
  <c r="D72" i="9"/>
  <c r="D71" i="9"/>
  <c r="D68" i="9"/>
  <c r="D67" i="9"/>
  <c r="D65" i="9"/>
  <c r="D64" i="9"/>
  <c r="D63" i="9"/>
  <c r="K55" i="9"/>
  <c r="K54" i="9"/>
  <c r="K53" i="9"/>
  <c r="K52" i="9"/>
  <c r="K51" i="9"/>
  <c r="K50" i="9"/>
  <c r="K49" i="9"/>
  <c r="K48" i="9"/>
  <c r="K47" i="9"/>
  <c r="K46" i="9"/>
  <c r="K45" i="9"/>
  <c r="L13" i="9"/>
  <c r="L12" i="9"/>
  <c r="L11" i="9"/>
  <c r="L10" i="9"/>
  <c r="L9" i="9"/>
  <c r="L8" i="9"/>
  <c r="L7" i="9"/>
  <c r="L6" i="9"/>
  <c r="L5" i="9"/>
  <c r="L4" i="9"/>
  <c r="L3" i="9"/>
  <c r="E59" i="5"/>
  <c r="E60" i="5"/>
  <c r="E61" i="5"/>
  <c r="E62" i="5"/>
  <c r="E58" i="5"/>
  <c r="E85" i="8"/>
  <c r="E86" i="8"/>
  <c r="E87" i="8"/>
  <c r="E88" i="8"/>
  <c r="E89" i="8"/>
  <c r="E90" i="8"/>
  <c r="E91" i="8"/>
  <c r="E92" i="8"/>
  <c r="E93" i="8"/>
  <c r="E94" i="8"/>
  <c r="E84" i="8"/>
  <c r="C72" i="8"/>
  <c r="D72" i="8" s="1"/>
  <c r="C71" i="8"/>
  <c r="D71" i="8" s="1"/>
  <c r="C70" i="8"/>
  <c r="D70" i="8" s="1"/>
  <c r="D69" i="8"/>
  <c r="C69" i="8"/>
  <c r="C68" i="8"/>
  <c r="D68" i="8" s="1"/>
  <c r="C67" i="8"/>
  <c r="D67" i="8" s="1"/>
  <c r="C66" i="8"/>
  <c r="D66" i="8" s="1"/>
  <c r="D65" i="8"/>
  <c r="C65" i="8"/>
  <c r="C64" i="8"/>
  <c r="D64" i="8" s="1"/>
  <c r="C63" i="8"/>
  <c r="D63" i="8" s="1"/>
  <c r="C62" i="8"/>
  <c r="D62" i="8" s="1"/>
  <c r="K55" i="8"/>
  <c r="K54" i="8"/>
  <c r="K53" i="8"/>
  <c r="K52" i="8"/>
  <c r="K51" i="8"/>
  <c r="K50" i="8"/>
  <c r="K49" i="8"/>
  <c r="K48" i="8"/>
  <c r="K47" i="8"/>
  <c r="K46" i="8"/>
  <c r="K45" i="8"/>
  <c r="D55" i="8"/>
  <c r="D54" i="8"/>
  <c r="D53" i="8"/>
  <c r="D52" i="8"/>
  <c r="D51" i="8"/>
  <c r="D50" i="8"/>
  <c r="D49" i="8"/>
  <c r="D48" i="8"/>
  <c r="D47" i="8"/>
  <c r="D46" i="8"/>
  <c r="D45" i="8"/>
  <c r="F94" i="8" l="1"/>
  <c r="F93" i="8"/>
  <c r="F92" i="8"/>
  <c r="F91" i="8"/>
  <c r="F90" i="8"/>
  <c r="F89" i="8"/>
  <c r="F88" i="8"/>
  <c r="F87" i="8"/>
  <c r="F85" i="8"/>
  <c r="F84" i="8"/>
  <c r="L13" i="8"/>
  <c r="L12" i="8"/>
  <c r="L11" i="8"/>
  <c r="L10" i="8"/>
  <c r="L9" i="8"/>
  <c r="L8" i="8"/>
  <c r="L7" i="8"/>
  <c r="L6" i="8"/>
  <c r="L5" i="8"/>
  <c r="L4" i="8"/>
  <c r="L3" i="8"/>
  <c r="H69" i="5" l="1"/>
  <c r="H70" i="5"/>
  <c r="H71" i="5"/>
  <c r="H72" i="5"/>
  <c r="H73" i="5"/>
  <c r="H76" i="5"/>
  <c r="F76" i="5"/>
  <c r="I76" i="5" l="1"/>
  <c r="K76" i="5" s="1"/>
  <c r="C20" i="6"/>
  <c r="F14" i="6"/>
  <c r="F13" i="6"/>
  <c r="F12" i="6"/>
  <c r="F11" i="6"/>
  <c r="L76" i="5" l="1"/>
  <c r="J76" i="5"/>
  <c r="D83" i="5"/>
  <c r="E83" i="5" s="1"/>
  <c r="D84" i="5"/>
  <c r="D85" i="5"/>
  <c r="E85" i="5" s="1"/>
  <c r="D86" i="5"/>
  <c r="E86" i="5" s="1"/>
  <c r="D87" i="5"/>
  <c r="E87" i="5" s="1"/>
  <c r="D88" i="5"/>
  <c r="D82" i="5"/>
  <c r="E82" i="5" s="1"/>
  <c r="E88" i="5"/>
  <c r="E84" i="5"/>
  <c r="F70" i="5"/>
  <c r="I70" i="5" s="1"/>
  <c r="F71" i="5"/>
  <c r="I71" i="5" s="1"/>
  <c r="F72" i="5"/>
  <c r="I72" i="5" s="1"/>
  <c r="F73" i="5"/>
  <c r="I73" i="5" s="1"/>
  <c r="F69" i="5"/>
  <c r="I69" i="5" s="1"/>
  <c r="F62" i="5"/>
  <c r="F61" i="5"/>
  <c r="F60" i="5"/>
  <c r="F59" i="5"/>
  <c r="F58" i="5"/>
  <c r="C50" i="5"/>
  <c r="D50" i="5" s="1"/>
  <c r="D49" i="5"/>
  <c r="D48" i="5"/>
  <c r="D47" i="5"/>
  <c r="D46" i="5"/>
  <c r="D45" i="5"/>
  <c r="E85" i="4"/>
  <c r="F85" i="4" s="1"/>
  <c r="E86" i="4"/>
  <c r="E87" i="4"/>
  <c r="F87" i="4" s="1"/>
  <c r="E88" i="4"/>
  <c r="F88" i="4" s="1"/>
  <c r="E89" i="4"/>
  <c r="F89" i="4" s="1"/>
  <c r="E90" i="4"/>
  <c r="E91" i="4"/>
  <c r="E92" i="4"/>
  <c r="F92" i="4" s="1"/>
  <c r="E93" i="4"/>
  <c r="F93" i="4" s="1"/>
  <c r="E94" i="4"/>
  <c r="E84" i="4"/>
  <c r="F84" i="4" s="1"/>
  <c r="F94" i="4"/>
  <c r="F91" i="4"/>
  <c r="F90" i="4"/>
  <c r="D65" i="4"/>
  <c r="C63" i="4"/>
  <c r="D63" i="4" s="1"/>
  <c r="C64" i="4"/>
  <c r="D64" i="4" s="1"/>
  <c r="C65" i="4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62" i="4"/>
  <c r="D62" i="4" s="1"/>
  <c r="K45" i="4"/>
  <c r="K47" i="4"/>
  <c r="K48" i="4"/>
  <c r="K49" i="4"/>
  <c r="K50" i="4"/>
  <c r="K51" i="4"/>
  <c r="K52" i="4"/>
  <c r="K53" i="4"/>
  <c r="K54" i="4"/>
  <c r="K55" i="4"/>
  <c r="K46" i="4"/>
  <c r="D45" i="4"/>
  <c r="D46" i="4"/>
  <c r="D47" i="4"/>
  <c r="D48" i="4"/>
  <c r="D49" i="4"/>
  <c r="D50" i="4"/>
  <c r="D51" i="4"/>
  <c r="D52" i="4"/>
  <c r="D53" i="4"/>
  <c r="D54" i="4"/>
  <c r="D55" i="4"/>
  <c r="L13" i="4"/>
  <c r="L12" i="4"/>
  <c r="L11" i="4"/>
  <c r="L10" i="4"/>
  <c r="L9" i="4"/>
  <c r="L8" i="4"/>
  <c r="L7" i="4"/>
  <c r="L6" i="4"/>
  <c r="L5" i="4"/>
  <c r="L4" i="4"/>
  <c r="L3" i="4"/>
  <c r="H11" i="2"/>
  <c r="H10" i="2"/>
  <c r="H9" i="2"/>
  <c r="H8" i="2"/>
  <c r="H5" i="2"/>
  <c r="C16" i="1"/>
  <c r="D16" i="1" s="1"/>
  <c r="D15" i="1"/>
  <c r="D14" i="1"/>
  <c r="D13" i="1"/>
  <c r="D12" i="1"/>
  <c r="D11" i="1"/>
  <c r="L72" i="5" l="1"/>
  <c r="J72" i="5"/>
  <c r="K72" i="5"/>
  <c r="K71" i="5"/>
  <c r="L71" i="5"/>
  <c r="J71" i="5"/>
  <c r="L73" i="5"/>
  <c r="K73" i="5"/>
  <c r="J73" i="5"/>
  <c r="J70" i="5"/>
  <c r="L70" i="5"/>
  <c r="K70" i="5"/>
  <c r="K69" i="5"/>
  <c r="J69" i="5"/>
  <c r="L69" i="5"/>
  <c r="D51" i="5"/>
  <c r="D17" i="1"/>
</calcChain>
</file>

<file path=xl/sharedStrings.xml><?xml version="1.0" encoding="utf-8"?>
<sst xmlns="http://schemas.openxmlformats.org/spreadsheetml/2006/main" count="659" uniqueCount="206">
  <si>
    <t>Taq Kapa 3G</t>
  </si>
  <si>
    <t>Nb Echantillons</t>
  </si>
  <si>
    <t>A</t>
  </si>
  <si>
    <t>Volume (µL)</t>
  </si>
  <si>
    <t>Log dilution</t>
  </si>
  <si>
    <t>B</t>
  </si>
  <si>
    <t>pure</t>
  </si>
  <si>
    <t>Cibles PG</t>
  </si>
  <si>
    <t>ADN</t>
  </si>
  <si>
    <t>Programme</t>
  </si>
  <si>
    <t>C</t>
  </si>
  <si>
    <t xml:space="preserve">Mix 3G (2X) </t>
  </si>
  <si>
    <t>95°C</t>
  </si>
  <si>
    <t>10 sec</t>
  </si>
  <si>
    <t>45 cycles</t>
  </si>
  <si>
    <t>D</t>
  </si>
  <si>
    <t>Primer Pgfwd2 (100 µM)</t>
  </si>
  <si>
    <t>55°C</t>
  </si>
  <si>
    <t>30 sec</t>
  </si>
  <si>
    <t>E</t>
  </si>
  <si>
    <t>Primer Pxrev7 (100 µM)</t>
  </si>
  <si>
    <t>72°C</t>
  </si>
  <si>
    <t>F</t>
  </si>
  <si>
    <t>H2O</t>
  </si>
  <si>
    <t>Taq Kapa 3G (2,5U/µL)</t>
  </si>
  <si>
    <t>G</t>
  </si>
  <si>
    <t>SYBR Green 10X</t>
  </si>
  <si>
    <t>H</t>
  </si>
  <si>
    <t>eau qsp 25 µL</t>
  </si>
  <si>
    <t>ok</t>
  </si>
  <si>
    <t>Volume total (µL)</t>
  </si>
  <si>
    <t>Volume à distribuer</t>
  </si>
  <si>
    <t>rDNA PG</t>
  </si>
  <si>
    <t>Fragment</t>
  </si>
  <si>
    <t>PM (g/mol) d'une bp</t>
  </si>
  <si>
    <t>Nb Avogadro (10^23)</t>
  </si>
  <si>
    <t>Taille (bp)</t>
  </si>
  <si>
    <t>PM (g/mol) fragment</t>
  </si>
  <si>
    <t>Dosage FA (ng/µL)</t>
  </si>
  <si>
    <t>Nb de molécules de 313 bp dans (x) ng</t>
  </si>
  <si>
    <t>Cf figure jointe</t>
  </si>
  <si>
    <t>TIM</t>
  </si>
  <si>
    <t>57,3241 nmole/L</t>
  </si>
  <si>
    <t>Total Conc.</t>
  </si>
  <si>
    <t>10,7492 ng/uL</t>
  </si>
  <si>
    <t>Autre façon de caluler</t>
  </si>
  <si>
    <t>A partir molarité calculé par FA</t>
  </si>
  <si>
    <t>Soit</t>
  </si>
  <si>
    <t>57,3241 10^-9 mole dans 10^6 µL</t>
  </si>
  <si>
    <t>soit</t>
  </si>
  <si>
    <t>57,3241 10^-15 mole/µL</t>
  </si>
  <si>
    <t>57,3241 10^-15  * 6,022 10^23 molécules /µL</t>
  </si>
  <si>
    <t>molécules/µL</t>
  </si>
  <si>
    <t>2 calculs équivalents</t>
  </si>
  <si>
    <t>Position</t>
  </si>
  <si>
    <t>Cq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</si>
  <si>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</si>
  <si>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</si>
  <si>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</si>
  <si>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</si>
  <si>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</si>
  <si>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</si>
  <si>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</si>
  <si>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</si>
  <si>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</si>
  <si>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</si>
  <si>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</si>
  <si>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</si>
  <si>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-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</si>
  <si>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</si>
  <si>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</si>
  <si>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</si>
  <si>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</si>
  <si>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</si>
  <si>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</si>
  <si>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</si>
  <si>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</si>
  <si>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</si>
  <si>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</si>
  <si>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</si>
  <si>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</si>
  <si>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</si>
  <si>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</si>
  <si>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</si>
  <si>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</si>
  <si>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</si>
  <si>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</si>
  <si>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</si>
  <si>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</si>
  <si>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</si>
  <si>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</si>
  <si>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</si>
  <si>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</si>
  <si>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Data brutes</t>
  </si>
  <si>
    <t>moy Cq</t>
  </si>
  <si>
    <t>Oubli de déposer stock pur</t>
  </si>
  <si>
    <t>dépôt molécules</t>
  </si>
  <si>
    <t>2 µL</t>
  </si>
  <si>
    <t>concentration</t>
  </si>
  <si>
    <t>10 ng/µl</t>
  </si>
  <si>
    <t>dilution</t>
  </si>
  <si>
    <t>Nb molécules rDNA déposées</t>
  </si>
  <si>
    <t>Log Nb</t>
  </si>
  <si>
    <t>Contrôle équation</t>
  </si>
  <si>
    <t>Nb molécules rDNA calculées</t>
  </si>
  <si>
    <t>Equation</t>
  </si>
  <si>
    <t>y = Log Nb molécules</t>
  </si>
  <si>
    <t>x = Cq</t>
  </si>
  <si>
    <t>Calcul  Log nb mol</t>
  </si>
  <si>
    <t>Nb mol</t>
  </si>
  <si>
    <t>sample</t>
  </si>
  <si>
    <t>y = -0,3395x + 10,858</t>
  </si>
  <si>
    <t>Puit bizarre</t>
  </si>
  <si>
    <t>Analyse de la gamme 2</t>
  </si>
  <si>
    <t>Analyse sample</t>
  </si>
  <si>
    <t>Si Cq &lt; 33, alors,échantillon considéré comme négatif</t>
  </si>
  <si>
    <t>GAMME</t>
  </si>
  <si>
    <t>R</t>
  </si>
  <si>
    <t>P</t>
  </si>
  <si>
    <t>N</t>
  </si>
  <si>
    <t>H20</t>
  </si>
  <si>
    <t>R,P,N</t>
  </si>
  <si>
    <t>2 µL de la dilution 10</t>
  </si>
  <si>
    <t>Sample</t>
  </si>
  <si>
    <t>Tube</t>
  </si>
  <si>
    <t>ADN stock ng/µL</t>
  </si>
  <si>
    <t>ADN utilisé qPCR</t>
  </si>
  <si>
    <t>ADN/µL</t>
  </si>
  <si>
    <t>Filtre F1</t>
  </si>
  <si>
    <t>32.30</t>
  </si>
  <si>
    <t>Filtre F2</t>
  </si>
  <si>
    <t>C3</t>
  </si>
  <si>
    <t>33.21</t>
  </si>
  <si>
    <t>Racines R0</t>
  </si>
  <si>
    <t>26.45</t>
  </si>
  <si>
    <t>Plantes positives PP</t>
  </si>
  <si>
    <t>E3</t>
  </si>
  <si>
    <t>27.17</t>
  </si>
  <si>
    <t>Plantes négatives PN</t>
  </si>
  <si>
    <t>29.32</t>
  </si>
  <si>
    <t>F1,F2</t>
  </si>
  <si>
    <t>Filtre</t>
  </si>
  <si>
    <t>Racine initiale, ensemencement</t>
  </si>
  <si>
    <t>Racines des plantes potentiellemnt négatives</t>
  </si>
  <si>
    <t>Racines des plantes potentiellement positives</t>
  </si>
  <si>
    <t>calcul, équation 2</t>
  </si>
  <si>
    <t>Test7</t>
  </si>
  <si>
    <t>Sample Name</t>
  </si>
  <si>
    <t>A5</t>
  </si>
  <si>
    <t>Eau de filtre, 1 µL</t>
  </si>
  <si>
    <t>Eau de filtre, 2 µL</t>
  </si>
  <si>
    <t>C5</t>
  </si>
  <si>
    <t>Eau de filtre, 3 µL</t>
  </si>
  <si>
    <t>Eau de filtre, 4 µL</t>
  </si>
  <si>
    <t>E5</t>
  </si>
  <si>
    <t>Eau de filtre, 5 µL</t>
  </si>
  <si>
    <t>V3A</t>
  </si>
  <si>
    <t>racines de plantes positives PG, Juin 23</t>
  </si>
  <si>
    <t>G5</t>
  </si>
  <si>
    <t>V3B</t>
  </si>
  <si>
    <t>H5</t>
  </si>
  <si>
    <t>TestJD 5</t>
  </si>
  <si>
    <t>JRL Juin</t>
  </si>
  <si>
    <t>V1A</t>
  </si>
  <si>
    <t>V2A</t>
  </si>
  <si>
    <t>P1A</t>
  </si>
  <si>
    <t>P2A</t>
  </si>
  <si>
    <t>P3B</t>
  </si>
  <si>
    <t>Génome PG (Mb)</t>
  </si>
  <si>
    <t>Fragments de 50 Kb</t>
  </si>
  <si>
    <t>Nb de molécules de 50 Kb dans (x) ng</t>
  </si>
  <si>
    <t>Nb de fragments de 50 kb dans un génome de PG</t>
  </si>
  <si>
    <t>Génome</t>
  </si>
  <si>
    <t xml:space="preserve">Nb </t>
  </si>
  <si>
    <t>H3</t>
  </si>
  <si>
    <t>1DIL10</t>
  </si>
  <si>
    <t>Tem 0 Mix</t>
  </si>
  <si>
    <t>Samples</t>
  </si>
  <si>
    <t>PG+</t>
  </si>
  <si>
    <t>PG-</t>
  </si>
  <si>
    <t>ADN extraits de racines de plantes de blé prévélées dans un champs, JRL Juin 2023</t>
  </si>
  <si>
    <t>Contrôle de la présence de PG, par qPCR ou PCR classique (cf Rapport JRL-Juin 2023)</t>
  </si>
  <si>
    <t>Nb mol/puit</t>
  </si>
  <si>
    <t>concentration d'ADN, ng/µL</t>
  </si>
  <si>
    <t>Dépôt de 2 µl d'ADN, ng</t>
  </si>
  <si>
    <t>nb mol PG/ng de cible</t>
  </si>
  <si>
    <t>%age PG, si 1 copie rDNA/PG</t>
  </si>
  <si>
    <t>%age PG, si 5 copie rDNA/PG</t>
  </si>
  <si>
    <t>%age PG, si 10 copie rDNA/PG</t>
  </si>
  <si>
    <t>Enrichissement</t>
  </si>
  <si>
    <t>Expérience Jacques David</t>
  </si>
  <si>
    <t>Ladder</t>
  </si>
  <si>
    <t>Gel d'agarose à 1,5 %</t>
  </si>
  <si>
    <t>Dépôt 10 µL de la solution d'acides nucléiques</t>
  </si>
  <si>
    <t>Dépôt de 10 ng d'ADN extrait</t>
  </si>
  <si>
    <t>Stock</t>
  </si>
  <si>
    <t>pour 2 µL</t>
  </si>
  <si>
    <t>y = -0,3395x + 9,8577</t>
  </si>
  <si>
    <t>Sur estimé</t>
  </si>
  <si>
    <t>2µL stock</t>
  </si>
  <si>
    <t>y = -0,3395x + 9,9245</t>
  </si>
  <si>
    <t>Molarité</t>
  </si>
  <si>
    <t>Dosage</t>
  </si>
  <si>
    <t>Courbe2</t>
  </si>
  <si>
    <t>Equation Courbe 2</t>
  </si>
  <si>
    <t>Si on considére que solution pure déposée en B11 et 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</si>
</sst>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08080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4" xfId="0" applyFont="1" applyFill="1" applyBorder="1"/>
    <xf numFmtId="0" fontId="1" fillId="2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4" xfId="0" applyFont="1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4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/>
    </xf>
    <xf numFmtId="0" fontId="4" fillId="0" borderId="0" xfId="0" applyFont="1" applyFill="1" applyBorder="1"/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 vertical="center"/>
    </xf>
    <xf numFmtId="2" fontId="0" fillId="2" borderId="0" xfId="0" applyNumberFormat="1" applyFill="1"/>
    <xf numFmtId="2" fontId="0" fillId="0" borderId="0" xfId="0" applyNumberFormat="1"/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center" vertical="center"/>
    </xf>
    <xf numFmtId="2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left" vertical="center"/>
    </xf>
    <xf numFmtId="0" fontId="0" fillId="2" borderId="2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6" fillId="5" borderId="0" xfId="0" applyFont="1" applyFill="1" applyAlignment="1">
      <alignment horizontal="center" vertical="center"/>
    </xf>
    <xf numFmtId="0" fontId="6" fillId="5" borderId="0" xfId="0" applyFont="1" applyFill="1"/>
    <xf numFmtId="0" fontId="0" fillId="0" borderId="0" xfId="0" applyAlignment="1">
      <alignment horizontal="center" wrapText="1"/>
    </xf>
    <xf numFmtId="0" fontId="1" fillId="0" borderId="0" xfId="0" applyFont="1"/>
    <xf numFmtId="0" fontId="7" fillId="0" borderId="0" xfId="0" applyFont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Border="1"/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3" fontId="0" fillId="0" borderId="0" xfId="0" applyNumberFormat="1"/>
    <xf numFmtId="0" fontId="2" fillId="2" borderId="16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[1]PG_Test4_JRL23_A!$J$19</c:f>
              <c:strCache>
                <c:ptCount val="1"/>
                <c:pt idx="0">
                  <c:v>Log Nb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10850831146107"/>
                  <c:y val="-0.20284041153894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[1]PG_Test4_JRL23_A!$I$20:$I$30</c:f>
              <c:numCache>
                <c:formatCode>General</c:formatCode>
                <c:ptCount val="11"/>
                <c:pt idx="0">
                  <c:v>30.284999999999997</c:v>
                </c:pt>
                <c:pt idx="1">
                  <c:v>26.14</c:v>
                </c:pt>
                <c:pt idx="2">
                  <c:v>23.36</c:v>
                </c:pt>
                <c:pt idx="3">
                  <c:v>21.130000000000003</c:v>
                </c:pt>
                <c:pt idx="4">
                  <c:v>18.755000000000003</c:v>
                </c:pt>
                <c:pt idx="5">
                  <c:v>15.45</c:v>
                </c:pt>
                <c:pt idx="6">
                  <c:v>11.469999999999999</c:v>
                </c:pt>
                <c:pt idx="7">
                  <c:v>7.4249999999999998</c:v>
                </c:pt>
                <c:pt idx="8">
                  <c:v>4.8249999999999993</c:v>
                </c:pt>
                <c:pt idx="9">
                  <c:v>3.65</c:v>
                </c:pt>
                <c:pt idx="10">
                  <c:v>2.2850000000000001</c:v>
                </c:pt>
              </c:numCache>
            </c:numRef>
          </c:xVal>
          <c:yVal>
            <c:numRef>
              <c:f>[1]PG_Test4_JRL23_A!$J$20:$J$30</c:f>
              <c:numCache>
                <c:formatCode>General</c:formatCode>
                <c:ptCount val="11"/>
                <c:pt idx="0">
                  <c:v>-0.22768694734843636</c:v>
                </c:pt>
                <c:pt idx="1">
                  <c:v>0.77231305265156369</c:v>
                </c:pt>
                <c:pt idx="2">
                  <c:v>1.7723130526515638</c:v>
                </c:pt>
                <c:pt idx="3">
                  <c:v>2.7723130526515636</c:v>
                </c:pt>
                <c:pt idx="4">
                  <c:v>3.7723130526515636</c:v>
                </c:pt>
                <c:pt idx="5">
                  <c:v>4.7723130526515636</c:v>
                </c:pt>
                <c:pt idx="6">
                  <c:v>5.7723130526515636</c:v>
                </c:pt>
                <c:pt idx="7">
                  <c:v>6.7723130526515636</c:v>
                </c:pt>
                <c:pt idx="8">
                  <c:v>7.7723130526515636</c:v>
                </c:pt>
                <c:pt idx="9">
                  <c:v>8.7723130526515636</c:v>
                </c:pt>
                <c:pt idx="10">
                  <c:v>9.7723130526515636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5-49B4-A065-90A44E946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620000"/>
        <c:axId val="1229624160"/>
      </c:scatterChart>
      <c:valAx>
        <c:axId val="12296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229624160"/>
        <c:crosses val="autoZero"/>
        <c:crossBetween val="midCat"/>
      </c:valAx>
      <c:valAx>
        <c:axId val="12296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2296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EquationCourbe2!$J$57</c:f>
              <c:strCache>
                <c:ptCount val="1"/>
                <c:pt idx="0">
                  <c:v>Log Nb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164063867016621"/>
                  <c:y val="-0.13565288713910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EquationCourbe2!$I$58:$I$68</c:f>
              <c:numCache>
                <c:formatCode>0.00</c:formatCode>
                <c:ptCount val="11"/>
                <c:pt idx="0">
                  <c:v>30.284999999999997</c:v>
                </c:pt>
                <c:pt idx="1">
                  <c:v>26.14</c:v>
                </c:pt>
                <c:pt idx="2">
                  <c:v>23.36</c:v>
                </c:pt>
                <c:pt idx="3">
                  <c:v>21.130000000000003</c:v>
                </c:pt>
                <c:pt idx="4">
                  <c:v>18.755000000000003</c:v>
                </c:pt>
                <c:pt idx="5">
                  <c:v>15.45</c:v>
                </c:pt>
                <c:pt idx="6">
                  <c:v>11.469999999999999</c:v>
                </c:pt>
                <c:pt idx="7">
                  <c:v>7.4249999999999998</c:v>
                </c:pt>
                <c:pt idx="8">
                  <c:v>4.8249999999999993</c:v>
                </c:pt>
                <c:pt idx="9">
                  <c:v>3.65</c:v>
                </c:pt>
                <c:pt idx="10">
                  <c:v>2.2850000000000001</c:v>
                </c:pt>
              </c:numCache>
            </c:numRef>
          </c:xVal>
          <c:yVal>
            <c:numRef>
              <c:f>EquationCourbe2!$J$58:$J$68</c:f>
              <c:numCache>
                <c:formatCode>0.0000</c:formatCode>
                <c:ptCount val="11"/>
                <c:pt idx="0">
                  <c:v>-0.16089200821525257</c:v>
                </c:pt>
                <c:pt idx="1">
                  <c:v>0.83910799178474738</c:v>
                </c:pt>
                <c:pt idx="2">
                  <c:v>1.8391079917847475</c:v>
                </c:pt>
                <c:pt idx="3">
                  <c:v>2.8391079917847475</c:v>
                </c:pt>
                <c:pt idx="4">
                  <c:v>3.8391079917847475</c:v>
                </c:pt>
                <c:pt idx="5">
                  <c:v>4.839107991784747</c:v>
                </c:pt>
                <c:pt idx="6">
                  <c:v>5.839107991784747</c:v>
                </c:pt>
                <c:pt idx="7">
                  <c:v>6.839107991784747</c:v>
                </c:pt>
                <c:pt idx="8">
                  <c:v>7.839107991784747</c:v>
                </c:pt>
                <c:pt idx="9">
                  <c:v>8.839107991784747</c:v>
                </c:pt>
                <c:pt idx="10">
                  <c:v>9.839107991784747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2-4064-B21A-CFE6B513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292800"/>
        <c:axId val="1214297792"/>
      </c:scatterChart>
      <c:valAx>
        <c:axId val="12142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214297792"/>
        <c:crosses val="autoZero"/>
        <c:crossBetween val="midCat"/>
      </c:valAx>
      <c:valAx>
        <c:axId val="12142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21429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0.1373727034120735"/>
          <c:y val="0.15319444444444447"/>
          <c:w val="0.81750918635170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'Equation Courbe3'!$J$57</c:f>
              <c:strCache>
                <c:ptCount val="1"/>
                <c:pt idx="0">
                  <c:v>Log Nb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482502187226596E-3"/>
                  <c:y val="-0.49690398075240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'Equation Courbe3'!$I$58:$I$68</c:f>
              <c:numCache>
                <c:formatCode>0.00</c:formatCode>
                <c:ptCount val="11"/>
                <c:pt idx="0">
                  <c:v>30.284999999999997</c:v>
                </c:pt>
                <c:pt idx="1">
                  <c:v>26.14</c:v>
                </c:pt>
                <c:pt idx="2">
                  <c:v>23.36</c:v>
                </c:pt>
                <c:pt idx="3">
                  <c:v>21.130000000000003</c:v>
                </c:pt>
                <c:pt idx="4">
                  <c:v>18.755000000000003</c:v>
                </c:pt>
                <c:pt idx="5">
                  <c:v>15.45</c:v>
                </c:pt>
                <c:pt idx="6">
                  <c:v>11.469999999999999</c:v>
                </c:pt>
                <c:pt idx="7">
                  <c:v>7.4249999999999998</c:v>
                </c:pt>
                <c:pt idx="8">
                  <c:v>4.8249999999999993</c:v>
                </c:pt>
                <c:pt idx="9">
                  <c:v>3.65</c:v>
                </c:pt>
                <c:pt idx="10">
                  <c:v>2.2850000000000001</c:v>
                </c:pt>
              </c:numCache>
            </c:numRef>
          </c:xVal>
          <c:yVal>
            <c:numRef>
              <c:f>'Equation Courbe3'!$J$58:$J$68</c:f>
              <c:numCache>
                <c:formatCode>0.0000</c:formatCode>
                <c:ptCount val="11"/>
                <c:pt idx="0">
                  <c:v>0.77231305265156369</c:v>
                </c:pt>
                <c:pt idx="1">
                  <c:v>1.7723130526515638</c:v>
                </c:pt>
                <c:pt idx="2">
                  <c:v>2.7723130526515636</c:v>
                </c:pt>
                <c:pt idx="3">
                  <c:v>3.7723130526515636</c:v>
                </c:pt>
                <c:pt idx="4">
                  <c:v>4.7723130526515636</c:v>
                </c:pt>
                <c:pt idx="5">
                  <c:v>5.7723130526515636</c:v>
                </c:pt>
                <c:pt idx="6">
                  <c:v>6.7723130526515636</c:v>
                </c:pt>
                <c:pt idx="7">
                  <c:v>7.7723130526515636</c:v>
                </c:pt>
                <c:pt idx="8">
                  <c:v>8.7723130526515636</c:v>
                </c:pt>
                <c:pt idx="9">
                  <c:v>9.7723130526515636</c:v>
                </c:pt>
                <c:pt idx="10">
                  <c:v>10.772313052651564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8-4F39-AF98-961B00B37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90576"/>
        <c:axId val="193693072"/>
      </c:scatterChart>
      <c:valAx>
        <c:axId val="1936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3693072"/>
        <c:crosses val="autoZero"/>
        <c:crossBetween val="midCat"/>
      </c:valAx>
      <c:valAx>
        <c:axId val="1936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369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1</xdr:row>
      <xdr:rowOff>31750</xdr:rowOff>
    </xdr:from>
    <xdr:to>
      <xdr:col>21</xdr:col>
      <xdr:colOff>469900</xdr:colOff>
      <xdr:row>23</xdr:row>
      <xdr:rowOff>130143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0" y="215900"/>
          <a:ext cx="8832850" cy="414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107950</xdr:colOff>
      <xdr:row>19</xdr:row>
      <xdr:rowOff>38100</xdr:rowOff>
    </xdr:from>
    <xdr:to>
      <xdr:col>13</xdr:col>
      <xdr:colOff>297783</xdr:colOff>
      <xdr:row>33</xdr:row>
      <xdr:rowOff>145783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7550" y="3536950"/>
          <a:ext cx="5333333" cy="2685783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57</xdr:row>
      <xdr:rowOff>0</xdr:rowOff>
    </xdr:from>
    <xdr:to>
      <xdr:col>17</xdr:col>
      <xdr:colOff>0</xdr:colOff>
      <xdr:row>71</xdr:row>
      <xdr:rowOff>165100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107950</xdr:colOff>
      <xdr:row>19</xdr:row>
      <xdr:rowOff>38100</xdr:rowOff>
    </xdr:from>
    <xdr:to>
      <xdr:col>13</xdr:col>
      <xdr:colOff>297783</xdr:colOff>
      <xdr:row>33</xdr:row>
      <xdr:rowOff>145783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7550" y="3536950"/>
          <a:ext cx="5333333" cy="2685783"/>
        </a:xfrm>
        <a:prstGeom prst="rect">
          <a:avLst/>
        </a:prstGeom>
      </xdr:spPr>
    </xdr:pic>
    <xdr:clientData/>
  </xdr:twoCellAnchor>
  <xdr:twoCellAnchor>
    <xdr:from>
      <xdr:col>11</xdr:col>
      <xdr:colOff>612775</xdr:colOff>
      <xdr:row>55</xdr:row>
      <xdr:rowOff>15875</xdr:rowOff>
    </xdr:from>
    <xdr:to>
      <xdr:col>17</xdr:col>
      <xdr:colOff>612775</xdr:colOff>
      <xdr:row>69</xdr:row>
      <xdr:rowOff>149225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107950</xdr:colOff>
      <xdr:row>19</xdr:row>
      <xdr:rowOff>38100</xdr:rowOff>
    </xdr:from>
    <xdr:to>
      <xdr:col>13</xdr:col>
      <xdr:colOff>273592</xdr:colOff>
      <xdr:row>33</xdr:row>
      <xdr:rowOff>145783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7550" y="3536950"/>
          <a:ext cx="5333333" cy="2685783"/>
        </a:xfrm>
        <a:prstGeom prst="rect">
          <a:avLst/>
        </a:prstGeom>
      </xdr:spPr>
    </xdr:pic>
    <xdr:clientData/>
  </xdr:twoCellAnchor>
  <xdr:twoCellAnchor>
    <xdr:from>
      <xdr:col>11</xdr:col>
      <xdr:colOff>28575</xdr:colOff>
      <xdr:row>55</xdr:row>
      <xdr:rowOff>168275</xdr:rowOff>
    </xdr:from>
    <xdr:to>
      <xdr:col>17</xdr:col>
      <xdr:colOff>28575</xdr:colOff>
      <xdr:row>70</xdr:row>
      <xdr:rowOff>117475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107950</xdr:colOff>
      <xdr:row>39</xdr:row>
      <xdr:rowOff>31750</xdr:rowOff>
    </xdr:from>
    <xdr:to>
      <xdr:col>29</xdr:col>
      <xdr:colOff>426263</xdr:colOff>
      <xdr:row>52</xdr:row>
      <xdr:rowOff>95250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63600" y="768350"/>
          <a:ext cx="6414313" cy="2470150"/>
        </a:xfrm>
        <a:prstGeom prst="rect">
          <a:avLst/>
        </a:prstGeom>
      </xdr:spPr>
    </xdr:pic>
    <xdr:clientData/>
  </xdr:twoCellAnchor>
  <xdr:twoCellAnchor editAs="oneCell">
    <xdr:from>
      <xdr:col>10</xdr:col>
      <xdr:colOff>349250</xdr:colOff>
      <xdr:row>80</xdr:row>
      <xdr:rowOff>355600</xdr:rowOff>
    </xdr:from>
    <xdr:to>
      <xdr:col>25</xdr:col>
      <xdr:colOff>28739</xdr:colOff>
      <xdr:row>98</xdr:row>
      <xdr:rowOff>107950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9900" y="9398000"/>
          <a:ext cx="8442489" cy="325120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7</xdr:row>
      <xdr:rowOff>12698</xdr:rowOff>
    </xdr:from>
    <xdr:to>
      <xdr:col>17</xdr:col>
      <xdr:colOff>64554</xdr:colOff>
      <xdr:row>27</xdr:row>
      <xdr:rowOff>184149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82" r="16268" b="41308"/>
        <a:stretch/>
      </xdr:blipFill>
      <xdr:spPr>
        <a:xfrm>
          <a:off x="8153400" y="1301748"/>
          <a:ext cx="3550704" cy="38544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antoni/Documents/Documents%20Sylvain/PlantesDAVEM/Ble/POGRIVEPolymixa/qPCR-PG/TestqPCR-PG-Nov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PCR-PG"/>
      <sheetName val="TestCalcul"/>
      <sheetName val="PG_Test4_JRL23_A"/>
      <sheetName val="Calcul_PG_Test4_JRL_B"/>
      <sheetName val="PG-RB-Test6"/>
      <sheetName val="PG-JD-Test5"/>
      <sheetName val="PG-JD-Test7"/>
      <sheetName val="TestRepliG-JRL"/>
      <sheetName val="Feuil1"/>
      <sheetName val="REpliG2"/>
      <sheetName val="ex qPCR_SBCMV_SS"/>
      <sheetName val="Vero2"/>
    </sheetNames>
    <sheetDataSet>
      <sheetData sheetId="0" refreshError="1"/>
      <sheetData sheetId="1" refreshError="1"/>
      <sheetData sheetId="2">
        <row r="19">
          <cell r="J19" t="str">
            <v>Log Nb</v>
          </cell>
        </row>
        <row r="20">
          <cell r="I20">
            <v>30.284999999999997</v>
          </cell>
          <cell r="J20">
            <v>-0.22768694734843636</v>
          </cell>
        </row>
        <row r="21">
          <cell r="I21">
            <v>26.14</v>
          </cell>
          <cell r="J21">
            <v>0.77231305265156369</v>
          </cell>
        </row>
        <row r="22">
          <cell r="I22">
            <v>23.36</v>
          </cell>
          <cell r="J22">
            <v>1.7723130526515638</v>
          </cell>
        </row>
        <row r="23">
          <cell r="I23">
            <v>21.130000000000003</v>
          </cell>
          <cell r="J23">
            <v>2.7723130526515636</v>
          </cell>
        </row>
        <row r="24">
          <cell r="I24">
            <v>18.755000000000003</v>
          </cell>
          <cell r="J24">
            <v>3.7723130526515636</v>
          </cell>
        </row>
        <row r="25">
          <cell r="I25">
            <v>15.45</v>
          </cell>
          <cell r="J25">
            <v>4.7723130526515636</v>
          </cell>
        </row>
        <row r="26">
          <cell r="I26">
            <v>11.469999999999999</v>
          </cell>
          <cell r="J26">
            <v>5.7723130526515636</v>
          </cell>
        </row>
        <row r="27">
          <cell r="I27">
            <v>7.4249999999999998</v>
          </cell>
          <cell r="J27">
            <v>6.7723130526515636</v>
          </cell>
        </row>
        <row r="28">
          <cell r="I28">
            <v>4.8249999999999993</v>
          </cell>
          <cell r="J28">
            <v>7.7723130526515636</v>
          </cell>
        </row>
        <row r="29">
          <cell r="I29">
            <v>3.65</v>
          </cell>
          <cell r="J29">
            <v>8.7723130526515636</v>
          </cell>
        </row>
        <row r="30">
          <cell r="I30">
            <v>2.2850000000000001</v>
          </cell>
          <cell r="J30">
            <v>9.7723130526515636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X24"/>
  <sheetViews>
    <sheetView topLeftCell="D1" workbookViewId="0">
      <selection activeCell="L26" sqref="L26"/>
    </sheetView>
  </sheetViews>
  <sheetFormatPr baseColWidth="10" defaultRowHeight="15" x14ac:dyDescent="0.2"/>
  <cols>
    <col min="2" max="2" width="26.1640625" customWidth="1"/>
  </cols>
  <sheetData>
    <row r="6" spans="2:24" ht="16" thickBot="1" x14ac:dyDescent="0.25"/>
    <row r="7" spans="2:24" ht="16" thickBot="1" x14ac:dyDescent="0.25">
      <c r="B7" t="s">
        <v>0</v>
      </c>
      <c r="K7" s="1"/>
      <c r="L7" s="2">
        <v>1</v>
      </c>
      <c r="M7" s="3">
        <v>2</v>
      </c>
      <c r="N7" s="3">
        <v>3</v>
      </c>
      <c r="O7" s="3">
        <v>4</v>
      </c>
      <c r="P7" s="3">
        <v>5</v>
      </c>
      <c r="Q7" s="3">
        <v>6</v>
      </c>
      <c r="R7" s="3">
        <v>7</v>
      </c>
      <c r="S7" s="3">
        <v>8</v>
      </c>
      <c r="T7" s="3">
        <v>9</v>
      </c>
      <c r="U7" s="3">
        <v>10</v>
      </c>
      <c r="V7" s="3">
        <v>11</v>
      </c>
      <c r="W7" s="4">
        <v>12</v>
      </c>
    </row>
    <row r="8" spans="2:24" x14ac:dyDescent="0.2">
      <c r="B8" s="5" t="s">
        <v>1</v>
      </c>
      <c r="C8" s="6">
        <v>1</v>
      </c>
      <c r="D8" s="6">
        <v>22</v>
      </c>
      <c r="K8" s="7" t="s">
        <v>2</v>
      </c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10"/>
    </row>
    <row r="9" spans="2:24" x14ac:dyDescent="0.2">
      <c r="B9" s="5"/>
      <c r="C9" s="6" t="s">
        <v>3</v>
      </c>
      <c r="D9" s="6"/>
      <c r="J9" t="s">
        <v>4</v>
      </c>
      <c r="K9" s="11" t="s">
        <v>5</v>
      </c>
      <c r="L9" s="12">
        <v>-11</v>
      </c>
      <c r="M9" s="6">
        <v>-10</v>
      </c>
      <c r="N9" s="6">
        <v>-9</v>
      </c>
      <c r="O9" s="6">
        <v>-8</v>
      </c>
      <c r="P9" s="6">
        <v>-7</v>
      </c>
      <c r="Q9" s="6">
        <v>-6</v>
      </c>
      <c r="R9" s="6">
        <v>-5</v>
      </c>
      <c r="S9" s="6">
        <v>-4</v>
      </c>
      <c r="T9" s="6">
        <v>-3</v>
      </c>
      <c r="U9" s="6">
        <v>-2</v>
      </c>
      <c r="V9" s="6">
        <v>-1</v>
      </c>
      <c r="W9" s="13" t="s">
        <v>6</v>
      </c>
      <c r="X9" t="s">
        <v>7</v>
      </c>
    </row>
    <row r="10" spans="2:24" x14ac:dyDescent="0.2">
      <c r="B10" s="14" t="s">
        <v>8</v>
      </c>
      <c r="C10" s="15">
        <v>2</v>
      </c>
      <c r="D10" s="15"/>
      <c r="F10" s="16" t="s">
        <v>9</v>
      </c>
      <c r="K10" s="11" t="s">
        <v>10</v>
      </c>
      <c r="L10" s="12"/>
      <c r="M10" s="6"/>
      <c r="N10" s="6"/>
      <c r="O10" s="6"/>
      <c r="P10" s="6"/>
      <c r="Q10" s="6"/>
      <c r="R10" s="6"/>
      <c r="S10" s="6"/>
      <c r="T10" s="6"/>
      <c r="U10" s="6"/>
      <c r="V10" s="6"/>
      <c r="W10" s="13"/>
    </row>
    <row r="11" spans="2:24" x14ac:dyDescent="0.2">
      <c r="B11" s="17" t="s">
        <v>11</v>
      </c>
      <c r="C11" s="6">
        <v>12.5</v>
      </c>
      <c r="D11" s="6">
        <f>(C11*D8)</f>
        <v>275</v>
      </c>
      <c r="G11" s="18" t="s">
        <v>12</v>
      </c>
      <c r="H11" s="18" t="s">
        <v>13</v>
      </c>
      <c r="I11" s="83" t="s">
        <v>14</v>
      </c>
      <c r="J11" t="s">
        <v>4</v>
      </c>
      <c r="K11" s="11" t="s">
        <v>15</v>
      </c>
      <c r="L11" s="12">
        <v>-11</v>
      </c>
      <c r="M11" s="6">
        <v>-10</v>
      </c>
      <c r="N11" s="6">
        <v>-9</v>
      </c>
      <c r="O11" s="6">
        <v>-8</v>
      </c>
      <c r="P11" s="6">
        <v>-7</v>
      </c>
      <c r="Q11" s="6">
        <v>-6</v>
      </c>
      <c r="R11" s="6">
        <v>-5</v>
      </c>
      <c r="S11" s="6">
        <v>-4</v>
      </c>
      <c r="T11" s="6">
        <v>-3</v>
      </c>
      <c r="U11" s="6">
        <v>-2</v>
      </c>
      <c r="V11" s="6">
        <v>-1</v>
      </c>
      <c r="W11" s="13" t="s">
        <v>6</v>
      </c>
      <c r="X11" t="s">
        <v>7</v>
      </c>
    </row>
    <row r="12" spans="2:24" x14ac:dyDescent="0.2">
      <c r="B12" s="17" t="s">
        <v>16</v>
      </c>
      <c r="C12" s="6">
        <v>0.1</v>
      </c>
      <c r="D12" s="6">
        <f>(C12*D8)</f>
        <v>2.2000000000000002</v>
      </c>
      <c r="G12" s="18" t="s">
        <v>17</v>
      </c>
      <c r="H12" s="18" t="s">
        <v>18</v>
      </c>
      <c r="I12" s="83"/>
      <c r="K12" s="11" t="s">
        <v>19</v>
      </c>
      <c r="L12" s="12"/>
      <c r="M12" s="6"/>
      <c r="N12" s="6"/>
      <c r="O12" s="6"/>
      <c r="P12" s="20"/>
      <c r="Q12" s="6"/>
      <c r="R12" s="6"/>
      <c r="S12" s="6"/>
      <c r="T12" s="6"/>
      <c r="U12" s="6"/>
      <c r="V12" s="6"/>
      <c r="W12" s="13"/>
    </row>
    <row r="13" spans="2:24" x14ac:dyDescent="0.2">
      <c r="B13" s="17" t="s">
        <v>20</v>
      </c>
      <c r="C13" s="6">
        <v>0.1</v>
      </c>
      <c r="D13" s="6">
        <f>(C13*D8)</f>
        <v>2.2000000000000002</v>
      </c>
      <c r="G13" s="18" t="s">
        <v>21</v>
      </c>
      <c r="H13" s="18" t="s">
        <v>18</v>
      </c>
      <c r="I13" s="83"/>
      <c r="J13" t="s">
        <v>177</v>
      </c>
      <c r="K13" s="11" t="s">
        <v>22</v>
      </c>
      <c r="L13" s="12" t="s">
        <v>23</v>
      </c>
      <c r="M13" s="6" t="s">
        <v>23</v>
      </c>
      <c r="N13" s="6">
        <v>7</v>
      </c>
      <c r="O13" s="20">
        <v>8</v>
      </c>
      <c r="P13" s="20" t="s">
        <v>163</v>
      </c>
      <c r="Q13" s="6" t="s">
        <v>164</v>
      </c>
      <c r="R13" s="6" t="s">
        <v>156</v>
      </c>
      <c r="S13" s="6" t="s">
        <v>165</v>
      </c>
      <c r="T13" s="6" t="s">
        <v>166</v>
      </c>
      <c r="U13" s="6" t="s">
        <v>167</v>
      </c>
      <c r="V13" s="6" t="s">
        <v>176</v>
      </c>
      <c r="W13" s="13"/>
      <c r="X13" s="68" t="s">
        <v>162</v>
      </c>
    </row>
    <row r="14" spans="2:24" x14ac:dyDescent="0.2">
      <c r="B14" s="17" t="s">
        <v>24</v>
      </c>
      <c r="C14" s="6">
        <v>0.2</v>
      </c>
      <c r="D14" s="6">
        <f>(C14*D8)</f>
        <v>4.4000000000000004</v>
      </c>
      <c r="K14" s="11" t="s">
        <v>25</v>
      </c>
      <c r="L14" s="12"/>
      <c r="M14" s="6"/>
      <c r="N14" s="6"/>
      <c r="O14" s="20"/>
      <c r="P14" s="21"/>
      <c r="Q14" s="6"/>
      <c r="R14" s="6"/>
      <c r="S14" s="6"/>
      <c r="T14" s="6"/>
      <c r="U14" s="6"/>
      <c r="V14" s="6"/>
      <c r="W14" s="13"/>
    </row>
    <row r="15" spans="2:24" ht="16" thickBot="1" x14ac:dyDescent="0.25">
      <c r="B15" s="17" t="s">
        <v>26</v>
      </c>
      <c r="C15" s="6">
        <v>2.5</v>
      </c>
      <c r="D15" s="6">
        <f>(C15*D8)</f>
        <v>55</v>
      </c>
      <c r="K15" s="22" t="s">
        <v>27</v>
      </c>
      <c r="L15" s="23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5"/>
    </row>
    <row r="16" spans="2:24" x14ac:dyDescent="0.2">
      <c r="B16" s="17" t="s">
        <v>28</v>
      </c>
      <c r="C16" s="6">
        <f>-((C11+C12+C13+C14+C15)-23)</f>
        <v>7.6000000000000014</v>
      </c>
      <c r="D16" s="6">
        <f>(C16*D8)</f>
        <v>167.20000000000005</v>
      </c>
      <c r="E16" t="s">
        <v>29</v>
      </c>
    </row>
    <row r="17" spans="2:21" x14ac:dyDescent="0.2">
      <c r="B17" s="26" t="s">
        <v>30</v>
      </c>
      <c r="C17" s="6">
        <v>25</v>
      </c>
      <c r="D17" s="6">
        <f>SUM(D11:D16)</f>
        <v>506</v>
      </c>
    </row>
    <row r="18" spans="2:21" x14ac:dyDescent="0.2">
      <c r="B18" s="27" t="s">
        <v>31</v>
      </c>
      <c r="C18" s="28">
        <v>23</v>
      </c>
      <c r="D18" s="6"/>
    </row>
    <row r="20" spans="2:21" x14ac:dyDescent="0.2">
      <c r="B20" s="29"/>
      <c r="M20" t="s">
        <v>180</v>
      </c>
    </row>
    <row r="21" spans="2:21" x14ac:dyDescent="0.2">
      <c r="M21" t="s">
        <v>194</v>
      </c>
      <c r="N21" s="49"/>
      <c r="O21" s="49"/>
      <c r="P21" s="69"/>
      <c r="Q21" s="69"/>
      <c r="R21" s="69"/>
      <c r="S21" s="69"/>
      <c r="T21" s="69"/>
      <c r="U21" s="69"/>
    </row>
    <row r="22" spans="2:21" x14ac:dyDescent="0.2">
      <c r="M22" t="s">
        <v>123</v>
      </c>
      <c r="N22" s="6">
        <v>7</v>
      </c>
      <c r="O22" s="20">
        <v>8</v>
      </c>
      <c r="P22" s="20" t="s">
        <v>163</v>
      </c>
      <c r="Q22" s="6" t="s">
        <v>164</v>
      </c>
      <c r="R22" s="6" t="s">
        <v>156</v>
      </c>
      <c r="S22" s="6" t="s">
        <v>165</v>
      </c>
      <c r="T22" s="6" t="s">
        <v>166</v>
      </c>
      <c r="U22" s="6" t="s">
        <v>167</v>
      </c>
    </row>
    <row r="23" spans="2:21" x14ac:dyDescent="0.2">
      <c r="M23" t="s">
        <v>181</v>
      </c>
    </row>
    <row r="24" spans="2:21" x14ac:dyDescent="0.2">
      <c r="N24" s="49" t="s">
        <v>179</v>
      </c>
      <c r="O24" s="49" t="s">
        <v>179</v>
      </c>
      <c r="P24" s="69" t="s">
        <v>178</v>
      </c>
      <c r="Q24" s="69" t="s">
        <v>178</v>
      </c>
      <c r="R24" s="69" t="s">
        <v>178</v>
      </c>
      <c r="S24" s="69" t="s">
        <v>178</v>
      </c>
      <c r="T24" s="69" t="s">
        <v>178</v>
      </c>
      <c r="U24" s="69" t="s">
        <v>178</v>
      </c>
    </row>
  </sheetData>
  <mergeCells count="1">
    <mergeCell ref="I11:I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O31"/>
  <sheetViews>
    <sheetView topLeftCell="G1" workbookViewId="0">
      <selection activeCell="F27" sqref="F27"/>
    </sheetView>
  </sheetViews>
  <sheetFormatPr baseColWidth="10" defaultRowHeight="15" x14ac:dyDescent="0.2"/>
  <cols>
    <col min="3" max="3" width="15.1640625" bestFit="1" customWidth="1"/>
    <col min="4" max="4" width="18.5" bestFit="1" customWidth="1"/>
    <col min="5" max="5" width="10.83203125" style="1"/>
    <col min="6" max="6" width="13.1640625" bestFit="1" customWidth="1"/>
    <col min="7" max="7" width="32" bestFit="1" customWidth="1"/>
    <col min="8" max="8" width="13.5" style="1" customWidth="1"/>
    <col min="10" max="10" width="11.83203125" bestFit="1" customWidth="1"/>
  </cols>
  <sheetData>
    <row r="3" spans="3:8" x14ac:dyDescent="0.2">
      <c r="C3" t="s">
        <v>32</v>
      </c>
      <c r="D3" t="s">
        <v>33</v>
      </c>
      <c r="G3" t="s">
        <v>34</v>
      </c>
      <c r="H3" s="1">
        <v>650</v>
      </c>
    </row>
    <row r="4" spans="3:8" x14ac:dyDescent="0.2">
      <c r="G4" t="s">
        <v>35</v>
      </c>
      <c r="H4" s="1">
        <v>6.0220000000000002</v>
      </c>
    </row>
    <row r="5" spans="3:8" x14ac:dyDescent="0.2">
      <c r="D5" t="s">
        <v>36</v>
      </c>
      <c r="E5" s="1">
        <v>313</v>
      </c>
      <c r="G5" t="s">
        <v>37</v>
      </c>
      <c r="H5" s="1">
        <f>(E5*650)</f>
        <v>203450</v>
      </c>
    </row>
    <row r="7" spans="3:8" x14ac:dyDescent="0.2">
      <c r="D7" t="s">
        <v>38</v>
      </c>
      <c r="E7" s="1">
        <v>10</v>
      </c>
      <c r="G7" t="s">
        <v>39</v>
      </c>
    </row>
    <row r="8" spans="3:8" x14ac:dyDescent="0.2">
      <c r="D8" t="s">
        <v>40</v>
      </c>
      <c r="G8" s="1">
        <v>1</v>
      </c>
      <c r="H8" s="30">
        <f>PRODUCT(6.022,10^14,G8,1/203450)</f>
        <v>2959941017.4490047</v>
      </c>
    </row>
    <row r="9" spans="3:8" x14ac:dyDescent="0.2">
      <c r="G9" s="31">
        <v>10</v>
      </c>
      <c r="H9" s="32">
        <f>PRODUCT(6.022,10^14,G9,1/203450)</f>
        <v>29599410174.490047</v>
      </c>
    </row>
    <row r="10" spans="3:8" x14ac:dyDescent="0.2">
      <c r="G10" s="1">
        <v>30</v>
      </c>
      <c r="H10" s="30">
        <f>PRODUCT(6.022,10^14,G10,1/203450)</f>
        <v>88798230523.470139</v>
      </c>
    </row>
    <row r="11" spans="3:8" x14ac:dyDescent="0.2">
      <c r="G11" s="1">
        <v>20</v>
      </c>
      <c r="H11" s="30">
        <f>PRODUCT(6.022,10^14,G11,1/203450)</f>
        <v>59198820348.980095</v>
      </c>
    </row>
    <row r="17" spans="3:15" x14ac:dyDescent="0.2">
      <c r="C17" t="s">
        <v>45</v>
      </c>
    </row>
    <row r="19" spans="3:15" x14ac:dyDescent="0.2">
      <c r="C19" t="s">
        <v>46</v>
      </c>
      <c r="E19" t="s">
        <v>41</v>
      </c>
      <c r="F19" t="s">
        <v>42</v>
      </c>
      <c r="H19" s="30"/>
    </row>
    <row r="20" spans="3:15" x14ac:dyDescent="0.2">
      <c r="E20" s="1" t="s">
        <v>47</v>
      </c>
      <c r="F20" t="s">
        <v>48</v>
      </c>
      <c r="H20"/>
    </row>
    <row r="21" spans="3:15" x14ac:dyDescent="0.2">
      <c r="E21" s="1" t="s">
        <v>49</v>
      </c>
      <c r="F21" t="s">
        <v>50</v>
      </c>
    </row>
    <row r="22" spans="3:15" x14ac:dyDescent="0.2">
      <c r="E22" s="1" t="s">
        <v>49</v>
      </c>
      <c r="F22" t="s">
        <v>51</v>
      </c>
      <c r="G22" s="1"/>
      <c r="H22" s="30"/>
    </row>
    <row r="23" spans="3:15" x14ac:dyDescent="0.2">
      <c r="E23" s="1" t="s">
        <v>49</v>
      </c>
      <c r="F23" s="33">
        <v>34520573020</v>
      </c>
      <c r="G23" s="31" t="s">
        <v>52</v>
      </c>
      <c r="H23" s="30"/>
    </row>
    <row r="24" spans="3:15" x14ac:dyDescent="0.2">
      <c r="G24" s="1"/>
      <c r="H24" s="30"/>
    </row>
    <row r="25" spans="3:15" x14ac:dyDescent="0.2">
      <c r="F25" s="34" t="s">
        <v>53</v>
      </c>
      <c r="G25" s="31"/>
      <c r="H25" s="30"/>
    </row>
    <row r="26" spans="3:15" x14ac:dyDescent="0.2">
      <c r="N26" t="s">
        <v>41</v>
      </c>
      <c r="O26" t="s">
        <v>42</v>
      </c>
    </row>
    <row r="27" spans="3:15" x14ac:dyDescent="0.2">
      <c r="E27" s="1" t="s">
        <v>199</v>
      </c>
      <c r="F27" s="81">
        <f>(2*F23)</f>
        <v>69041146040</v>
      </c>
      <c r="N27" t="s">
        <v>43</v>
      </c>
      <c r="O27" t="s">
        <v>44</v>
      </c>
    </row>
    <row r="30" spans="3:15" x14ac:dyDescent="0.2">
      <c r="E30" s="30"/>
    </row>
    <row r="31" spans="3:15" x14ac:dyDescent="0.2">
      <c r="E31" s="3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7"/>
  <sheetViews>
    <sheetView tabSelected="1" topLeftCell="A55" workbookViewId="0">
      <selection activeCell="B75" sqref="B75:C78"/>
    </sheetView>
  </sheetViews>
  <sheetFormatPr baseColWidth="10" defaultRowHeight="15" x14ac:dyDescent="0.2"/>
  <cols>
    <col min="4" max="4" width="16" customWidth="1"/>
    <col min="10" max="10" width="19.1640625" customWidth="1"/>
  </cols>
  <sheetData>
    <row r="1" spans="1:12" x14ac:dyDescent="0.2">
      <c r="A1" t="s">
        <v>93</v>
      </c>
    </row>
    <row r="2" spans="1:12" ht="16" x14ac:dyDescent="0.2">
      <c r="A2" s="35" t="s">
        <v>54</v>
      </c>
      <c r="B2" s="35" t="s">
        <v>55</v>
      </c>
      <c r="H2" s="35" t="s">
        <v>54</v>
      </c>
      <c r="I2" s="74" t="s">
        <v>55</v>
      </c>
      <c r="J2" s="35" t="s">
        <v>54</v>
      </c>
      <c r="K2" s="74" t="s">
        <v>55</v>
      </c>
      <c r="L2" s="35" t="s">
        <v>94</v>
      </c>
    </row>
    <row r="3" spans="1:12" x14ac:dyDescent="0.2">
      <c r="A3" s="73" t="s">
        <v>56</v>
      </c>
      <c r="B3" s="73">
        <v>30.24</v>
      </c>
      <c r="H3" s="73" t="s">
        <v>56</v>
      </c>
      <c r="I3" s="37">
        <v>30.24</v>
      </c>
      <c r="J3" s="73" t="s">
        <v>69</v>
      </c>
      <c r="K3" s="37">
        <v>30.33</v>
      </c>
      <c r="L3" s="73">
        <f>AVERAGE(I3,K3)</f>
        <v>30.284999999999997</v>
      </c>
    </row>
    <row r="4" spans="1:12" x14ac:dyDescent="0.2">
      <c r="A4" s="73" t="s">
        <v>57</v>
      </c>
      <c r="B4" s="73">
        <v>24.8</v>
      </c>
      <c r="H4" s="73" t="s">
        <v>57</v>
      </c>
      <c r="I4" s="37">
        <v>24.8</v>
      </c>
      <c r="J4" s="73" t="s">
        <v>70</v>
      </c>
      <c r="K4" s="37">
        <v>27.48</v>
      </c>
      <c r="L4" s="73">
        <f t="shared" ref="L4:L13" si="0">AVERAGE(I4,K4)</f>
        <v>26.14</v>
      </c>
    </row>
    <row r="5" spans="1:12" x14ac:dyDescent="0.2">
      <c r="A5" s="73" t="s">
        <v>58</v>
      </c>
      <c r="B5" s="73">
        <v>22.77</v>
      </c>
      <c r="H5" s="73" t="s">
        <v>58</v>
      </c>
      <c r="I5" s="37">
        <v>22.77</v>
      </c>
      <c r="J5" s="73" t="s">
        <v>71</v>
      </c>
      <c r="K5" s="37">
        <v>23.95</v>
      </c>
      <c r="L5" s="73">
        <f t="shared" si="0"/>
        <v>23.36</v>
      </c>
    </row>
    <row r="6" spans="1:12" x14ac:dyDescent="0.2">
      <c r="A6" s="73" t="s">
        <v>59</v>
      </c>
      <c r="B6" s="73">
        <v>21.39</v>
      </c>
      <c r="H6" s="73" t="s">
        <v>59</v>
      </c>
      <c r="I6" s="37">
        <v>21.39</v>
      </c>
      <c r="J6" s="73" t="s">
        <v>72</v>
      </c>
      <c r="K6" s="37">
        <v>20.87</v>
      </c>
      <c r="L6" s="73">
        <f t="shared" si="0"/>
        <v>21.130000000000003</v>
      </c>
    </row>
    <row r="7" spans="1:12" x14ac:dyDescent="0.2">
      <c r="A7" s="73" t="s">
        <v>60</v>
      </c>
      <c r="B7" s="73">
        <v>17.07</v>
      </c>
      <c r="H7" s="73" t="s">
        <v>60</v>
      </c>
      <c r="I7" s="37">
        <v>17.07</v>
      </c>
      <c r="J7" s="73" t="s">
        <v>73</v>
      </c>
      <c r="K7" s="37">
        <v>20.440000000000001</v>
      </c>
      <c r="L7" s="73">
        <f t="shared" si="0"/>
        <v>18.755000000000003</v>
      </c>
    </row>
    <row r="8" spans="1:12" x14ac:dyDescent="0.2">
      <c r="A8" s="73" t="s">
        <v>61</v>
      </c>
      <c r="B8" s="73">
        <v>16.07</v>
      </c>
      <c r="H8" s="73" t="s">
        <v>61</v>
      </c>
      <c r="I8" s="37">
        <v>16.07</v>
      </c>
      <c r="J8" s="73" t="s">
        <v>74</v>
      </c>
      <c r="K8" s="37">
        <v>14.83</v>
      </c>
      <c r="L8" s="73">
        <f t="shared" si="0"/>
        <v>15.45</v>
      </c>
    </row>
    <row r="9" spans="1:12" x14ac:dyDescent="0.2">
      <c r="A9" s="73" t="s">
        <v>62</v>
      </c>
      <c r="B9" s="73">
        <v>12.07</v>
      </c>
      <c r="H9" s="73" t="s">
        <v>62</v>
      </c>
      <c r="I9" s="37">
        <v>12.07</v>
      </c>
      <c r="J9" s="73" t="s">
        <v>75</v>
      </c>
      <c r="K9" s="37">
        <v>10.87</v>
      </c>
      <c r="L9" s="73">
        <f t="shared" si="0"/>
        <v>11.469999999999999</v>
      </c>
    </row>
    <row r="10" spans="1:12" x14ac:dyDescent="0.2">
      <c r="A10" s="73" t="s">
        <v>63</v>
      </c>
      <c r="B10" s="73">
        <v>7.89</v>
      </c>
      <c r="H10" s="73" t="s">
        <v>63</v>
      </c>
      <c r="I10" s="37">
        <v>7.89</v>
      </c>
      <c r="J10" s="73" t="s">
        <v>76</v>
      </c>
      <c r="K10" s="37">
        <v>6.96</v>
      </c>
      <c r="L10" s="73">
        <f t="shared" si="0"/>
        <v>7.4249999999999998</v>
      </c>
    </row>
    <row r="11" spans="1:12" x14ac:dyDescent="0.2">
      <c r="A11" s="73" t="s">
        <v>64</v>
      </c>
      <c r="B11" s="73">
        <v>5.39</v>
      </c>
      <c r="H11" s="73" t="s">
        <v>64</v>
      </c>
      <c r="I11" s="37">
        <v>5.39</v>
      </c>
      <c r="J11" s="73" t="s">
        <v>77</v>
      </c>
      <c r="K11" s="37">
        <v>4.26</v>
      </c>
      <c r="L11" s="73">
        <f t="shared" si="0"/>
        <v>4.8249999999999993</v>
      </c>
    </row>
    <row r="12" spans="1:12" x14ac:dyDescent="0.2">
      <c r="A12" s="73" t="s">
        <v>65</v>
      </c>
      <c r="B12" s="73">
        <v>4.76</v>
      </c>
      <c r="H12" s="73" t="s">
        <v>65</v>
      </c>
      <c r="I12" s="37">
        <v>4.76</v>
      </c>
      <c r="J12" s="73" t="s">
        <v>78</v>
      </c>
      <c r="K12" s="37">
        <v>2.54</v>
      </c>
      <c r="L12" s="73">
        <f t="shared" si="0"/>
        <v>3.65</v>
      </c>
    </row>
    <row r="13" spans="1:12" x14ac:dyDescent="0.2">
      <c r="A13" s="73" t="s">
        <v>66</v>
      </c>
      <c r="B13" s="73">
        <v>2.29</v>
      </c>
      <c r="H13" s="73" t="s">
        <v>66</v>
      </c>
      <c r="I13" s="37">
        <v>2.29</v>
      </c>
      <c r="J13" s="73" t="s">
        <v>79</v>
      </c>
      <c r="K13" s="37">
        <v>2.2799999999999998</v>
      </c>
      <c r="L13" s="73">
        <f t="shared" si="0"/>
        <v>2.2850000000000001</v>
      </c>
    </row>
    <row r="14" spans="1:12" x14ac:dyDescent="0.2">
      <c r="A14" s="31" t="s">
        <v>67</v>
      </c>
      <c r="B14" s="31" t="s">
        <v>68</v>
      </c>
      <c r="C14" s="34" t="s">
        <v>95</v>
      </c>
      <c r="D14" s="34"/>
      <c r="E14" s="34" t="s">
        <v>112</v>
      </c>
      <c r="H14" s="73" t="s">
        <v>67</v>
      </c>
      <c r="I14" s="37" t="s">
        <v>68</v>
      </c>
      <c r="J14" s="73" t="s">
        <v>80</v>
      </c>
      <c r="K14" s="37" t="s">
        <v>68</v>
      </c>
      <c r="L14" s="73"/>
    </row>
    <row r="15" spans="1:12" x14ac:dyDescent="0.2">
      <c r="A15" s="73" t="s">
        <v>69</v>
      </c>
      <c r="B15" s="73">
        <v>30.33</v>
      </c>
    </row>
    <row r="16" spans="1:12" x14ac:dyDescent="0.2">
      <c r="A16" s="73" t="s">
        <v>70</v>
      </c>
      <c r="B16" s="73">
        <v>27.48</v>
      </c>
    </row>
    <row r="17" spans="1:5" x14ac:dyDescent="0.2">
      <c r="A17" s="73" t="s">
        <v>71</v>
      </c>
      <c r="B17" s="73">
        <v>23.95</v>
      </c>
    </row>
    <row r="18" spans="1:5" x14ac:dyDescent="0.2">
      <c r="A18" s="73" t="s">
        <v>72</v>
      </c>
      <c r="B18" s="73">
        <v>20.87</v>
      </c>
    </row>
    <row r="19" spans="1:5" x14ac:dyDescent="0.2">
      <c r="A19" s="73" t="s">
        <v>73</v>
      </c>
      <c r="B19" s="73">
        <v>20.440000000000001</v>
      </c>
    </row>
    <row r="20" spans="1:5" x14ac:dyDescent="0.2">
      <c r="A20" s="73" t="s">
        <v>74</v>
      </c>
      <c r="B20" s="73">
        <v>14.83</v>
      </c>
    </row>
    <row r="21" spans="1:5" x14ac:dyDescent="0.2">
      <c r="A21" s="73" t="s">
        <v>75</v>
      </c>
      <c r="B21" s="73">
        <v>10.87</v>
      </c>
    </row>
    <row r="22" spans="1:5" x14ac:dyDescent="0.2">
      <c r="A22" s="73" t="s">
        <v>76</v>
      </c>
      <c r="B22" s="73">
        <v>6.96</v>
      </c>
    </row>
    <row r="23" spans="1:5" x14ac:dyDescent="0.2">
      <c r="A23" s="73" t="s">
        <v>77</v>
      </c>
      <c r="B23" s="73">
        <v>4.26</v>
      </c>
    </row>
    <row r="24" spans="1:5" x14ac:dyDescent="0.2">
      <c r="A24" s="73" t="s">
        <v>78</v>
      </c>
      <c r="B24" s="73">
        <v>2.54</v>
      </c>
    </row>
    <row r="25" spans="1:5" x14ac:dyDescent="0.2">
      <c r="A25" s="73" t="s">
        <v>79</v>
      </c>
      <c r="B25" s="73">
        <v>2.2799999999999998</v>
      </c>
    </row>
    <row r="26" spans="1:5" x14ac:dyDescent="0.2">
      <c r="A26" s="31" t="s">
        <v>80</v>
      </c>
      <c r="B26" s="31" t="s">
        <v>68</v>
      </c>
      <c r="C26" s="34" t="s">
        <v>95</v>
      </c>
      <c r="D26" s="34"/>
      <c r="E26" s="34" t="s">
        <v>112</v>
      </c>
    </row>
    <row r="27" spans="1:5" x14ac:dyDescent="0.2">
      <c r="A27" s="73" t="s">
        <v>81</v>
      </c>
      <c r="B27" s="73">
        <v>38.99</v>
      </c>
    </row>
    <row r="28" spans="1:5" x14ac:dyDescent="0.2">
      <c r="A28" s="73" t="s">
        <v>82</v>
      </c>
      <c r="B28" s="73">
        <v>36.950000000000003</v>
      </c>
    </row>
    <row r="29" spans="1:5" x14ac:dyDescent="0.2">
      <c r="A29" s="73" t="s">
        <v>83</v>
      </c>
      <c r="B29" s="73">
        <v>31.77</v>
      </c>
    </row>
    <row r="30" spans="1:5" x14ac:dyDescent="0.2">
      <c r="A30" s="73" t="s">
        <v>84</v>
      </c>
      <c r="B30" s="73">
        <v>33.520000000000003</v>
      </c>
    </row>
    <row r="31" spans="1:5" x14ac:dyDescent="0.2">
      <c r="A31" s="73" t="s">
        <v>85</v>
      </c>
      <c r="B31" s="73">
        <v>31.68</v>
      </c>
    </row>
    <row r="32" spans="1:5" x14ac:dyDescent="0.2">
      <c r="A32" s="73" t="s">
        <v>86</v>
      </c>
      <c r="B32" s="73">
        <v>29.57</v>
      </c>
    </row>
    <row r="33" spans="1:11" x14ac:dyDescent="0.2">
      <c r="A33" s="73" t="s">
        <v>87</v>
      </c>
      <c r="B33" s="73">
        <v>30.6</v>
      </c>
    </row>
    <row r="34" spans="1:11" x14ac:dyDescent="0.2">
      <c r="A34" s="73" t="s">
        <v>88</v>
      </c>
      <c r="B34" s="73">
        <v>32.369999999999997</v>
      </c>
    </row>
    <row r="35" spans="1:11" x14ac:dyDescent="0.2">
      <c r="A35" s="73" t="s">
        <v>89</v>
      </c>
      <c r="B35" s="73">
        <v>30.9</v>
      </c>
    </row>
    <row r="36" spans="1:11" x14ac:dyDescent="0.2">
      <c r="A36" s="73" t="s">
        <v>90</v>
      </c>
      <c r="B36" s="73">
        <v>30.76</v>
      </c>
    </row>
    <row r="37" spans="1:11" x14ac:dyDescent="0.2">
      <c r="A37" s="73" t="s">
        <v>91</v>
      </c>
      <c r="B37" s="73">
        <v>33.89</v>
      </c>
    </row>
    <row r="38" spans="1:11" x14ac:dyDescent="0.2">
      <c r="A38" s="73" t="s">
        <v>92</v>
      </c>
      <c r="B38" s="73" t="s">
        <v>68</v>
      </c>
    </row>
    <row r="40" spans="1:11" s="34" customFormat="1" x14ac:dyDescent="0.2">
      <c r="A40" s="31"/>
      <c r="B40" s="38"/>
      <c r="C40" s="31"/>
      <c r="D40" s="31" t="s">
        <v>113</v>
      </c>
      <c r="F40" s="31"/>
      <c r="G40" s="31"/>
      <c r="H40" s="39"/>
      <c r="J40" s="39"/>
    </row>
    <row r="41" spans="1:11" x14ac:dyDescent="0.2">
      <c r="A41" s="73"/>
      <c r="B41" s="73"/>
      <c r="C41" s="73"/>
      <c r="D41" s="73"/>
      <c r="F41" s="73"/>
      <c r="G41" s="73"/>
      <c r="H41" s="40"/>
      <c r="J41" s="40"/>
    </row>
    <row r="42" spans="1:11" x14ac:dyDescent="0.2">
      <c r="A42" s="73"/>
      <c r="B42" s="41" t="s">
        <v>96</v>
      </c>
      <c r="C42" s="73" t="s">
        <v>97</v>
      </c>
      <c r="D42" s="73"/>
      <c r="F42" s="73"/>
      <c r="G42" s="73"/>
      <c r="H42" s="40"/>
      <c r="J42" s="40"/>
    </row>
    <row r="43" spans="1:11" x14ac:dyDescent="0.2">
      <c r="A43" s="73"/>
      <c r="B43" s="41" t="s">
        <v>98</v>
      </c>
      <c r="C43" s="42" t="s">
        <v>99</v>
      </c>
      <c r="D43" s="73"/>
      <c r="F43" s="73"/>
      <c r="G43" s="73"/>
      <c r="H43" s="40"/>
      <c r="J43" s="40"/>
    </row>
    <row r="44" spans="1:11" ht="32" x14ac:dyDescent="0.2">
      <c r="A44" s="73"/>
      <c r="B44" s="35" t="s">
        <v>54</v>
      </c>
      <c r="C44" s="73" t="s">
        <v>100</v>
      </c>
      <c r="D44" s="35" t="s">
        <v>101</v>
      </c>
      <c r="E44" s="37" t="s">
        <v>94</v>
      </c>
      <c r="F44" s="73"/>
      <c r="G44" s="73"/>
      <c r="H44" s="40"/>
      <c r="I44" s="37" t="s">
        <v>94</v>
      </c>
      <c r="J44" s="43" t="s">
        <v>101</v>
      </c>
      <c r="K44" s="73" t="s">
        <v>102</v>
      </c>
    </row>
    <row r="45" spans="1:11" x14ac:dyDescent="0.2">
      <c r="A45" s="73"/>
      <c r="B45" s="73" t="s">
        <v>56</v>
      </c>
      <c r="C45" s="73">
        <v>100000000000</v>
      </c>
      <c r="D45" s="30">
        <f t="shared" ref="D45:D55" si="1">PRODUCT(59198820349,1/C45)</f>
        <v>0.59198820348999992</v>
      </c>
      <c r="E45" s="37">
        <v>30.284999999999997</v>
      </c>
      <c r="F45" s="73"/>
      <c r="G45" s="73"/>
      <c r="H45" s="40"/>
      <c r="I45" s="37">
        <v>30.284999999999997</v>
      </c>
      <c r="J45" s="30">
        <v>0.59198820348999992</v>
      </c>
      <c r="K45" s="44">
        <f>LOG(J45)</f>
        <v>-0.22768694734843636</v>
      </c>
    </row>
    <row r="46" spans="1:11" x14ac:dyDescent="0.2">
      <c r="A46" s="73"/>
      <c r="B46" s="73" t="s">
        <v>57</v>
      </c>
      <c r="C46" s="73">
        <v>10000000000</v>
      </c>
      <c r="D46" s="30">
        <f t="shared" si="1"/>
        <v>5.9198820349000005</v>
      </c>
      <c r="E46" s="37">
        <v>26.14</v>
      </c>
      <c r="F46" s="73"/>
      <c r="G46" s="73"/>
      <c r="H46" s="40"/>
      <c r="I46" s="37">
        <v>26.14</v>
      </c>
      <c r="J46" s="30">
        <v>5.9198820349000005</v>
      </c>
      <c r="K46" s="44">
        <f t="shared" ref="K46:K55" si="2">LOG(J46)</f>
        <v>0.77231305265156369</v>
      </c>
    </row>
    <row r="47" spans="1:11" x14ac:dyDescent="0.2">
      <c r="A47" s="73"/>
      <c r="B47" s="73" t="s">
        <v>58</v>
      </c>
      <c r="C47" s="73">
        <v>1000000000</v>
      </c>
      <c r="D47" s="30">
        <f t="shared" si="1"/>
        <v>59.198820349000002</v>
      </c>
      <c r="E47" s="37">
        <v>23.36</v>
      </c>
      <c r="F47" s="73"/>
      <c r="G47" s="73"/>
      <c r="H47" s="40"/>
      <c r="I47" s="37">
        <v>23.36</v>
      </c>
      <c r="J47" s="30">
        <v>59.198820349000002</v>
      </c>
      <c r="K47" s="44">
        <f t="shared" si="2"/>
        <v>1.7723130526515638</v>
      </c>
    </row>
    <row r="48" spans="1:11" x14ac:dyDescent="0.2">
      <c r="A48" s="73"/>
      <c r="B48" s="73" t="s">
        <v>59</v>
      </c>
      <c r="C48" s="73">
        <v>100000000</v>
      </c>
      <c r="D48" s="30">
        <f t="shared" si="1"/>
        <v>591.98820349000005</v>
      </c>
      <c r="E48" s="37">
        <v>21.130000000000003</v>
      </c>
      <c r="F48" s="73"/>
      <c r="G48" s="73"/>
      <c r="H48" s="40"/>
      <c r="I48" s="37">
        <v>21.130000000000003</v>
      </c>
      <c r="J48" s="30">
        <v>591.98820349000005</v>
      </c>
      <c r="K48" s="44">
        <f t="shared" si="2"/>
        <v>2.7723130526515636</v>
      </c>
    </row>
    <row r="49" spans="1:11" x14ac:dyDescent="0.2">
      <c r="A49" s="73"/>
      <c r="B49" s="73" t="s">
        <v>60</v>
      </c>
      <c r="C49" s="73">
        <v>10000000</v>
      </c>
      <c r="D49" s="30">
        <f t="shared" si="1"/>
        <v>5919.8820348999998</v>
      </c>
      <c r="E49" s="37">
        <v>18.755000000000003</v>
      </c>
      <c r="H49" s="40"/>
      <c r="I49" s="37">
        <v>18.755000000000003</v>
      </c>
      <c r="J49" s="30">
        <v>5919.8820348999998</v>
      </c>
      <c r="K49" s="44">
        <f t="shared" si="2"/>
        <v>3.7723130526515636</v>
      </c>
    </row>
    <row r="50" spans="1:11" x14ac:dyDescent="0.2">
      <c r="A50" s="73"/>
      <c r="B50" s="73" t="s">
        <v>61</v>
      </c>
      <c r="C50" s="73">
        <v>1000000</v>
      </c>
      <c r="D50" s="30">
        <f t="shared" si="1"/>
        <v>59198.820348999994</v>
      </c>
      <c r="E50" s="37">
        <v>15.45</v>
      </c>
      <c r="H50" s="40"/>
      <c r="I50" s="37">
        <v>15.45</v>
      </c>
      <c r="J50" s="30">
        <v>59198.820348999994</v>
      </c>
      <c r="K50" s="44">
        <f t="shared" si="2"/>
        <v>4.7723130526515636</v>
      </c>
    </row>
    <row r="51" spans="1:11" x14ac:dyDescent="0.2">
      <c r="A51" s="73"/>
      <c r="B51" s="73" t="s">
        <v>62</v>
      </c>
      <c r="C51" s="73">
        <v>100000</v>
      </c>
      <c r="D51" s="30">
        <f t="shared" si="1"/>
        <v>591988.2034900001</v>
      </c>
      <c r="E51" s="37">
        <v>11.469999999999999</v>
      </c>
      <c r="H51" s="40"/>
      <c r="I51" s="37">
        <v>11.469999999999999</v>
      </c>
      <c r="J51" s="30">
        <v>591988.2034900001</v>
      </c>
      <c r="K51" s="44">
        <f t="shared" si="2"/>
        <v>5.7723130526515636</v>
      </c>
    </row>
    <row r="52" spans="1:11" x14ac:dyDescent="0.2">
      <c r="A52" s="73"/>
      <c r="B52" s="73" t="s">
        <v>63</v>
      </c>
      <c r="C52" s="73">
        <v>10000</v>
      </c>
      <c r="D52" s="30">
        <f t="shared" si="1"/>
        <v>5919882.0349000003</v>
      </c>
      <c r="E52" s="37">
        <v>7.4249999999999998</v>
      </c>
      <c r="H52" s="40"/>
      <c r="I52" s="37">
        <v>7.4249999999999998</v>
      </c>
      <c r="J52" s="30">
        <v>5919882.0349000003</v>
      </c>
      <c r="K52" s="44">
        <f t="shared" si="2"/>
        <v>6.7723130526515636</v>
      </c>
    </row>
    <row r="53" spans="1:11" x14ac:dyDescent="0.2">
      <c r="A53" s="73"/>
      <c r="B53" s="73" t="s">
        <v>64</v>
      </c>
      <c r="C53" s="73">
        <v>1000</v>
      </c>
      <c r="D53" s="30">
        <f t="shared" si="1"/>
        <v>59198820.348999999</v>
      </c>
      <c r="E53" s="37">
        <v>4.8249999999999993</v>
      </c>
      <c r="H53" s="40"/>
      <c r="I53" s="37">
        <v>4.8249999999999993</v>
      </c>
      <c r="J53" s="30">
        <v>59198820.348999999</v>
      </c>
      <c r="K53" s="44">
        <f t="shared" si="2"/>
        <v>7.7723130526515636</v>
      </c>
    </row>
    <row r="54" spans="1:11" x14ac:dyDescent="0.2">
      <c r="A54" s="73"/>
      <c r="B54" s="73" t="s">
        <v>65</v>
      </c>
      <c r="C54" s="73">
        <v>100</v>
      </c>
      <c r="D54" s="30">
        <f t="shared" si="1"/>
        <v>591988203.49000001</v>
      </c>
      <c r="E54" s="37">
        <v>3.65</v>
      </c>
      <c r="H54" s="40"/>
      <c r="I54" s="37">
        <v>3.65</v>
      </c>
      <c r="J54" s="30">
        <v>591988203.49000001</v>
      </c>
      <c r="K54" s="44">
        <f t="shared" si="2"/>
        <v>8.7723130526515636</v>
      </c>
    </row>
    <row r="55" spans="1:11" x14ac:dyDescent="0.2">
      <c r="A55" s="73"/>
      <c r="B55" s="73" t="s">
        <v>66</v>
      </c>
      <c r="C55" s="73">
        <v>10</v>
      </c>
      <c r="D55" s="30">
        <f t="shared" si="1"/>
        <v>5919882034.9000006</v>
      </c>
      <c r="E55" s="37">
        <v>2.2850000000000001</v>
      </c>
      <c r="H55" s="40"/>
      <c r="I55" s="37">
        <v>2.2850000000000001</v>
      </c>
      <c r="J55" s="30">
        <v>5919882034.9000006</v>
      </c>
      <c r="K55" s="44">
        <f t="shared" si="2"/>
        <v>9.7723130526515636</v>
      </c>
    </row>
    <row r="56" spans="1:11" x14ac:dyDescent="0.2">
      <c r="A56" s="73"/>
      <c r="B56" s="73"/>
      <c r="C56" s="42" t="s">
        <v>195</v>
      </c>
      <c r="D56" s="80">
        <v>59198820348.980103</v>
      </c>
      <c r="E56" s="45" t="s">
        <v>196</v>
      </c>
      <c r="F56" t="s">
        <v>202</v>
      </c>
      <c r="H56" s="40"/>
      <c r="J56" s="40"/>
    </row>
    <row r="57" spans="1:11" x14ac:dyDescent="0.2">
      <c r="A57" s="73"/>
      <c r="B57" s="46"/>
      <c r="C57" s="73"/>
      <c r="D57" s="73"/>
      <c r="H57" s="40"/>
      <c r="I57" s="37" t="s">
        <v>94</v>
      </c>
      <c r="J57" s="44" t="s">
        <v>102</v>
      </c>
      <c r="K57" s="37"/>
    </row>
    <row r="58" spans="1:11" x14ac:dyDescent="0.2">
      <c r="A58" s="73"/>
      <c r="B58" s="73"/>
      <c r="C58" s="73"/>
      <c r="D58" s="73"/>
      <c r="H58" s="40"/>
      <c r="I58" s="37">
        <v>30.284999999999997</v>
      </c>
      <c r="J58" s="44">
        <v>-0.22768694734843636</v>
      </c>
      <c r="K58" s="37"/>
    </row>
    <row r="59" spans="1:11" ht="14.5" customHeight="1" x14ac:dyDescent="0.2">
      <c r="A59" s="73"/>
      <c r="B59" s="46" t="s">
        <v>103</v>
      </c>
      <c r="C59" s="73"/>
      <c r="D59" s="73"/>
      <c r="H59" s="40"/>
      <c r="I59" s="37">
        <v>26.14</v>
      </c>
      <c r="J59" s="44">
        <v>0.77231305265156369</v>
      </c>
      <c r="K59" s="37"/>
    </row>
    <row r="60" spans="1:11" ht="17" customHeight="1" x14ac:dyDescent="0.2">
      <c r="A60" s="73"/>
      <c r="B60" s="73"/>
      <c r="C60" s="73"/>
      <c r="D60" s="84" t="s">
        <v>104</v>
      </c>
      <c r="H60" s="40"/>
      <c r="I60" s="37">
        <v>23.36</v>
      </c>
      <c r="J60" s="44">
        <v>1.7723130526515638</v>
      </c>
      <c r="K60" s="37"/>
    </row>
    <row r="61" spans="1:11" x14ac:dyDescent="0.2">
      <c r="A61" s="73"/>
      <c r="B61" s="37" t="s">
        <v>94</v>
      </c>
      <c r="C61" s="44" t="s">
        <v>102</v>
      </c>
      <c r="D61" s="84"/>
      <c r="H61" s="40"/>
      <c r="I61" s="37">
        <v>21.130000000000003</v>
      </c>
      <c r="J61" s="44">
        <v>2.7723130526515636</v>
      </c>
      <c r="K61" s="37"/>
    </row>
    <row r="62" spans="1:11" x14ac:dyDescent="0.2">
      <c r="A62" s="73"/>
      <c r="B62" s="37">
        <v>30.284999999999997</v>
      </c>
      <c r="C62" s="73">
        <f>((-0.3395*B62)+9.8577)</f>
        <v>-0.42405749999999998</v>
      </c>
      <c r="D62" s="47">
        <f>10^C62</f>
        <v>0.37665392721371815</v>
      </c>
      <c r="H62" s="40"/>
      <c r="I62" s="37">
        <v>18.755000000000003</v>
      </c>
      <c r="J62" s="44">
        <v>3.7723130526515636</v>
      </c>
      <c r="K62" s="37"/>
    </row>
    <row r="63" spans="1:11" x14ac:dyDescent="0.2">
      <c r="A63" s="73"/>
      <c r="B63" s="37">
        <v>26.14</v>
      </c>
      <c r="C63" s="73">
        <f t="shared" ref="C63:C72" si="3">((-0.3395*B63)+9.8577)</f>
        <v>0.98316999999999943</v>
      </c>
      <c r="D63" s="47">
        <f t="shared" ref="D63:D72" si="4">10^C63</f>
        <v>9.6198876506129434</v>
      </c>
      <c r="E63" s="48"/>
      <c r="H63" s="40"/>
      <c r="I63" s="37">
        <v>15.45</v>
      </c>
      <c r="J63" s="44">
        <v>4.7723130526515636</v>
      </c>
      <c r="K63" s="37"/>
    </row>
    <row r="64" spans="1:11" x14ac:dyDescent="0.2">
      <c r="A64" s="73"/>
      <c r="B64" s="37">
        <v>23.36</v>
      </c>
      <c r="C64" s="73">
        <f t="shared" si="3"/>
        <v>1.9269799999999995</v>
      </c>
      <c r="D64" s="47">
        <f t="shared" si="4"/>
        <v>84.523991952722596</v>
      </c>
      <c r="H64" s="40"/>
      <c r="I64" s="37">
        <v>11.469999999999999</v>
      </c>
      <c r="J64" s="44">
        <v>5.7723130526515636</v>
      </c>
      <c r="K64" s="37"/>
    </row>
    <row r="65" spans="1:11" x14ac:dyDescent="0.2">
      <c r="A65" s="73"/>
      <c r="B65" s="37">
        <v>21.130000000000003</v>
      </c>
      <c r="C65" s="73">
        <f t="shared" si="3"/>
        <v>2.6840649999999977</v>
      </c>
      <c r="D65" s="47">
        <f t="shared" si="4"/>
        <v>483.1311059102045</v>
      </c>
      <c r="H65" s="40"/>
      <c r="I65" s="37">
        <v>7.4249999999999998</v>
      </c>
      <c r="J65" s="44">
        <v>6.7723130526515636</v>
      </c>
      <c r="K65" s="37"/>
    </row>
    <row r="66" spans="1:11" x14ac:dyDescent="0.2">
      <c r="A66" s="73"/>
      <c r="B66" s="37">
        <v>18.755000000000003</v>
      </c>
      <c r="C66" s="73">
        <f t="shared" si="3"/>
        <v>3.4903774999999984</v>
      </c>
      <c r="D66" s="47">
        <f t="shared" si="4"/>
        <v>3092.9827650377943</v>
      </c>
      <c r="H66" s="40"/>
      <c r="I66" s="37">
        <v>4.8249999999999993</v>
      </c>
      <c r="J66" s="44">
        <v>7.7723130526515636</v>
      </c>
      <c r="K66" s="37"/>
    </row>
    <row r="67" spans="1:11" x14ac:dyDescent="0.2">
      <c r="A67" s="73"/>
      <c r="B67" s="37">
        <v>15.45</v>
      </c>
      <c r="C67" s="73">
        <f t="shared" si="3"/>
        <v>4.6124249999999991</v>
      </c>
      <c r="D67" s="47">
        <f t="shared" si="4"/>
        <v>40966.135769433226</v>
      </c>
      <c r="H67" s="40"/>
      <c r="I67" s="37">
        <v>3.65</v>
      </c>
      <c r="J67" s="44">
        <v>8.7723130526515636</v>
      </c>
      <c r="K67" s="37"/>
    </row>
    <row r="68" spans="1:11" x14ac:dyDescent="0.2">
      <c r="A68" s="73"/>
      <c r="B68" s="37">
        <v>11.469999999999999</v>
      </c>
      <c r="C68" s="73">
        <f t="shared" si="3"/>
        <v>5.963635</v>
      </c>
      <c r="D68" s="47">
        <f t="shared" si="4"/>
        <v>919676.31082585931</v>
      </c>
      <c r="H68" s="40"/>
      <c r="I68" s="37">
        <v>2.2850000000000001</v>
      </c>
      <c r="J68" s="44">
        <v>9.7723130526515636</v>
      </c>
      <c r="K68" s="37"/>
    </row>
    <row r="69" spans="1:11" x14ac:dyDescent="0.2">
      <c r="A69" s="73"/>
      <c r="B69" s="37">
        <v>7.4249999999999998</v>
      </c>
      <c r="C69" s="73">
        <f t="shared" si="3"/>
        <v>7.3369124999999995</v>
      </c>
      <c r="D69" s="47">
        <f t="shared" si="4"/>
        <v>21722634.753908698</v>
      </c>
      <c r="H69" s="40"/>
      <c r="J69" s="40"/>
    </row>
    <row r="70" spans="1:11" x14ac:dyDescent="0.2">
      <c r="A70" s="73"/>
      <c r="B70" s="37">
        <v>4.8249999999999993</v>
      </c>
      <c r="C70" s="73">
        <f t="shared" si="3"/>
        <v>8.2196125000000002</v>
      </c>
      <c r="D70" s="47">
        <f t="shared" si="4"/>
        <v>165810679.85720867</v>
      </c>
      <c r="H70" s="40"/>
      <c r="J70" s="40"/>
    </row>
    <row r="71" spans="1:11" x14ac:dyDescent="0.2">
      <c r="A71" s="73"/>
      <c r="B71" s="37">
        <v>3.65</v>
      </c>
      <c r="C71" s="73">
        <f t="shared" si="3"/>
        <v>8.618525</v>
      </c>
      <c r="D71" s="47">
        <f t="shared" si="4"/>
        <v>415455966.12138927</v>
      </c>
      <c r="H71" s="40"/>
      <c r="I71" s="73"/>
      <c r="J71" s="37"/>
    </row>
    <row r="72" spans="1:11" x14ac:dyDescent="0.2">
      <c r="A72" s="73"/>
      <c r="B72" s="37">
        <v>2.2850000000000001</v>
      </c>
      <c r="C72" s="73">
        <f t="shared" si="3"/>
        <v>9.0819425000000003</v>
      </c>
      <c r="D72" s="47">
        <f t="shared" si="4"/>
        <v>1207653932.7798631</v>
      </c>
      <c r="H72" s="40"/>
      <c r="I72" s="73"/>
      <c r="J72" s="37"/>
    </row>
    <row r="73" spans="1:11" x14ac:dyDescent="0.2">
      <c r="A73" s="73"/>
      <c r="B73" s="73"/>
      <c r="C73" s="73"/>
      <c r="D73" s="73"/>
      <c r="H73" s="40"/>
      <c r="I73" s="73"/>
      <c r="J73" s="37"/>
    </row>
    <row r="74" spans="1:11" ht="16" thickBot="1" x14ac:dyDescent="0.25">
      <c r="A74" s="73"/>
      <c r="B74" s="73"/>
      <c r="C74" s="73"/>
      <c r="D74" s="73"/>
      <c r="H74" s="40"/>
      <c r="I74" s="73"/>
      <c r="J74" s="37"/>
    </row>
    <row r="75" spans="1:11" x14ac:dyDescent="0.2">
      <c r="A75" s="73"/>
      <c r="B75" s="50" t="s">
        <v>105</v>
      </c>
      <c r="C75" s="51"/>
      <c r="D75" s="73"/>
      <c r="H75" s="40"/>
      <c r="I75" s="73"/>
      <c r="J75" s="37"/>
    </row>
    <row r="76" spans="1:11" x14ac:dyDescent="0.2">
      <c r="A76" s="73"/>
      <c r="B76" s="52" t="s">
        <v>197</v>
      </c>
      <c r="C76" s="53"/>
      <c r="D76" s="73"/>
      <c r="H76" s="40"/>
      <c r="I76" s="73"/>
      <c r="J76" s="37"/>
    </row>
    <row r="77" spans="1:11" x14ac:dyDescent="0.2">
      <c r="A77" s="73"/>
      <c r="B77" s="52" t="s">
        <v>106</v>
      </c>
      <c r="C77" s="53"/>
      <c r="D77" s="73"/>
      <c r="H77" s="40"/>
      <c r="I77" s="73"/>
      <c r="J77" s="37"/>
    </row>
    <row r="78" spans="1:11" ht="16" thickBot="1" x14ac:dyDescent="0.25">
      <c r="A78" s="73"/>
      <c r="B78" s="54" t="s">
        <v>107</v>
      </c>
      <c r="C78" s="55"/>
      <c r="D78" s="73"/>
      <c r="H78" s="40"/>
      <c r="I78" s="73"/>
      <c r="J78" s="37"/>
    </row>
    <row r="79" spans="1:11" x14ac:dyDescent="0.2">
      <c r="A79" s="73"/>
      <c r="B79" s="73"/>
      <c r="C79" s="73"/>
      <c r="D79" s="73"/>
      <c r="H79" s="40"/>
      <c r="I79" s="73"/>
      <c r="J79" s="37"/>
    </row>
    <row r="80" spans="1:11" x14ac:dyDescent="0.2">
      <c r="A80" s="73"/>
      <c r="B80" s="73"/>
      <c r="C80" s="73"/>
      <c r="D80" s="73"/>
      <c r="H80" s="40"/>
      <c r="I80" s="73"/>
      <c r="J80" s="37"/>
    </row>
    <row r="81" spans="1:16" s="34" customFormat="1" x14ac:dyDescent="0.2">
      <c r="A81" s="31"/>
      <c r="B81" s="38" t="s">
        <v>114</v>
      </c>
      <c r="C81" s="31"/>
      <c r="D81" s="31"/>
      <c r="H81" s="39"/>
      <c r="J81" s="39"/>
    </row>
    <row r="82" spans="1:16" x14ac:dyDescent="0.2">
      <c r="A82" s="73"/>
      <c r="B82" s="73"/>
      <c r="C82" s="73"/>
      <c r="D82" s="73"/>
      <c r="H82" s="40"/>
      <c r="J82" s="40"/>
    </row>
    <row r="83" spans="1:16" ht="32" x14ac:dyDescent="0.2">
      <c r="A83" s="73"/>
      <c r="B83" s="35" t="s">
        <v>54</v>
      </c>
      <c r="C83" s="35" t="s">
        <v>55</v>
      </c>
      <c r="D83" s="35" t="s">
        <v>110</v>
      </c>
      <c r="E83" s="35" t="s">
        <v>108</v>
      </c>
      <c r="F83" s="35" t="s">
        <v>109</v>
      </c>
      <c r="H83" s="40"/>
      <c r="J83" s="40"/>
    </row>
    <row r="84" spans="1:16" x14ac:dyDescent="0.2">
      <c r="A84" s="73"/>
      <c r="B84" s="73" t="s">
        <v>81</v>
      </c>
      <c r="C84" s="73">
        <v>38.99</v>
      </c>
      <c r="D84" s="73" t="s">
        <v>23</v>
      </c>
      <c r="E84" s="31">
        <f>((-0.3395*C84)+9.8577)</f>
        <v>-3.379405000000002</v>
      </c>
      <c r="F84" s="47">
        <f t="shared" ref="F84:F94" si="5">10^E84</f>
        <v>4.1744090183263449E-4</v>
      </c>
      <c r="H84" s="40"/>
      <c r="J84" s="40"/>
    </row>
    <row r="85" spans="1:16" x14ac:dyDescent="0.2">
      <c r="A85" s="73"/>
      <c r="B85" s="73" t="s">
        <v>82</v>
      </c>
      <c r="C85" s="73">
        <v>36.950000000000003</v>
      </c>
      <c r="D85" s="73" t="s">
        <v>23</v>
      </c>
      <c r="E85" s="31">
        <f t="shared" ref="E85:E94" si="6">((-0.3395*C85)+9.8577)</f>
        <v>-2.6868250000000025</v>
      </c>
      <c r="F85" s="47">
        <f t="shared" si="5"/>
        <v>2.0567191889465245E-3</v>
      </c>
      <c r="H85" s="40"/>
      <c r="J85" s="40"/>
    </row>
    <row r="86" spans="1:16" x14ac:dyDescent="0.2">
      <c r="A86" s="73"/>
      <c r="B86" s="73" t="s">
        <v>83</v>
      </c>
      <c r="C86" s="73">
        <v>31.77</v>
      </c>
      <c r="D86" s="73">
        <v>7</v>
      </c>
      <c r="E86" s="31">
        <f t="shared" si="6"/>
        <v>-0.92821500000000157</v>
      </c>
      <c r="F86" s="47">
        <v>0</v>
      </c>
      <c r="H86" s="40"/>
      <c r="J86" s="40"/>
    </row>
    <row r="87" spans="1:16" x14ac:dyDescent="0.2">
      <c r="A87" s="73"/>
      <c r="B87" s="73" t="s">
        <v>84</v>
      </c>
      <c r="C87" s="73">
        <v>33.520000000000003</v>
      </c>
      <c r="D87" s="73">
        <v>8</v>
      </c>
      <c r="E87" s="31">
        <f t="shared" si="6"/>
        <v>-1.5223400000000016</v>
      </c>
      <c r="F87" s="47">
        <f t="shared" si="5"/>
        <v>3.003723829794917E-2</v>
      </c>
      <c r="H87" s="40"/>
      <c r="J87" s="40"/>
    </row>
    <row r="88" spans="1:16" x14ac:dyDescent="0.2">
      <c r="A88" s="73"/>
      <c r="B88" s="73" t="s">
        <v>85</v>
      </c>
      <c r="C88" s="73">
        <v>31.68</v>
      </c>
      <c r="D88" s="73" t="s">
        <v>163</v>
      </c>
      <c r="E88" s="31">
        <f t="shared" si="6"/>
        <v>-0.8976600000000019</v>
      </c>
      <c r="F88" s="47">
        <f t="shared" si="5"/>
        <v>0.12657268705908822</v>
      </c>
      <c r="H88" s="75"/>
      <c r="I88" s="76"/>
      <c r="J88" s="75"/>
      <c r="K88" s="76"/>
      <c r="L88" s="76"/>
      <c r="M88" s="76"/>
      <c r="N88" s="76"/>
      <c r="O88" s="76"/>
      <c r="P88" s="76"/>
    </row>
    <row r="89" spans="1:16" x14ac:dyDescent="0.2">
      <c r="A89" s="73"/>
      <c r="B89" s="73" t="s">
        <v>86</v>
      </c>
      <c r="C89" s="73">
        <v>29.57</v>
      </c>
      <c r="D89" s="73" t="s">
        <v>164</v>
      </c>
      <c r="E89" s="31">
        <f t="shared" si="6"/>
        <v>-0.18131500000000145</v>
      </c>
      <c r="F89" s="47">
        <f t="shared" si="5"/>
        <v>0.65869596033654709</v>
      </c>
      <c r="H89" s="70"/>
      <c r="I89" s="70"/>
      <c r="J89" s="70"/>
      <c r="K89" s="70"/>
      <c r="L89" s="70"/>
      <c r="M89" s="70"/>
      <c r="N89" s="70"/>
      <c r="O89" s="70"/>
      <c r="P89" s="70"/>
    </row>
    <row r="90" spans="1:16" x14ac:dyDescent="0.2">
      <c r="B90" s="73" t="s">
        <v>87</v>
      </c>
      <c r="C90" s="73">
        <v>30.6</v>
      </c>
      <c r="D90" s="73" t="s">
        <v>156</v>
      </c>
      <c r="E90" s="31">
        <f t="shared" si="6"/>
        <v>-0.53100000000000236</v>
      </c>
      <c r="F90" s="47">
        <f t="shared" si="5"/>
        <v>0.2944421633798745</v>
      </c>
      <c r="H90" s="70"/>
      <c r="I90" s="77"/>
      <c r="J90" s="78"/>
      <c r="K90" s="70"/>
      <c r="L90" s="70"/>
      <c r="M90" s="70"/>
      <c r="N90" s="70"/>
      <c r="O90" s="70"/>
      <c r="P90" s="70"/>
    </row>
    <row r="91" spans="1:16" x14ac:dyDescent="0.2">
      <c r="B91" s="73" t="s">
        <v>88</v>
      </c>
      <c r="C91" s="73">
        <v>32.369999999999997</v>
      </c>
      <c r="D91" s="73" t="s">
        <v>165</v>
      </c>
      <c r="E91" s="31">
        <f t="shared" si="6"/>
        <v>-1.1319150000000011</v>
      </c>
      <c r="F91" s="47">
        <f t="shared" si="5"/>
        <v>7.3804866668200936E-2</v>
      </c>
    </row>
    <row r="92" spans="1:16" x14ac:dyDescent="0.2">
      <c r="B92" s="73" t="s">
        <v>89</v>
      </c>
      <c r="C92" s="73">
        <v>30.9</v>
      </c>
      <c r="D92" s="73" t="s">
        <v>166</v>
      </c>
      <c r="E92" s="31">
        <f t="shared" si="6"/>
        <v>-0.63285000000000124</v>
      </c>
      <c r="F92" s="47">
        <f t="shared" si="5"/>
        <v>0.23288954907768986</v>
      </c>
    </row>
    <row r="93" spans="1:16" x14ac:dyDescent="0.2">
      <c r="B93" s="73" t="s">
        <v>90</v>
      </c>
      <c r="C93" s="73">
        <v>30.76</v>
      </c>
      <c r="D93" s="73" t="s">
        <v>167</v>
      </c>
      <c r="E93" s="31">
        <f t="shared" si="6"/>
        <v>-0.58532000000000117</v>
      </c>
      <c r="F93" s="47">
        <f t="shared" si="5"/>
        <v>0.25982444004560723</v>
      </c>
    </row>
    <row r="94" spans="1:16" x14ac:dyDescent="0.2">
      <c r="B94" s="73" t="s">
        <v>91</v>
      </c>
      <c r="C94" s="73">
        <v>33.89</v>
      </c>
      <c r="D94" s="73" t="s">
        <v>176</v>
      </c>
      <c r="E94" s="31">
        <f t="shared" si="6"/>
        <v>-1.6479550000000014</v>
      </c>
      <c r="F94" s="47">
        <f t="shared" si="5"/>
        <v>2.2492876566918941E-2</v>
      </c>
    </row>
    <row r="97" spans="2:2" x14ac:dyDescent="0.2">
      <c r="B97" s="46" t="s">
        <v>115</v>
      </c>
    </row>
  </sheetData>
  <mergeCells count="1">
    <mergeCell ref="D60:D6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7"/>
  <sheetViews>
    <sheetView topLeftCell="A57" workbookViewId="0">
      <selection activeCell="B75" sqref="B75:C78"/>
    </sheetView>
  </sheetViews>
  <sheetFormatPr baseColWidth="10" defaultRowHeight="15" x14ac:dyDescent="0.2"/>
  <cols>
    <col min="4" max="4" width="16" customWidth="1"/>
    <col min="10" max="10" width="19.1640625" customWidth="1"/>
  </cols>
  <sheetData>
    <row r="1" spans="1:12" x14ac:dyDescent="0.2">
      <c r="A1" t="s">
        <v>93</v>
      </c>
    </row>
    <row r="2" spans="1:12" ht="16" x14ac:dyDescent="0.2">
      <c r="A2" s="35" t="s">
        <v>54</v>
      </c>
      <c r="B2" s="35" t="s">
        <v>55</v>
      </c>
      <c r="H2" s="35" t="s">
        <v>54</v>
      </c>
      <c r="I2" s="74" t="s">
        <v>55</v>
      </c>
      <c r="J2" s="35" t="s">
        <v>54</v>
      </c>
      <c r="K2" s="74" t="s">
        <v>55</v>
      </c>
      <c r="L2" s="35" t="s">
        <v>94</v>
      </c>
    </row>
    <row r="3" spans="1:12" x14ac:dyDescent="0.2">
      <c r="A3" s="73" t="s">
        <v>56</v>
      </c>
      <c r="B3" s="73">
        <v>30.24</v>
      </c>
      <c r="H3" s="73" t="s">
        <v>56</v>
      </c>
      <c r="I3" s="37">
        <v>30.24</v>
      </c>
      <c r="J3" s="73" t="s">
        <v>69</v>
      </c>
      <c r="K3" s="37">
        <v>30.33</v>
      </c>
      <c r="L3" s="73">
        <f>AVERAGE(I3,K3)</f>
        <v>30.284999999999997</v>
      </c>
    </row>
    <row r="4" spans="1:12" x14ac:dyDescent="0.2">
      <c r="A4" s="73" t="s">
        <v>57</v>
      </c>
      <c r="B4" s="73">
        <v>24.8</v>
      </c>
      <c r="H4" s="73" t="s">
        <v>57</v>
      </c>
      <c r="I4" s="37">
        <v>24.8</v>
      </c>
      <c r="J4" s="73" t="s">
        <v>70</v>
      </c>
      <c r="K4" s="37">
        <v>27.48</v>
      </c>
      <c r="L4" s="73">
        <f t="shared" ref="L4:L13" si="0">AVERAGE(I4,K4)</f>
        <v>26.14</v>
      </c>
    </row>
    <row r="5" spans="1:12" x14ac:dyDescent="0.2">
      <c r="A5" s="73" t="s">
        <v>58</v>
      </c>
      <c r="B5" s="73">
        <v>22.77</v>
      </c>
      <c r="H5" s="73" t="s">
        <v>58</v>
      </c>
      <c r="I5" s="37">
        <v>22.77</v>
      </c>
      <c r="J5" s="73" t="s">
        <v>71</v>
      </c>
      <c r="K5" s="37">
        <v>23.95</v>
      </c>
      <c r="L5" s="73">
        <f t="shared" si="0"/>
        <v>23.36</v>
      </c>
    </row>
    <row r="6" spans="1:12" x14ac:dyDescent="0.2">
      <c r="A6" s="73" t="s">
        <v>59</v>
      </c>
      <c r="B6" s="73">
        <v>21.39</v>
      </c>
      <c r="H6" s="73" t="s">
        <v>59</v>
      </c>
      <c r="I6" s="37">
        <v>21.39</v>
      </c>
      <c r="J6" s="73" t="s">
        <v>72</v>
      </c>
      <c r="K6" s="37">
        <v>20.87</v>
      </c>
      <c r="L6" s="73">
        <f t="shared" si="0"/>
        <v>21.130000000000003</v>
      </c>
    </row>
    <row r="7" spans="1:12" x14ac:dyDescent="0.2">
      <c r="A7" s="73" t="s">
        <v>60</v>
      </c>
      <c r="B7" s="73">
        <v>17.07</v>
      </c>
      <c r="H7" s="73" t="s">
        <v>60</v>
      </c>
      <c r="I7" s="37">
        <v>17.07</v>
      </c>
      <c r="J7" s="73" t="s">
        <v>73</v>
      </c>
      <c r="K7" s="37">
        <v>20.440000000000001</v>
      </c>
      <c r="L7" s="73">
        <f t="shared" si="0"/>
        <v>18.755000000000003</v>
      </c>
    </row>
    <row r="8" spans="1:12" x14ac:dyDescent="0.2">
      <c r="A8" s="73" t="s">
        <v>61</v>
      </c>
      <c r="B8" s="73">
        <v>16.07</v>
      </c>
      <c r="H8" s="73" t="s">
        <v>61</v>
      </c>
      <c r="I8" s="37">
        <v>16.07</v>
      </c>
      <c r="J8" s="73" t="s">
        <v>74</v>
      </c>
      <c r="K8" s="37">
        <v>14.83</v>
      </c>
      <c r="L8" s="73">
        <f t="shared" si="0"/>
        <v>15.45</v>
      </c>
    </row>
    <row r="9" spans="1:12" x14ac:dyDescent="0.2">
      <c r="A9" s="73" t="s">
        <v>62</v>
      </c>
      <c r="B9" s="73">
        <v>12.07</v>
      </c>
      <c r="H9" s="73" t="s">
        <v>62</v>
      </c>
      <c r="I9" s="37">
        <v>12.07</v>
      </c>
      <c r="J9" s="73" t="s">
        <v>75</v>
      </c>
      <c r="K9" s="37">
        <v>10.87</v>
      </c>
      <c r="L9" s="73">
        <f t="shared" si="0"/>
        <v>11.469999999999999</v>
      </c>
    </row>
    <row r="10" spans="1:12" x14ac:dyDescent="0.2">
      <c r="A10" s="73" t="s">
        <v>63</v>
      </c>
      <c r="B10" s="73">
        <v>7.89</v>
      </c>
      <c r="H10" s="73" t="s">
        <v>63</v>
      </c>
      <c r="I10" s="37">
        <v>7.89</v>
      </c>
      <c r="J10" s="73" t="s">
        <v>76</v>
      </c>
      <c r="K10" s="37">
        <v>6.96</v>
      </c>
      <c r="L10" s="73">
        <f t="shared" si="0"/>
        <v>7.4249999999999998</v>
      </c>
    </row>
    <row r="11" spans="1:12" x14ac:dyDescent="0.2">
      <c r="A11" s="73" t="s">
        <v>64</v>
      </c>
      <c r="B11" s="73">
        <v>5.39</v>
      </c>
      <c r="H11" s="73" t="s">
        <v>64</v>
      </c>
      <c r="I11" s="37">
        <v>5.39</v>
      </c>
      <c r="J11" s="73" t="s">
        <v>77</v>
      </c>
      <c r="K11" s="37">
        <v>4.26</v>
      </c>
      <c r="L11" s="73">
        <f t="shared" si="0"/>
        <v>4.8249999999999993</v>
      </c>
    </row>
    <row r="12" spans="1:12" x14ac:dyDescent="0.2">
      <c r="A12" s="73" t="s">
        <v>65</v>
      </c>
      <c r="B12" s="73">
        <v>4.76</v>
      </c>
      <c r="H12" s="73" t="s">
        <v>65</v>
      </c>
      <c r="I12" s="37">
        <v>4.76</v>
      </c>
      <c r="J12" s="73" t="s">
        <v>78</v>
      </c>
      <c r="K12" s="37">
        <v>2.54</v>
      </c>
      <c r="L12" s="73">
        <f t="shared" si="0"/>
        <v>3.65</v>
      </c>
    </row>
    <row r="13" spans="1:12" x14ac:dyDescent="0.2">
      <c r="A13" s="73" t="s">
        <v>66</v>
      </c>
      <c r="B13" s="73">
        <v>2.29</v>
      </c>
      <c r="H13" s="73" t="s">
        <v>66</v>
      </c>
      <c r="I13" s="37">
        <v>2.29</v>
      </c>
      <c r="J13" s="73" t="s">
        <v>79</v>
      </c>
      <c r="K13" s="37">
        <v>2.2799999999999998</v>
      </c>
      <c r="L13" s="73">
        <f t="shared" si="0"/>
        <v>2.2850000000000001</v>
      </c>
    </row>
    <row r="14" spans="1:12" x14ac:dyDescent="0.2">
      <c r="A14" s="31" t="s">
        <v>67</v>
      </c>
      <c r="B14" s="31" t="s">
        <v>68</v>
      </c>
      <c r="C14" s="34" t="s">
        <v>95</v>
      </c>
      <c r="D14" s="34"/>
      <c r="E14" s="34" t="s">
        <v>112</v>
      </c>
      <c r="H14" s="73" t="s">
        <v>67</v>
      </c>
      <c r="I14" s="37" t="s">
        <v>68</v>
      </c>
      <c r="J14" s="73" t="s">
        <v>80</v>
      </c>
      <c r="K14" s="37" t="s">
        <v>68</v>
      </c>
      <c r="L14" s="73"/>
    </row>
    <row r="15" spans="1:12" x14ac:dyDescent="0.2">
      <c r="A15" s="73" t="s">
        <v>69</v>
      </c>
      <c r="B15" s="73">
        <v>30.33</v>
      </c>
    </row>
    <row r="16" spans="1:12" x14ac:dyDescent="0.2">
      <c r="A16" s="73" t="s">
        <v>70</v>
      </c>
      <c r="B16" s="73">
        <v>27.48</v>
      </c>
    </row>
    <row r="17" spans="1:5" x14ac:dyDescent="0.2">
      <c r="A17" s="73" t="s">
        <v>71</v>
      </c>
      <c r="B17" s="73">
        <v>23.95</v>
      </c>
    </row>
    <row r="18" spans="1:5" x14ac:dyDescent="0.2">
      <c r="A18" s="73" t="s">
        <v>72</v>
      </c>
      <c r="B18" s="73">
        <v>20.87</v>
      </c>
    </row>
    <row r="19" spans="1:5" x14ac:dyDescent="0.2">
      <c r="A19" s="73" t="s">
        <v>73</v>
      </c>
      <c r="B19" s="73">
        <v>20.440000000000001</v>
      </c>
    </row>
    <row r="20" spans="1:5" x14ac:dyDescent="0.2">
      <c r="A20" s="73" t="s">
        <v>74</v>
      </c>
      <c r="B20" s="73">
        <v>14.83</v>
      </c>
    </row>
    <row r="21" spans="1:5" x14ac:dyDescent="0.2">
      <c r="A21" s="73" t="s">
        <v>75</v>
      </c>
      <c r="B21" s="73">
        <v>10.87</v>
      </c>
    </row>
    <row r="22" spans="1:5" x14ac:dyDescent="0.2">
      <c r="A22" s="73" t="s">
        <v>76</v>
      </c>
      <c r="B22" s="73">
        <v>6.96</v>
      </c>
    </row>
    <row r="23" spans="1:5" x14ac:dyDescent="0.2">
      <c r="A23" s="73" t="s">
        <v>77</v>
      </c>
      <c r="B23" s="73">
        <v>4.26</v>
      </c>
    </row>
    <row r="24" spans="1:5" x14ac:dyDescent="0.2">
      <c r="A24" s="73" t="s">
        <v>78</v>
      </c>
      <c r="B24" s="73">
        <v>2.54</v>
      </c>
    </row>
    <row r="25" spans="1:5" x14ac:dyDescent="0.2">
      <c r="A25" s="73" t="s">
        <v>79</v>
      </c>
      <c r="B25" s="73">
        <v>2.2799999999999998</v>
      </c>
    </row>
    <row r="26" spans="1:5" x14ac:dyDescent="0.2">
      <c r="A26" s="31" t="s">
        <v>80</v>
      </c>
      <c r="B26" s="31" t="s">
        <v>68</v>
      </c>
      <c r="C26" s="34" t="s">
        <v>95</v>
      </c>
      <c r="D26" s="34"/>
      <c r="E26" s="34" t="s">
        <v>112</v>
      </c>
    </row>
    <row r="27" spans="1:5" x14ac:dyDescent="0.2">
      <c r="A27" s="73" t="s">
        <v>81</v>
      </c>
      <c r="B27" s="73">
        <v>38.99</v>
      </c>
    </row>
    <row r="28" spans="1:5" x14ac:dyDescent="0.2">
      <c r="A28" s="73" t="s">
        <v>82</v>
      </c>
      <c r="B28" s="73">
        <v>36.950000000000003</v>
      </c>
    </row>
    <row r="29" spans="1:5" x14ac:dyDescent="0.2">
      <c r="A29" s="73" t="s">
        <v>83</v>
      </c>
      <c r="B29" s="73">
        <v>31.77</v>
      </c>
    </row>
    <row r="30" spans="1:5" x14ac:dyDescent="0.2">
      <c r="A30" s="73" t="s">
        <v>84</v>
      </c>
      <c r="B30" s="73">
        <v>33.520000000000003</v>
      </c>
    </row>
    <row r="31" spans="1:5" x14ac:dyDescent="0.2">
      <c r="A31" s="73" t="s">
        <v>85</v>
      </c>
      <c r="B31" s="73">
        <v>31.68</v>
      </c>
    </row>
    <row r="32" spans="1:5" x14ac:dyDescent="0.2">
      <c r="A32" s="73" t="s">
        <v>86</v>
      </c>
      <c r="B32" s="73">
        <v>29.57</v>
      </c>
    </row>
    <row r="33" spans="1:11" x14ac:dyDescent="0.2">
      <c r="A33" s="73" t="s">
        <v>87</v>
      </c>
      <c r="B33" s="73">
        <v>30.6</v>
      </c>
    </row>
    <row r="34" spans="1:11" x14ac:dyDescent="0.2">
      <c r="A34" s="73" t="s">
        <v>88</v>
      </c>
      <c r="B34" s="73">
        <v>32.369999999999997</v>
      </c>
    </row>
    <row r="35" spans="1:11" x14ac:dyDescent="0.2">
      <c r="A35" s="73" t="s">
        <v>89</v>
      </c>
      <c r="B35" s="73">
        <v>30.9</v>
      </c>
    </row>
    <row r="36" spans="1:11" x14ac:dyDescent="0.2">
      <c r="A36" s="73" t="s">
        <v>90</v>
      </c>
      <c r="B36" s="73">
        <v>30.76</v>
      </c>
    </row>
    <row r="37" spans="1:11" x14ac:dyDescent="0.2">
      <c r="A37" s="73" t="s">
        <v>91</v>
      </c>
      <c r="B37" s="73">
        <v>33.89</v>
      </c>
    </row>
    <row r="38" spans="1:11" x14ac:dyDescent="0.2">
      <c r="A38" s="73" t="s">
        <v>92</v>
      </c>
      <c r="B38" s="73" t="s">
        <v>68</v>
      </c>
    </row>
    <row r="40" spans="1:11" s="34" customFormat="1" x14ac:dyDescent="0.2">
      <c r="A40" s="31"/>
      <c r="B40" s="38"/>
      <c r="C40" s="31"/>
      <c r="D40" s="31" t="s">
        <v>113</v>
      </c>
      <c r="F40" s="31"/>
      <c r="G40" s="31"/>
      <c r="H40" s="39"/>
      <c r="J40" s="39"/>
    </row>
    <row r="41" spans="1:11" x14ac:dyDescent="0.2">
      <c r="A41" s="73"/>
      <c r="B41" s="73"/>
      <c r="C41" s="73"/>
      <c r="D41" s="73"/>
      <c r="F41" s="73"/>
      <c r="G41" s="73"/>
      <c r="H41" s="40"/>
      <c r="J41" s="40"/>
    </row>
    <row r="42" spans="1:11" x14ac:dyDescent="0.2">
      <c r="A42" s="73"/>
      <c r="B42" s="41" t="s">
        <v>96</v>
      </c>
      <c r="C42" s="73" t="s">
        <v>97</v>
      </c>
      <c r="D42" s="73"/>
      <c r="F42" s="73"/>
      <c r="G42" s="73"/>
      <c r="H42" s="40"/>
      <c r="J42" s="40"/>
    </row>
    <row r="43" spans="1:11" x14ac:dyDescent="0.2">
      <c r="A43" s="73"/>
      <c r="B43" s="41" t="s">
        <v>98</v>
      </c>
      <c r="C43" s="42" t="s">
        <v>99</v>
      </c>
      <c r="D43" s="73"/>
      <c r="F43" s="73"/>
      <c r="G43" s="73"/>
      <c r="H43" s="40"/>
      <c r="J43" s="40"/>
    </row>
    <row r="44" spans="1:11" ht="32" x14ac:dyDescent="0.2">
      <c r="A44" s="73"/>
      <c r="B44" s="35" t="s">
        <v>54</v>
      </c>
      <c r="C44" s="73" t="s">
        <v>100</v>
      </c>
      <c r="D44" s="35" t="s">
        <v>101</v>
      </c>
      <c r="E44" s="37" t="s">
        <v>94</v>
      </c>
      <c r="F44" s="73"/>
      <c r="G44" s="73"/>
      <c r="H44" s="40"/>
      <c r="I44" s="37" t="s">
        <v>94</v>
      </c>
      <c r="J44" s="43" t="s">
        <v>101</v>
      </c>
      <c r="K44" s="73" t="s">
        <v>102</v>
      </c>
    </row>
    <row r="45" spans="1:11" x14ac:dyDescent="0.2">
      <c r="A45" s="73"/>
      <c r="B45" s="73" t="s">
        <v>56</v>
      </c>
      <c r="C45" s="73">
        <v>100000000000</v>
      </c>
      <c r="D45" s="30">
        <f>PRODUCT(69041146040,1/C45)</f>
        <v>0.69041146040000001</v>
      </c>
      <c r="E45" s="37">
        <v>30.284999999999997</v>
      </c>
      <c r="F45" s="73"/>
      <c r="G45" s="73"/>
      <c r="H45" s="40"/>
      <c r="I45" s="37">
        <v>30.284999999999997</v>
      </c>
      <c r="J45" s="30">
        <v>0.69041146040000001</v>
      </c>
      <c r="K45" s="44">
        <f>LOG(J45)</f>
        <v>-0.16089200821525257</v>
      </c>
    </row>
    <row r="46" spans="1:11" x14ac:dyDescent="0.2">
      <c r="A46" s="73"/>
      <c r="B46" s="73" t="s">
        <v>57</v>
      </c>
      <c r="C46" s="73">
        <v>10000000000</v>
      </c>
      <c r="D46" s="30">
        <f t="shared" ref="D46:D54" si="1">PRODUCT(69041146040,1/C46)</f>
        <v>6.9041146040000001</v>
      </c>
      <c r="E46" s="37">
        <v>26.14</v>
      </c>
      <c r="F46" s="73"/>
      <c r="G46" s="73"/>
      <c r="H46" s="40"/>
      <c r="I46" s="37">
        <v>26.14</v>
      </c>
      <c r="J46" s="30">
        <v>6.9041146040000001</v>
      </c>
      <c r="K46" s="44">
        <f t="shared" ref="K46:K55" si="2">LOG(J46)</f>
        <v>0.83910799178474738</v>
      </c>
    </row>
    <row r="47" spans="1:11" x14ac:dyDescent="0.2">
      <c r="A47" s="73"/>
      <c r="B47" s="73" t="s">
        <v>58</v>
      </c>
      <c r="C47" s="73">
        <v>1000000000</v>
      </c>
      <c r="D47" s="30">
        <f t="shared" si="1"/>
        <v>69.041146040000001</v>
      </c>
      <c r="E47" s="37">
        <v>23.36</v>
      </c>
      <c r="F47" s="73"/>
      <c r="G47" s="73"/>
      <c r="H47" s="40"/>
      <c r="I47" s="37">
        <v>23.36</v>
      </c>
      <c r="J47" s="30">
        <v>69.041146040000001</v>
      </c>
      <c r="K47" s="44">
        <f t="shared" si="2"/>
        <v>1.8391079917847475</v>
      </c>
    </row>
    <row r="48" spans="1:11" x14ac:dyDescent="0.2">
      <c r="A48" s="73"/>
      <c r="B48" s="73" t="s">
        <v>59</v>
      </c>
      <c r="C48" s="73">
        <v>100000000</v>
      </c>
      <c r="D48" s="30">
        <f t="shared" si="1"/>
        <v>690.41146040000001</v>
      </c>
      <c r="E48" s="37">
        <v>21.130000000000003</v>
      </c>
      <c r="F48" s="73"/>
      <c r="G48" s="73"/>
      <c r="H48" s="40"/>
      <c r="I48" s="37">
        <v>21.130000000000003</v>
      </c>
      <c r="J48" s="30">
        <v>690.41146040000001</v>
      </c>
      <c r="K48" s="44">
        <f t="shared" si="2"/>
        <v>2.8391079917847475</v>
      </c>
    </row>
    <row r="49" spans="1:11" x14ac:dyDescent="0.2">
      <c r="A49" s="73"/>
      <c r="B49" s="73" t="s">
        <v>60</v>
      </c>
      <c r="C49" s="73">
        <v>10000000</v>
      </c>
      <c r="D49" s="30">
        <f t="shared" si="1"/>
        <v>6904.1146039999994</v>
      </c>
      <c r="E49" s="37">
        <v>18.755000000000003</v>
      </c>
      <c r="H49" s="40"/>
      <c r="I49" s="37">
        <v>18.755000000000003</v>
      </c>
      <c r="J49" s="30">
        <v>6904.1146039999994</v>
      </c>
      <c r="K49" s="44">
        <f t="shared" si="2"/>
        <v>3.8391079917847475</v>
      </c>
    </row>
    <row r="50" spans="1:11" x14ac:dyDescent="0.2">
      <c r="A50" s="73"/>
      <c r="B50" s="73" t="s">
        <v>61</v>
      </c>
      <c r="C50" s="73">
        <v>1000000</v>
      </c>
      <c r="D50" s="30">
        <f t="shared" si="1"/>
        <v>69041.146039999992</v>
      </c>
      <c r="E50" s="37">
        <v>15.45</v>
      </c>
      <c r="H50" s="40"/>
      <c r="I50" s="37">
        <v>15.45</v>
      </c>
      <c r="J50" s="30">
        <v>69041.146039999992</v>
      </c>
      <c r="K50" s="44">
        <f t="shared" si="2"/>
        <v>4.839107991784747</v>
      </c>
    </row>
    <row r="51" spans="1:11" x14ac:dyDescent="0.2">
      <c r="A51" s="73"/>
      <c r="B51" s="73" t="s">
        <v>62</v>
      </c>
      <c r="C51" s="73">
        <v>100000</v>
      </c>
      <c r="D51" s="30">
        <f t="shared" si="1"/>
        <v>690411.4604000001</v>
      </c>
      <c r="E51" s="37">
        <v>11.469999999999999</v>
      </c>
      <c r="H51" s="40"/>
      <c r="I51" s="37">
        <v>11.469999999999999</v>
      </c>
      <c r="J51" s="30">
        <v>690411.4604000001</v>
      </c>
      <c r="K51" s="44">
        <f t="shared" si="2"/>
        <v>5.839107991784747</v>
      </c>
    </row>
    <row r="52" spans="1:11" x14ac:dyDescent="0.2">
      <c r="A52" s="73"/>
      <c r="B52" s="73" t="s">
        <v>63</v>
      </c>
      <c r="C52" s="73">
        <v>10000</v>
      </c>
      <c r="D52" s="30">
        <f t="shared" si="1"/>
        <v>6904114.6040000003</v>
      </c>
      <c r="E52" s="37">
        <v>7.4249999999999998</v>
      </c>
      <c r="H52" s="40"/>
      <c r="I52" s="37">
        <v>7.4249999999999998</v>
      </c>
      <c r="J52" s="30">
        <v>6904114.6040000003</v>
      </c>
      <c r="K52" s="44">
        <f t="shared" si="2"/>
        <v>6.839107991784747</v>
      </c>
    </row>
    <row r="53" spans="1:11" x14ac:dyDescent="0.2">
      <c r="A53" s="73"/>
      <c r="B53" s="73" t="s">
        <v>64</v>
      </c>
      <c r="C53" s="73">
        <v>1000</v>
      </c>
      <c r="D53" s="30">
        <f t="shared" si="1"/>
        <v>69041146.040000007</v>
      </c>
      <c r="E53" s="37">
        <v>4.8249999999999993</v>
      </c>
      <c r="H53" s="40"/>
      <c r="I53" s="37">
        <v>4.8249999999999993</v>
      </c>
      <c r="J53" s="30">
        <v>69041146.040000007</v>
      </c>
      <c r="K53" s="44">
        <f t="shared" si="2"/>
        <v>7.839107991784747</v>
      </c>
    </row>
    <row r="54" spans="1:11" x14ac:dyDescent="0.2">
      <c r="A54" s="73"/>
      <c r="B54" s="73" t="s">
        <v>65</v>
      </c>
      <c r="C54" s="73">
        <v>100</v>
      </c>
      <c r="D54" s="30">
        <f t="shared" si="1"/>
        <v>690411460.39999998</v>
      </c>
      <c r="E54" s="37">
        <v>3.65</v>
      </c>
      <c r="H54" s="40"/>
      <c r="I54" s="37">
        <v>3.65</v>
      </c>
      <c r="J54" s="30">
        <v>690411460.39999998</v>
      </c>
      <c r="K54" s="44">
        <f t="shared" si="2"/>
        <v>8.839107991784747</v>
      </c>
    </row>
    <row r="55" spans="1:11" x14ac:dyDescent="0.2">
      <c r="A55" s="73"/>
      <c r="B55" s="73" t="s">
        <v>66</v>
      </c>
      <c r="C55" s="73">
        <v>10</v>
      </c>
      <c r="D55" s="30">
        <f>PRODUCT(69041146040,1/C55)</f>
        <v>6904114604</v>
      </c>
      <c r="E55" s="37">
        <v>2.2850000000000001</v>
      </c>
      <c r="H55" s="40"/>
      <c r="I55" s="37">
        <v>2.2850000000000001</v>
      </c>
      <c r="J55" s="30">
        <v>6904114604</v>
      </c>
      <c r="K55" s="44">
        <f t="shared" si="2"/>
        <v>9.839107991784747</v>
      </c>
    </row>
    <row r="56" spans="1:11" x14ac:dyDescent="0.2">
      <c r="A56" s="73"/>
      <c r="B56" s="73"/>
      <c r="C56" s="42" t="s">
        <v>195</v>
      </c>
      <c r="D56" s="80">
        <v>69041146040</v>
      </c>
      <c r="E56" s="45" t="s">
        <v>196</v>
      </c>
      <c r="F56" t="s">
        <v>201</v>
      </c>
      <c r="H56" s="40"/>
      <c r="J56" s="40"/>
    </row>
    <row r="57" spans="1:11" x14ac:dyDescent="0.2">
      <c r="A57" s="73"/>
      <c r="B57" s="46"/>
      <c r="C57" s="73"/>
      <c r="D57" s="73"/>
      <c r="H57" s="40"/>
      <c r="I57" s="37" t="s">
        <v>94</v>
      </c>
      <c r="J57" s="44" t="s">
        <v>102</v>
      </c>
      <c r="K57" s="37"/>
    </row>
    <row r="58" spans="1:11" x14ac:dyDescent="0.2">
      <c r="A58" s="73"/>
      <c r="B58" s="73"/>
      <c r="C58" s="73"/>
      <c r="D58" s="73"/>
      <c r="H58" s="40"/>
      <c r="I58" s="37">
        <v>30.284999999999997</v>
      </c>
      <c r="J58" s="44">
        <v>-0.16089200821525257</v>
      </c>
      <c r="K58" s="37"/>
    </row>
    <row r="59" spans="1:11" ht="14.5" customHeight="1" x14ac:dyDescent="0.2">
      <c r="A59" s="73"/>
      <c r="B59" s="46" t="s">
        <v>103</v>
      </c>
      <c r="C59" s="73"/>
      <c r="D59" s="73"/>
      <c r="H59" s="40"/>
      <c r="I59" s="37">
        <v>26.14</v>
      </c>
      <c r="J59" s="44">
        <v>0.83910799178474738</v>
      </c>
      <c r="K59" s="37"/>
    </row>
    <row r="60" spans="1:11" ht="17" customHeight="1" x14ac:dyDescent="0.2">
      <c r="A60" s="73"/>
      <c r="B60" s="73"/>
      <c r="C60" s="73"/>
      <c r="D60" s="84" t="s">
        <v>104</v>
      </c>
      <c r="H60" s="40"/>
      <c r="I60" s="37">
        <v>23.36</v>
      </c>
      <c r="J60" s="44">
        <v>1.8391079917847475</v>
      </c>
      <c r="K60" s="37"/>
    </row>
    <row r="61" spans="1:11" x14ac:dyDescent="0.2">
      <c r="A61" s="73"/>
      <c r="B61" s="37" t="s">
        <v>94</v>
      </c>
      <c r="C61" s="44" t="s">
        <v>102</v>
      </c>
      <c r="D61" s="84"/>
      <c r="H61" s="40"/>
      <c r="I61" s="37">
        <v>21.130000000000003</v>
      </c>
      <c r="J61" s="44">
        <v>2.8391079917847475</v>
      </c>
      <c r="K61" s="37"/>
    </row>
    <row r="62" spans="1:11" x14ac:dyDescent="0.2">
      <c r="A62" s="73"/>
      <c r="B62" s="37">
        <v>30.284999999999997</v>
      </c>
      <c r="C62" s="73">
        <f>((-0.3395*B62)+9.9245)</f>
        <v>-0.35725749999999934</v>
      </c>
      <c r="D62" s="47">
        <f>10^C62</f>
        <v>0.43928108157511114</v>
      </c>
      <c r="H62" s="40"/>
      <c r="I62" s="37">
        <v>18.755000000000003</v>
      </c>
      <c r="J62" s="44">
        <v>3.8391079917847475</v>
      </c>
      <c r="K62" s="37"/>
    </row>
    <row r="63" spans="1:11" x14ac:dyDescent="0.2">
      <c r="A63" s="73"/>
      <c r="B63" s="37">
        <v>26.14</v>
      </c>
      <c r="C63" s="73">
        <f t="shared" ref="C63:C72" si="3">((-0.3395*B63)+9.9245)</f>
        <v>1.0499700000000001</v>
      </c>
      <c r="D63" s="47">
        <f t="shared" ref="D63:D72" si="4">10^C63</f>
        <v>11.219409506898666</v>
      </c>
      <c r="E63" s="48"/>
      <c r="H63" s="40"/>
      <c r="I63" s="37">
        <v>15.45</v>
      </c>
      <c r="J63" s="44">
        <v>4.839107991784747</v>
      </c>
      <c r="K63" s="37"/>
    </row>
    <row r="64" spans="1:11" x14ac:dyDescent="0.2">
      <c r="A64" s="73"/>
      <c r="B64" s="37">
        <v>23.36</v>
      </c>
      <c r="C64" s="73">
        <f t="shared" si="3"/>
        <v>1.9937800000000001</v>
      </c>
      <c r="D64" s="47">
        <f t="shared" si="4"/>
        <v>98.577999381830566</v>
      </c>
      <c r="H64" s="40"/>
      <c r="I64" s="37">
        <v>11.469999999999999</v>
      </c>
      <c r="J64" s="44">
        <v>5.839107991784747</v>
      </c>
      <c r="K64" s="37"/>
    </row>
    <row r="65" spans="1:11" x14ac:dyDescent="0.2">
      <c r="A65" s="73"/>
      <c r="B65" s="37">
        <v>21.130000000000003</v>
      </c>
      <c r="C65" s="73">
        <f t="shared" si="3"/>
        <v>2.7508649999999983</v>
      </c>
      <c r="D65" s="47">
        <f t="shared" si="4"/>
        <v>563.4624768598045</v>
      </c>
      <c r="H65" s="40"/>
      <c r="I65" s="37">
        <v>7.4249999999999998</v>
      </c>
      <c r="J65" s="44">
        <v>6.839107991784747</v>
      </c>
      <c r="K65" s="37"/>
    </row>
    <row r="66" spans="1:11" x14ac:dyDescent="0.2">
      <c r="A66" s="73"/>
      <c r="B66" s="37">
        <v>18.755000000000003</v>
      </c>
      <c r="C66" s="73">
        <f t="shared" si="3"/>
        <v>3.557177499999999</v>
      </c>
      <c r="D66" s="47">
        <f t="shared" si="4"/>
        <v>3607.2604482576962</v>
      </c>
      <c r="H66" s="40"/>
      <c r="I66" s="37">
        <v>4.8249999999999993</v>
      </c>
      <c r="J66" s="44">
        <v>7.839107991784747</v>
      </c>
      <c r="K66" s="37"/>
    </row>
    <row r="67" spans="1:11" x14ac:dyDescent="0.2">
      <c r="A67" s="73"/>
      <c r="B67" s="37">
        <v>15.45</v>
      </c>
      <c r="C67" s="73">
        <f t="shared" si="3"/>
        <v>4.6792249999999997</v>
      </c>
      <c r="D67" s="47">
        <f t="shared" si="4"/>
        <v>47777.67369073131</v>
      </c>
      <c r="H67" s="40"/>
      <c r="I67" s="37">
        <v>3.65</v>
      </c>
      <c r="J67" s="44">
        <v>8.839107991784747</v>
      </c>
      <c r="K67" s="37"/>
    </row>
    <row r="68" spans="1:11" x14ac:dyDescent="0.2">
      <c r="A68" s="73"/>
      <c r="B68" s="37">
        <v>11.469999999999999</v>
      </c>
      <c r="C68" s="73">
        <f t="shared" si="3"/>
        <v>6.0304350000000007</v>
      </c>
      <c r="D68" s="47">
        <f t="shared" si="4"/>
        <v>1072593.1029237863</v>
      </c>
      <c r="H68" s="40"/>
      <c r="I68" s="37">
        <v>2.2850000000000001</v>
      </c>
      <c r="J68" s="44">
        <v>9.839107991784747</v>
      </c>
      <c r="K68" s="37"/>
    </row>
    <row r="69" spans="1:11" x14ac:dyDescent="0.2">
      <c r="A69" s="73"/>
      <c r="B69" s="37">
        <v>7.4249999999999998</v>
      </c>
      <c r="C69" s="73">
        <f t="shared" si="3"/>
        <v>7.4037125000000001</v>
      </c>
      <c r="D69" s="47">
        <f t="shared" si="4"/>
        <v>25334509.479158185</v>
      </c>
      <c r="H69" s="40"/>
      <c r="J69" s="40"/>
    </row>
    <row r="70" spans="1:11" x14ac:dyDescent="0.2">
      <c r="A70" s="73"/>
      <c r="B70" s="37">
        <v>4.8249999999999993</v>
      </c>
      <c r="C70" s="73">
        <f t="shared" si="3"/>
        <v>8.2864125000000008</v>
      </c>
      <c r="D70" s="47">
        <f t="shared" si="4"/>
        <v>193380420.38534257</v>
      </c>
      <c r="H70" s="40"/>
      <c r="J70" s="40"/>
    </row>
    <row r="71" spans="1:11" x14ac:dyDescent="0.2">
      <c r="A71" s="73"/>
      <c r="B71" s="37">
        <v>3.65</v>
      </c>
      <c r="C71" s="73">
        <f t="shared" si="3"/>
        <v>8.6853250000000006</v>
      </c>
      <c r="D71" s="47">
        <f t="shared" si="4"/>
        <v>484534828.81404424</v>
      </c>
      <c r="H71" s="40"/>
      <c r="I71" s="73"/>
      <c r="J71" s="37"/>
    </row>
    <row r="72" spans="1:11" x14ac:dyDescent="0.2">
      <c r="A72" s="73"/>
      <c r="B72" s="37">
        <v>2.2850000000000001</v>
      </c>
      <c r="C72" s="73">
        <f t="shared" si="3"/>
        <v>9.1487425000000009</v>
      </c>
      <c r="D72" s="47">
        <f t="shared" si="4"/>
        <v>1408453456.6898651</v>
      </c>
      <c r="H72" s="40"/>
      <c r="I72" s="73"/>
      <c r="J72" s="37"/>
    </row>
    <row r="73" spans="1:11" x14ac:dyDescent="0.2">
      <c r="A73" s="73"/>
      <c r="B73" s="73"/>
      <c r="C73" s="73"/>
      <c r="D73" s="73"/>
      <c r="H73" s="40"/>
      <c r="I73" s="73"/>
      <c r="J73" s="37"/>
    </row>
    <row r="74" spans="1:11" ht="16" thickBot="1" x14ac:dyDescent="0.25">
      <c r="A74" s="73"/>
      <c r="B74" s="73"/>
      <c r="C74" s="73"/>
      <c r="D74" s="73"/>
      <c r="H74" s="40"/>
      <c r="I74" s="73"/>
      <c r="J74" s="37"/>
    </row>
    <row r="75" spans="1:11" x14ac:dyDescent="0.2">
      <c r="A75" s="73"/>
      <c r="B75" s="82" t="s">
        <v>204</v>
      </c>
      <c r="C75" s="51"/>
      <c r="D75" s="73"/>
      <c r="H75" s="40"/>
      <c r="I75" s="73"/>
      <c r="J75" s="37"/>
    </row>
    <row r="76" spans="1:11" x14ac:dyDescent="0.2">
      <c r="A76" s="73"/>
      <c r="B76" s="52" t="s">
        <v>200</v>
      </c>
      <c r="C76" s="53"/>
      <c r="D76" s="73"/>
      <c r="H76" s="40"/>
      <c r="I76" s="73"/>
      <c r="J76" s="37"/>
    </row>
    <row r="77" spans="1:11" x14ac:dyDescent="0.2">
      <c r="A77" s="73"/>
      <c r="B77" s="52" t="s">
        <v>106</v>
      </c>
      <c r="C77" s="53"/>
      <c r="D77" s="73"/>
      <c r="H77" s="40"/>
      <c r="I77" s="73"/>
      <c r="J77" s="37"/>
    </row>
    <row r="78" spans="1:11" ht="16" thickBot="1" x14ac:dyDescent="0.25">
      <c r="A78" s="73"/>
      <c r="B78" s="54" t="s">
        <v>107</v>
      </c>
      <c r="C78" s="55"/>
      <c r="D78" s="73"/>
      <c r="H78" s="40"/>
      <c r="I78" s="73"/>
      <c r="J78" s="37"/>
    </row>
    <row r="79" spans="1:11" x14ac:dyDescent="0.2">
      <c r="A79" s="73"/>
      <c r="B79" s="73"/>
      <c r="C79" s="73"/>
      <c r="D79" s="73"/>
      <c r="H79" s="40"/>
      <c r="I79" s="73"/>
      <c r="J79" s="37"/>
    </row>
    <row r="80" spans="1:11" x14ac:dyDescent="0.2">
      <c r="A80" s="73"/>
      <c r="B80" s="73"/>
      <c r="C80" s="73"/>
      <c r="D80" s="73"/>
      <c r="H80" s="40"/>
      <c r="I80" s="73"/>
      <c r="J80" s="37"/>
    </row>
    <row r="81" spans="1:16" s="34" customFormat="1" x14ac:dyDescent="0.2">
      <c r="A81" s="31"/>
      <c r="B81" s="38" t="s">
        <v>114</v>
      </c>
      <c r="C81" s="31"/>
      <c r="D81" s="31"/>
      <c r="H81" s="39"/>
      <c r="J81" s="39"/>
    </row>
    <row r="82" spans="1:16" x14ac:dyDescent="0.2">
      <c r="A82" s="73"/>
      <c r="B82" s="73"/>
      <c r="C82" s="73"/>
      <c r="D82" s="73"/>
      <c r="H82" s="40"/>
      <c r="J82" s="40"/>
    </row>
    <row r="83" spans="1:16" ht="32" x14ac:dyDescent="0.2">
      <c r="A83" s="73"/>
      <c r="B83" s="35" t="s">
        <v>54</v>
      </c>
      <c r="C83" s="35" t="s">
        <v>55</v>
      </c>
      <c r="D83" s="35" t="s">
        <v>110</v>
      </c>
      <c r="E83" s="35" t="s">
        <v>108</v>
      </c>
      <c r="F83" s="35" t="s">
        <v>109</v>
      </c>
      <c r="H83" s="40"/>
      <c r="J83" s="40"/>
    </row>
    <row r="84" spans="1:16" x14ac:dyDescent="0.2">
      <c r="A84" s="73"/>
      <c r="B84" s="73" t="s">
        <v>81</v>
      </c>
      <c r="C84" s="73">
        <v>38.99</v>
      </c>
      <c r="D84" s="73" t="s">
        <v>23</v>
      </c>
      <c r="E84" s="31">
        <f>((-0.3395*C84)+9.9245)</f>
        <v>-3.3126050000000014</v>
      </c>
      <c r="F84" s="47">
        <f t="shared" ref="F84:F94" si="5">10^E84</f>
        <v>4.8684980455993173E-4</v>
      </c>
      <c r="H84" s="40"/>
      <c r="J84" s="40"/>
    </row>
    <row r="85" spans="1:16" x14ac:dyDescent="0.2">
      <c r="A85" s="73"/>
      <c r="B85" s="73" t="s">
        <v>82</v>
      </c>
      <c r="C85" s="73">
        <v>36.950000000000003</v>
      </c>
      <c r="D85" s="73" t="s">
        <v>23</v>
      </c>
      <c r="E85" s="31">
        <f t="shared" ref="E85:E94" si="6">((-0.3395*C85)+9.9245)</f>
        <v>-2.6200250000000018</v>
      </c>
      <c r="F85" s="47">
        <f t="shared" si="5"/>
        <v>2.3986948350708946E-3</v>
      </c>
      <c r="H85" s="40"/>
      <c r="J85" s="40"/>
    </row>
    <row r="86" spans="1:16" x14ac:dyDescent="0.2">
      <c r="A86" s="73"/>
      <c r="B86" s="73" t="s">
        <v>83</v>
      </c>
      <c r="C86" s="73">
        <v>31.77</v>
      </c>
      <c r="D86" s="73">
        <v>7</v>
      </c>
      <c r="E86" s="31">
        <f t="shared" si="6"/>
        <v>-0.86141500000000093</v>
      </c>
      <c r="F86" s="47">
        <v>0</v>
      </c>
      <c r="H86" s="40"/>
      <c r="J86" s="40"/>
    </row>
    <row r="87" spans="1:16" x14ac:dyDescent="0.2">
      <c r="A87" s="73"/>
      <c r="B87" s="73" t="s">
        <v>84</v>
      </c>
      <c r="C87" s="73">
        <v>33.520000000000003</v>
      </c>
      <c r="D87" s="73">
        <v>8</v>
      </c>
      <c r="E87" s="31">
        <f t="shared" si="6"/>
        <v>-1.4555400000000009</v>
      </c>
      <c r="F87" s="47">
        <f t="shared" si="5"/>
        <v>3.5031602151769328E-2</v>
      </c>
      <c r="H87" s="40"/>
      <c r="J87" s="40"/>
    </row>
    <row r="88" spans="1:16" x14ac:dyDescent="0.2">
      <c r="A88" s="73"/>
      <c r="B88" s="73" t="s">
        <v>85</v>
      </c>
      <c r="C88" s="73">
        <v>31.68</v>
      </c>
      <c r="D88" s="73" t="s">
        <v>163</v>
      </c>
      <c r="E88" s="31">
        <f t="shared" si="6"/>
        <v>-0.83086000000000126</v>
      </c>
      <c r="F88" s="47">
        <f t="shared" si="5"/>
        <v>0.1476182321540899</v>
      </c>
      <c r="H88" s="75"/>
      <c r="I88" s="76"/>
      <c r="J88" s="75"/>
      <c r="K88" s="76"/>
      <c r="L88" s="76"/>
      <c r="M88" s="76"/>
      <c r="N88" s="76"/>
      <c r="O88" s="76"/>
      <c r="P88" s="76"/>
    </row>
    <row r="89" spans="1:16" x14ac:dyDescent="0.2">
      <c r="A89" s="73"/>
      <c r="B89" s="73" t="s">
        <v>86</v>
      </c>
      <c r="C89" s="73">
        <v>29.57</v>
      </c>
      <c r="D89" s="73" t="s">
        <v>164</v>
      </c>
      <c r="E89" s="31">
        <f t="shared" si="6"/>
        <v>-0.11451500000000081</v>
      </c>
      <c r="F89" s="47">
        <f t="shared" si="5"/>
        <v>0.76821892187948038</v>
      </c>
      <c r="H89" s="70"/>
      <c r="I89" s="70"/>
      <c r="J89" s="70"/>
      <c r="K89" s="70"/>
      <c r="L89" s="70"/>
      <c r="M89" s="70"/>
      <c r="N89" s="70"/>
      <c r="O89" s="70"/>
      <c r="P89" s="70"/>
    </row>
    <row r="90" spans="1:16" x14ac:dyDescent="0.2">
      <c r="B90" s="73" t="s">
        <v>87</v>
      </c>
      <c r="C90" s="73">
        <v>30.6</v>
      </c>
      <c r="D90" s="73" t="s">
        <v>156</v>
      </c>
      <c r="E90" s="31">
        <f t="shared" si="6"/>
        <v>-0.46420000000000172</v>
      </c>
      <c r="F90" s="47">
        <f t="shared" si="5"/>
        <v>0.34339977004258354</v>
      </c>
      <c r="H90" s="70"/>
      <c r="I90" s="77"/>
      <c r="J90" s="78"/>
      <c r="K90" s="70"/>
      <c r="L90" s="70"/>
      <c r="M90" s="70"/>
      <c r="N90" s="70"/>
      <c r="O90" s="70"/>
      <c r="P90" s="70"/>
    </row>
    <row r="91" spans="1:16" x14ac:dyDescent="0.2">
      <c r="B91" s="73" t="s">
        <v>88</v>
      </c>
      <c r="C91" s="73">
        <v>32.369999999999997</v>
      </c>
      <c r="D91" s="73" t="s">
        <v>165</v>
      </c>
      <c r="E91" s="31">
        <f t="shared" si="6"/>
        <v>-1.0651150000000005</v>
      </c>
      <c r="F91" s="47">
        <f t="shared" si="5"/>
        <v>8.6076579355876578E-2</v>
      </c>
    </row>
    <row r="92" spans="1:16" x14ac:dyDescent="0.2">
      <c r="B92" s="73" t="s">
        <v>89</v>
      </c>
      <c r="C92" s="73">
        <v>30.9</v>
      </c>
      <c r="D92" s="73" t="s">
        <v>166</v>
      </c>
      <c r="E92" s="31">
        <f t="shared" si="6"/>
        <v>-0.56605000000000061</v>
      </c>
      <c r="F92" s="47">
        <f t="shared" si="5"/>
        <v>0.27161265452129202</v>
      </c>
    </row>
    <row r="93" spans="1:16" x14ac:dyDescent="0.2">
      <c r="B93" s="73" t="s">
        <v>90</v>
      </c>
      <c r="C93" s="73">
        <v>30.76</v>
      </c>
      <c r="D93" s="73" t="s">
        <v>167</v>
      </c>
      <c r="E93" s="31">
        <f t="shared" si="6"/>
        <v>-0.51852000000000054</v>
      </c>
      <c r="F93" s="47">
        <f t="shared" si="5"/>
        <v>0.30302607459106562</v>
      </c>
    </row>
    <row r="94" spans="1:16" x14ac:dyDescent="0.2">
      <c r="B94" s="73" t="s">
        <v>91</v>
      </c>
      <c r="C94" s="73">
        <v>33.89</v>
      </c>
      <c r="D94" s="73" t="s">
        <v>176</v>
      </c>
      <c r="E94" s="31">
        <f t="shared" si="6"/>
        <v>-1.5811550000000008</v>
      </c>
      <c r="F94" s="47">
        <f t="shared" si="5"/>
        <v>2.6232821250912364E-2</v>
      </c>
    </row>
    <row r="97" spans="2:2" x14ac:dyDescent="0.2">
      <c r="B97" s="46" t="s">
        <v>115</v>
      </c>
    </row>
  </sheetData>
  <mergeCells count="1">
    <mergeCell ref="D60:D6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7"/>
  <sheetViews>
    <sheetView topLeftCell="A54" zoomScale="81" workbookViewId="0">
      <selection activeCell="B75" sqref="B75:C78"/>
    </sheetView>
  </sheetViews>
  <sheetFormatPr baseColWidth="10" defaultRowHeight="15" x14ac:dyDescent="0.2"/>
  <cols>
    <col min="2" max="2" width="11" bestFit="1" customWidth="1"/>
    <col min="3" max="3" width="12.1640625" bestFit="1" customWidth="1"/>
    <col min="4" max="4" width="16" customWidth="1"/>
    <col min="5" max="5" width="11" bestFit="1" customWidth="1"/>
    <col min="9" max="9" width="11" bestFit="1" customWidth="1"/>
    <col min="10" max="10" width="19.1640625" customWidth="1"/>
    <col min="11" max="11" width="11" bestFit="1" customWidth="1"/>
  </cols>
  <sheetData>
    <row r="1" spans="1:12" x14ac:dyDescent="0.2">
      <c r="A1" t="s">
        <v>93</v>
      </c>
    </row>
    <row r="2" spans="1:12" ht="16" x14ac:dyDescent="0.2">
      <c r="A2" s="35" t="s">
        <v>54</v>
      </c>
      <c r="B2" s="35" t="s">
        <v>55</v>
      </c>
      <c r="H2" s="35" t="s">
        <v>54</v>
      </c>
      <c r="I2" s="36" t="s">
        <v>55</v>
      </c>
      <c r="J2" s="35" t="s">
        <v>54</v>
      </c>
      <c r="K2" s="36" t="s">
        <v>55</v>
      </c>
      <c r="L2" s="35" t="s">
        <v>94</v>
      </c>
    </row>
    <row r="3" spans="1:12" x14ac:dyDescent="0.2">
      <c r="A3" s="1" t="s">
        <v>56</v>
      </c>
      <c r="B3" s="1">
        <v>30.24</v>
      </c>
      <c r="H3" s="1" t="s">
        <v>56</v>
      </c>
      <c r="I3" s="37">
        <v>30.24</v>
      </c>
      <c r="J3" s="1" t="s">
        <v>69</v>
      </c>
      <c r="K3" s="37">
        <v>30.33</v>
      </c>
      <c r="L3" s="1">
        <f>AVERAGE(I3,K3)</f>
        <v>30.284999999999997</v>
      </c>
    </row>
    <row r="4" spans="1:12" x14ac:dyDescent="0.2">
      <c r="A4" s="1" t="s">
        <v>57</v>
      </c>
      <c r="B4" s="1">
        <v>24.8</v>
      </c>
      <c r="H4" s="1" t="s">
        <v>57</v>
      </c>
      <c r="I4" s="37">
        <v>24.8</v>
      </c>
      <c r="J4" s="1" t="s">
        <v>70</v>
      </c>
      <c r="K4" s="37">
        <v>27.48</v>
      </c>
      <c r="L4" s="1">
        <f t="shared" ref="L4:L13" si="0">AVERAGE(I4,K4)</f>
        <v>26.14</v>
      </c>
    </row>
    <row r="5" spans="1:12" x14ac:dyDescent="0.2">
      <c r="A5" s="1" t="s">
        <v>58</v>
      </c>
      <c r="B5" s="1">
        <v>22.77</v>
      </c>
      <c r="H5" s="1" t="s">
        <v>58</v>
      </c>
      <c r="I5" s="37">
        <v>22.77</v>
      </c>
      <c r="J5" s="1" t="s">
        <v>71</v>
      </c>
      <c r="K5" s="37">
        <v>23.95</v>
      </c>
      <c r="L5" s="1">
        <f t="shared" si="0"/>
        <v>23.36</v>
      </c>
    </row>
    <row r="6" spans="1:12" x14ac:dyDescent="0.2">
      <c r="A6" s="1" t="s">
        <v>59</v>
      </c>
      <c r="B6" s="1">
        <v>21.39</v>
      </c>
      <c r="H6" s="1" t="s">
        <v>59</v>
      </c>
      <c r="I6" s="37">
        <v>21.39</v>
      </c>
      <c r="J6" s="1" t="s">
        <v>72</v>
      </c>
      <c r="K6" s="37">
        <v>20.87</v>
      </c>
      <c r="L6" s="1">
        <f t="shared" si="0"/>
        <v>21.130000000000003</v>
      </c>
    </row>
    <row r="7" spans="1:12" x14ac:dyDescent="0.2">
      <c r="A7" s="1" t="s">
        <v>60</v>
      </c>
      <c r="B7" s="1">
        <v>17.07</v>
      </c>
      <c r="H7" s="1" t="s">
        <v>60</v>
      </c>
      <c r="I7" s="37">
        <v>17.07</v>
      </c>
      <c r="J7" s="1" t="s">
        <v>73</v>
      </c>
      <c r="K7" s="37">
        <v>20.440000000000001</v>
      </c>
      <c r="L7" s="1">
        <f t="shared" si="0"/>
        <v>18.755000000000003</v>
      </c>
    </row>
    <row r="8" spans="1:12" x14ac:dyDescent="0.2">
      <c r="A8" s="1" t="s">
        <v>61</v>
      </c>
      <c r="B8" s="1">
        <v>16.07</v>
      </c>
      <c r="H8" s="1" t="s">
        <v>61</v>
      </c>
      <c r="I8" s="37">
        <v>16.07</v>
      </c>
      <c r="J8" s="1" t="s">
        <v>74</v>
      </c>
      <c r="K8" s="37">
        <v>14.83</v>
      </c>
      <c r="L8" s="1">
        <f t="shared" si="0"/>
        <v>15.45</v>
      </c>
    </row>
    <row r="9" spans="1:12" x14ac:dyDescent="0.2">
      <c r="A9" s="1" t="s">
        <v>62</v>
      </c>
      <c r="B9" s="1">
        <v>12.07</v>
      </c>
      <c r="H9" s="1" t="s">
        <v>62</v>
      </c>
      <c r="I9" s="37">
        <v>12.07</v>
      </c>
      <c r="J9" s="1" t="s">
        <v>75</v>
      </c>
      <c r="K9" s="37">
        <v>10.87</v>
      </c>
      <c r="L9" s="1">
        <f t="shared" si="0"/>
        <v>11.469999999999999</v>
      </c>
    </row>
    <row r="10" spans="1:12" x14ac:dyDescent="0.2">
      <c r="A10" s="1" t="s">
        <v>63</v>
      </c>
      <c r="B10" s="1">
        <v>7.89</v>
      </c>
      <c r="H10" s="1" t="s">
        <v>63</v>
      </c>
      <c r="I10" s="37">
        <v>7.89</v>
      </c>
      <c r="J10" s="1" t="s">
        <v>76</v>
      </c>
      <c r="K10" s="37">
        <v>6.96</v>
      </c>
      <c r="L10" s="1">
        <f t="shared" si="0"/>
        <v>7.4249999999999998</v>
      </c>
    </row>
    <row r="11" spans="1:12" x14ac:dyDescent="0.2">
      <c r="A11" s="1" t="s">
        <v>64</v>
      </c>
      <c r="B11" s="1">
        <v>5.39</v>
      </c>
      <c r="H11" s="1" t="s">
        <v>64</v>
      </c>
      <c r="I11" s="37">
        <v>5.39</v>
      </c>
      <c r="J11" s="1" t="s">
        <v>77</v>
      </c>
      <c r="K11" s="37">
        <v>4.26</v>
      </c>
      <c r="L11" s="1">
        <f t="shared" si="0"/>
        <v>4.8249999999999993</v>
      </c>
    </row>
    <row r="12" spans="1:12" x14ac:dyDescent="0.2">
      <c r="A12" s="1" t="s">
        <v>65</v>
      </c>
      <c r="B12" s="1">
        <v>4.76</v>
      </c>
      <c r="H12" s="1" t="s">
        <v>65</v>
      </c>
      <c r="I12" s="37">
        <v>4.76</v>
      </c>
      <c r="J12" s="1" t="s">
        <v>78</v>
      </c>
      <c r="K12" s="37">
        <v>2.54</v>
      </c>
      <c r="L12" s="1">
        <f t="shared" si="0"/>
        <v>3.65</v>
      </c>
    </row>
    <row r="13" spans="1:12" x14ac:dyDescent="0.2">
      <c r="A13" s="1" t="s">
        <v>66</v>
      </c>
      <c r="B13" s="1">
        <v>2.29</v>
      </c>
      <c r="H13" s="1" t="s">
        <v>66</v>
      </c>
      <c r="I13" s="37">
        <v>2.29</v>
      </c>
      <c r="J13" s="1" t="s">
        <v>79</v>
      </c>
      <c r="K13" s="37">
        <v>2.2799999999999998</v>
      </c>
      <c r="L13" s="1">
        <f t="shared" si="0"/>
        <v>2.2850000000000001</v>
      </c>
    </row>
    <row r="14" spans="1:12" x14ac:dyDescent="0.2">
      <c r="A14" s="31" t="s">
        <v>67</v>
      </c>
      <c r="B14" s="31" t="s">
        <v>68</v>
      </c>
      <c r="C14" s="34" t="s">
        <v>95</v>
      </c>
      <c r="D14" s="34"/>
      <c r="E14" s="34" t="s">
        <v>112</v>
      </c>
      <c r="H14" s="1" t="s">
        <v>67</v>
      </c>
      <c r="I14" s="37" t="s">
        <v>68</v>
      </c>
      <c r="J14" s="1" t="s">
        <v>80</v>
      </c>
      <c r="K14" s="37" t="s">
        <v>68</v>
      </c>
      <c r="L14" s="1"/>
    </row>
    <row r="15" spans="1:12" x14ac:dyDescent="0.2">
      <c r="A15" s="1" t="s">
        <v>69</v>
      </c>
      <c r="B15" s="1">
        <v>30.33</v>
      </c>
    </row>
    <row r="16" spans="1:12" x14ac:dyDescent="0.2">
      <c r="A16" s="1" t="s">
        <v>70</v>
      </c>
      <c r="B16" s="1">
        <v>27.48</v>
      </c>
    </row>
    <row r="17" spans="1:5" x14ac:dyDescent="0.2">
      <c r="A17" s="1" t="s">
        <v>71</v>
      </c>
      <c r="B17" s="1">
        <v>23.95</v>
      </c>
    </row>
    <row r="18" spans="1:5" x14ac:dyDescent="0.2">
      <c r="A18" s="1" t="s">
        <v>72</v>
      </c>
      <c r="B18" s="1">
        <v>20.87</v>
      </c>
    </row>
    <row r="19" spans="1:5" x14ac:dyDescent="0.2">
      <c r="A19" s="1" t="s">
        <v>73</v>
      </c>
      <c r="B19" s="1">
        <v>20.440000000000001</v>
      </c>
    </row>
    <row r="20" spans="1:5" x14ac:dyDescent="0.2">
      <c r="A20" s="1" t="s">
        <v>74</v>
      </c>
      <c r="B20" s="1">
        <v>14.83</v>
      </c>
    </row>
    <row r="21" spans="1:5" x14ac:dyDescent="0.2">
      <c r="A21" s="1" t="s">
        <v>75</v>
      </c>
      <c r="B21" s="1">
        <v>10.87</v>
      </c>
    </row>
    <row r="22" spans="1:5" x14ac:dyDescent="0.2">
      <c r="A22" s="1" t="s">
        <v>76</v>
      </c>
      <c r="B22" s="1">
        <v>6.96</v>
      </c>
    </row>
    <row r="23" spans="1:5" x14ac:dyDescent="0.2">
      <c r="A23" s="1" t="s">
        <v>77</v>
      </c>
      <c r="B23" s="1">
        <v>4.26</v>
      </c>
    </row>
    <row r="24" spans="1:5" x14ac:dyDescent="0.2">
      <c r="A24" s="1" t="s">
        <v>78</v>
      </c>
      <c r="B24" s="1">
        <v>2.54</v>
      </c>
    </row>
    <row r="25" spans="1:5" x14ac:dyDescent="0.2">
      <c r="A25" s="1" t="s">
        <v>79</v>
      </c>
      <c r="B25" s="1">
        <v>2.2799999999999998</v>
      </c>
    </row>
    <row r="26" spans="1:5" x14ac:dyDescent="0.2">
      <c r="A26" s="31" t="s">
        <v>80</v>
      </c>
      <c r="B26" s="31" t="s">
        <v>68</v>
      </c>
      <c r="C26" s="34" t="s">
        <v>95</v>
      </c>
      <c r="D26" s="34"/>
      <c r="E26" s="34" t="s">
        <v>112</v>
      </c>
    </row>
    <row r="27" spans="1:5" x14ac:dyDescent="0.2">
      <c r="A27" s="1" t="s">
        <v>81</v>
      </c>
      <c r="B27" s="1">
        <v>38.99</v>
      </c>
    </row>
    <row r="28" spans="1:5" x14ac:dyDescent="0.2">
      <c r="A28" s="1" t="s">
        <v>82</v>
      </c>
      <c r="B28" s="1">
        <v>36.950000000000003</v>
      </c>
    </row>
    <row r="29" spans="1:5" x14ac:dyDescent="0.2">
      <c r="A29" s="1" t="s">
        <v>83</v>
      </c>
      <c r="B29" s="1">
        <v>31.77</v>
      </c>
    </row>
    <row r="30" spans="1:5" x14ac:dyDescent="0.2">
      <c r="A30" s="1" t="s">
        <v>84</v>
      </c>
      <c r="B30" s="1">
        <v>33.520000000000003</v>
      </c>
    </row>
    <row r="31" spans="1:5" x14ac:dyDescent="0.2">
      <c r="A31" s="1" t="s">
        <v>85</v>
      </c>
      <c r="B31" s="1">
        <v>31.68</v>
      </c>
    </row>
    <row r="32" spans="1:5" x14ac:dyDescent="0.2">
      <c r="A32" s="1" t="s">
        <v>86</v>
      </c>
      <c r="B32" s="1">
        <v>29.57</v>
      </c>
    </row>
    <row r="33" spans="1:11" x14ac:dyDescent="0.2">
      <c r="A33" s="1" t="s">
        <v>87</v>
      </c>
      <c r="B33" s="1">
        <v>30.6</v>
      </c>
    </row>
    <row r="34" spans="1:11" x14ac:dyDescent="0.2">
      <c r="A34" s="1" t="s">
        <v>88</v>
      </c>
      <c r="B34" s="1">
        <v>32.369999999999997</v>
      </c>
    </row>
    <row r="35" spans="1:11" x14ac:dyDescent="0.2">
      <c r="A35" s="1" t="s">
        <v>89</v>
      </c>
      <c r="B35" s="1">
        <v>30.9</v>
      </c>
    </row>
    <row r="36" spans="1:11" x14ac:dyDescent="0.2">
      <c r="A36" s="1" t="s">
        <v>90</v>
      </c>
      <c r="B36" s="1">
        <v>30.76</v>
      </c>
    </row>
    <row r="37" spans="1:11" x14ac:dyDescent="0.2">
      <c r="A37" s="1" t="s">
        <v>91</v>
      </c>
      <c r="B37" s="1">
        <v>33.89</v>
      </c>
    </row>
    <row r="38" spans="1:11" x14ac:dyDescent="0.2">
      <c r="A38" s="1" t="s">
        <v>92</v>
      </c>
      <c r="B38" s="1" t="s">
        <v>68</v>
      </c>
    </row>
    <row r="40" spans="1:11" s="34" customFormat="1" x14ac:dyDescent="0.2">
      <c r="A40" s="31"/>
      <c r="B40" s="38"/>
      <c r="C40" s="31"/>
      <c r="D40" s="31" t="s">
        <v>113</v>
      </c>
      <c r="F40" s="31"/>
      <c r="G40" s="31"/>
      <c r="H40" s="39"/>
      <c r="J40" s="39"/>
    </row>
    <row r="41" spans="1:11" x14ac:dyDescent="0.2">
      <c r="A41" s="1"/>
      <c r="B41" s="1"/>
      <c r="C41" s="1"/>
      <c r="D41" s="1"/>
      <c r="F41" s="1"/>
      <c r="G41" s="1"/>
      <c r="H41" s="40"/>
      <c r="J41" s="40"/>
    </row>
    <row r="42" spans="1:11" x14ac:dyDescent="0.2">
      <c r="A42" s="1"/>
      <c r="B42" s="41" t="s">
        <v>96</v>
      </c>
      <c r="C42" s="1" t="s">
        <v>97</v>
      </c>
      <c r="D42" s="1"/>
      <c r="F42" s="1"/>
      <c r="G42" s="1"/>
      <c r="H42" s="40"/>
      <c r="J42" s="40"/>
    </row>
    <row r="43" spans="1:11" x14ac:dyDescent="0.2">
      <c r="A43" s="1"/>
      <c r="B43" s="41" t="s">
        <v>98</v>
      </c>
      <c r="C43" s="42" t="s">
        <v>99</v>
      </c>
      <c r="D43" s="1"/>
      <c r="F43" s="1"/>
      <c r="G43" s="1"/>
      <c r="H43" s="40"/>
      <c r="J43" s="40"/>
    </row>
    <row r="44" spans="1:11" ht="32" x14ac:dyDescent="0.2">
      <c r="A44" s="1"/>
      <c r="B44" s="35" t="s">
        <v>54</v>
      </c>
      <c r="C44" s="1" t="s">
        <v>100</v>
      </c>
      <c r="D44" s="35" t="s">
        <v>101</v>
      </c>
      <c r="E44" s="37" t="s">
        <v>94</v>
      </c>
      <c r="F44" s="1"/>
      <c r="G44" s="1"/>
      <c r="H44" s="40"/>
      <c r="I44" s="37" t="s">
        <v>94</v>
      </c>
      <c r="J44" s="43" t="s">
        <v>101</v>
      </c>
      <c r="K44" s="1" t="s">
        <v>102</v>
      </c>
    </row>
    <row r="45" spans="1:11" x14ac:dyDescent="0.2">
      <c r="A45" s="1"/>
      <c r="B45" s="1" t="s">
        <v>56</v>
      </c>
      <c r="C45" s="1">
        <v>10000000000</v>
      </c>
      <c r="D45" s="30">
        <f t="shared" ref="D45:D55" si="1">PRODUCT(59198820349,1/C45)</f>
        <v>5.9198820349000005</v>
      </c>
      <c r="E45" s="37">
        <v>30.284999999999997</v>
      </c>
      <c r="F45" s="1"/>
      <c r="G45" s="1"/>
      <c r="H45" s="40"/>
      <c r="I45" s="37">
        <v>30.284999999999997</v>
      </c>
      <c r="J45" s="30">
        <v>5.9198820349000005</v>
      </c>
      <c r="K45" s="44">
        <f>LOG(J45)</f>
        <v>0.77231305265156369</v>
      </c>
    </row>
    <row r="46" spans="1:11" x14ac:dyDescent="0.2">
      <c r="A46" s="1"/>
      <c r="B46" s="1" t="s">
        <v>57</v>
      </c>
      <c r="C46" s="1">
        <v>1000000000</v>
      </c>
      <c r="D46" s="30">
        <f t="shared" si="1"/>
        <v>59.198820349000002</v>
      </c>
      <c r="E46" s="37">
        <v>26.14</v>
      </c>
      <c r="F46" s="1"/>
      <c r="G46" s="1"/>
      <c r="H46" s="40"/>
      <c r="I46" s="37">
        <v>26.14</v>
      </c>
      <c r="J46" s="30">
        <v>59.198820349000002</v>
      </c>
      <c r="K46" s="44">
        <f>LOG(J46)</f>
        <v>1.7723130526515638</v>
      </c>
    </row>
    <row r="47" spans="1:11" x14ac:dyDescent="0.2">
      <c r="A47" s="1"/>
      <c r="B47" s="1" t="s">
        <v>58</v>
      </c>
      <c r="C47" s="1">
        <v>100000000</v>
      </c>
      <c r="D47" s="30">
        <f t="shared" si="1"/>
        <v>591.98820349000005</v>
      </c>
      <c r="E47" s="37">
        <v>23.36</v>
      </c>
      <c r="F47" s="1"/>
      <c r="G47" s="1"/>
      <c r="H47" s="40"/>
      <c r="I47" s="37">
        <v>23.36</v>
      </c>
      <c r="J47" s="30">
        <v>591.98820349000005</v>
      </c>
      <c r="K47" s="44">
        <f t="shared" ref="K47:K55" si="2">LOG(J47)</f>
        <v>2.7723130526515636</v>
      </c>
    </row>
    <row r="48" spans="1:11" x14ac:dyDescent="0.2">
      <c r="A48" s="1"/>
      <c r="B48" s="1" t="s">
        <v>59</v>
      </c>
      <c r="C48" s="1">
        <v>10000000</v>
      </c>
      <c r="D48" s="30">
        <f t="shared" si="1"/>
        <v>5919.8820348999998</v>
      </c>
      <c r="E48" s="37">
        <v>21.130000000000003</v>
      </c>
      <c r="F48" s="1"/>
      <c r="G48" s="1"/>
      <c r="H48" s="40"/>
      <c r="I48" s="37">
        <v>21.130000000000003</v>
      </c>
      <c r="J48" s="30">
        <v>5919.8820348999998</v>
      </c>
      <c r="K48" s="44">
        <f t="shared" si="2"/>
        <v>3.7723130526515636</v>
      </c>
    </row>
    <row r="49" spans="1:11" x14ac:dyDescent="0.2">
      <c r="A49" s="1"/>
      <c r="B49" s="1" t="s">
        <v>60</v>
      </c>
      <c r="C49" s="1">
        <v>1000000</v>
      </c>
      <c r="D49" s="30">
        <f t="shared" si="1"/>
        <v>59198.820348999994</v>
      </c>
      <c r="E49" s="37">
        <v>18.755000000000003</v>
      </c>
      <c r="H49" s="40"/>
      <c r="I49" s="37">
        <v>18.755000000000003</v>
      </c>
      <c r="J49" s="30">
        <v>59198.820348999994</v>
      </c>
      <c r="K49" s="44">
        <f t="shared" si="2"/>
        <v>4.7723130526515636</v>
      </c>
    </row>
    <row r="50" spans="1:11" x14ac:dyDescent="0.2">
      <c r="A50" s="1"/>
      <c r="B50" s="1" t="s">
        <v>61</v>
      </c>
      <c r="C50" s="1">
        <v>100000</v>
      </c>
      <c r="D50" s="30">
        <f t="shared" si="1"/>
        <v>591988.2034900001</v>
      </c>
      <c r="E50" s="37">
        <v>15.45</v>
      </c>
      <c r="H50" s="40"/>
      <c r="I50" s="37">
        <v>15.45</v>
      </c>
      <c r="J50" s="30">
        <v>591988.2034900001</v>
      </c>
      <c r="K50" s="44">
        <f t="shared" si="2"/>
        <v>5.7723130526515636</v>
      </c>
    </row>
    <row r="51" spans="1:11" x14ac:dyDescent="0.2">
      <c r="A51" s="1"/>
      <c r="B51" s="1" t="s">
        <v>62</v>
      </c>
      <c r="C51" s="1">
        <v>10000</v>
      </c>
      <c r="D51" s="30">
        <f t="shared" si="1"/>
        <v>5919882.0349000003</v>
      </c>
      <c r="E51" s="37">
        <v>11.469999999999999</v>
      </c>
      <c r="H51" s="40"/>
      <c r="I51" s="37">
        <v>11.469999999999999</v>
      </c>
      <c r="J51" s="30">
        <v>5919882.0349000003</v>
      </c>
      <c r="K51" s="44">
        <f t="shared" si="2"/>
        <v>6.7723130526515636</v>
      </c>
    </row>
    <row r="52" spans="1:11" x14ac:dyDescent="0.2">
      <c r="A52" s="1"/>
      <c r="B52" s="1" t="s">
        <v>63</v>
      </c>
      <c r="C52" s="1">
        <v>1000</v>
      </c>
      <c r="D52" s="30">
        <f t="shared" si="1"/>
        <v>59198820.348999999</v>
      </c>
      <c r="E52" s="37">
        <v>7.4249999999999998</v>
      </c>
      <c r="H52" s="40"/>
      <c r="I52" s="37">
        <v>7.4249999999999998</v>
      </c>
      <c r="J52" s="30">
        <v>59198820.348999999</v>
      </c>
      <c r="K52" s="44">
        <f t="shared" si="2"/>
        <v>7.7723130526515636</v>
      </c>
    </row>
    <row r="53" spans="1:11" x14ac:dyDescent="0.2">
      <c r="A53" s="1"/>
      <c r="B53" s="1" t="s">
        <v>64</v>
      </c>
      <c r="C53" s="1">
        <v>100</v>
      </c>
      <c r="D53" s="30">
        <f t="shared" si="1"/>
        <v>591988203.49000001</v>
      </c>
      <c r="E53" s="37">
        <v>4.8249999999999993</v>
      </c>
      <c r="H53" s="40"/>
      <c r="I53" s="37">
        <v>4.8249999999999993</v>
      </c>
      <c r="J53" s="30">
        <v>591988203.49000001</v>
      </c>
      <c r="K53" s="44">
        <f t="shared" si="2"/>
        <v>8.7723130526515636</v>
      </c>
    </row>
    <row r="54" spans="1:11" x14ac:dyDescent="0.2">
      <c r="A54" s="1"/>
      <c r="B54" s="1" t="s">
        <v>65</v>
      </c>
      <c r="C54" s="1">
        <v>10</v>
      </c>
      <c r="D54" s="30">
        <f t="shared" si="1"/>
        <v>5919882034.9000006</v>
      </c>
      <c r="E54" s="37">
        <v>3.65</v>
      </c>
      <c r="H54" s="40"/>
      <c r="I54" s="37">
        <v>3.65</v>
      </c>
      <c r="J54" s="30">
        <v>5919882034.9000006</v>
      </c>
      <c r="K54" s="44">
        <f t="shared" si="2"/>
        <v>9.7723130526515636</v>
      </c>
    </row>
    <row r="55" spans="1:11" x14ac:dyDescent="0.2">
      <c r="A55" s="1"/>
      <c r="B55" s="1" t="s">
        <v>66</v>
      </c>
      <c r="C55" s="1">
        <v>1</v>
      </c>
      <c r="D55" s="30">
        <f t="shared" si="1"/>
        <v>59198820349</v>
      </c>
      <c r="E55" s="37">
        <v>2.2850000000000001</v>
      </c>
      <c r="H55" s="40"/>
      <c r="I55" s="37">
        <v>2.2850000000000001</v>
      </c>
      <c r="J55" s="30">
        <v>59198820349</v>
      </c>
      <c r="K55" s="44">
        <f t="shared" si="2"/>
        <v>10.772313052651564</v>
      </c>
    </row>
    <row r="56" spans="1:11" x14ac:dyDescent="0.2">
      <c r="A56" s="1"/>
      <c r="B56" s="1"/>
      <c r="C56" s="56"/>
      <c r="D56" s="1"/>
      <c r="E56" s="57"/>
      <c r="H56" s="40"/>
      <c r="J56" s="40"/>
    </row>
    <row r="57" spans="1:11" x14ac:dyDescent="0.2">
      <c r="A57" s="1"/>
      <c r="B57" s="46" t="s">
        <v>205</v>
      </c>
      <c r="C57" s="1"/>
      <c r="D57" s="1"/>
      <c r="H57" s="40"/>
      <c r="I57" s="37" t="s">
        <v>94</v>
      </c>
      <c r="J57" s="44" t="s">
        <v>102</v>
      </c>
      <c r="K57" s="37"/>
    </row>
    <row r="58" spans="1:11" x14ac:dyDescent="0.2">
      <c r="A58" s="1"/>
      <c r="B58" s="1"/>
      <c r="C58" s="1"/>
      <c r="D58" s="1"/>
      <c r="H58" s="40"/>
      <c r="I58" s="37">
        <v>30.284999999999997</v>
      </c>
      <c r="J58" s="44">
        <v>0.77231305265156369</v>
      </c>
      <c r="K58" s="37"/>
    </row>
    <row r="59" spans="1:11" x14ac:dyDescent="0.2">
      <c r="A59" s="1"/>
      <c r="B59" s="46" t="s">
        <v>103</v>
      </c>
      <c r="C59" s="1"/>
      <c r="D59" s="84" t="s">
        <v>104</v>
      </c>
      <c r="H59" s="40"/>
      <c r="I59" s="37">
        <v>26.14</v>
      </c>
      <c r="J59" s="44">
        <v>1.7723130526515638</v>
      </c>
      <c r="K59" s="37"/>
    </row>
    <row r="60" spans="1:11" ht="17" customHeight="1" x14ac:dyDescent="0.2">
      <c r="A60" s="1"/>
      <c r="B60" s="1"/>
      <c r="C60" s="1"/>
      <c r="D60" s="84"/>
      <c r="H60" s="40"/>
      <c r="I60" s="37">
        <v>23.36</v>
      </c>
      <c r="J60" s="44">
        <v>2.7723130526515636</v>
      </c>
      <c r="K60" s="37"/>
    </row>
    <row r="61" spans="1:11" x14ac:dyDescent="0.2">
      <c r="A61" s="1"/>
      <c r="B61" s="37" t="s">
        <v>94</v>
      </c>
      <c r="C61" s="44" t="s">
        <v>102</v>
      </c>
      <c r="D61" s="47"/>
      <c r="H61" s="40"/>
      <c r="I61" s="37">
        <v>21.130000000000003</v>
      </c>
      <c r="J61" s="44">
        <v>3.7723130526515636</v>
      </c>
      <c r="K61" s="37"/>
    </row>
    <row r="62" spans="1:11" x14ac:dyDescent="0.2">
      <c r="A62" s="1"/>
      <c r="B62" s="37">
        <v>30.284999999999997</v>
      </c>
      <c r="C62" s="1">
        <f>((-0.3395*B62)+10.858)</f>
        <v>0.5762425000000011</v>
      </c>
      <c r="D62" s="47">
        <f>10^C62</f>
        <v>3.7691420041395429</v>
      </c>
      <c r="H62" s="40"/>
      <c r="I62" s="37">
        <v>18.755000000000003</v>
      </c>
      <c r="J62" s="44">
        <v>4.7723130526515636</v>
      </c>
      <c r="K62" s="37"/>
    </row>
    <row r="63" spans="1:11" x14ac:dyDescent="0.2">
      <c r="A63" s="1"/>
      <c r="B63" s="37">
        <v>26.14</v>
      </c>
      <c r="C63" s="1">
        <f t="shared" ref="C63:C72" si="3">((-0.3395*B63)+10.858)</f>
        <v>1.9834700000000005</v>
      </c>
      <c r="D63" s="47">
        <f t="shared" ref="D63:D72" si="4">10^C63</f>
        <v>96.265351292765985</v>
      </c>
      <c r="E63" s="48"/>
      <c r="H63" s="40"/>
      <c r="I63" s="37">
        <v>15.45</v>
      </c>
      <c r="J63" s="44">
        <v>5.7723130526515636</v>
      </c>
      <c r="K63" s="37"/>
    </row>
    <row r="64" spans="1:11" x14ac:dyDescent="0.2">
      <c r="A64" s="1"/>
      <c r="B64" s="37">
        <v>23.36</v>
      </c>
      <c r="C64" s="1">
        <f t="shared" si="3"/>
        <v>2.9272800000000005</v>
      </c>
      <c r="D64" s="47">
        <f t="shared" si="4"/>
        <v>845.82399228719999</v>
      </c>
      <c r="H64" s="40"/>
      <c r="I64" s="37">
        <v>11.469999999999999</v>
      </c>
      <c r="J64" s="44">
        <v>6.7723130526515636</v>
      </c>
      <c r="K64" s="37"/>
    </row>
    <row r="65" spans="1:11" x14ac:dyDescent="0.2">
      <c r="A65" s="1"/>
      <c r="B65" s="37">
        <v>21.130000000000003</v>
      </c>
      <c r="C65" s="1">
        <f t="shared" si="3"/>
        <v>3.6843649999999988</v>
      </c>
      <c r="D65" s="47">
        <f t="shared" si="4"/>
        <v>4834.6495634951616</v>
      </c>
      <c r="H65" s="40"/>
      <c r="I65" s="37">
        <v>7.4249999999999998</v>
      </c>
      <c r="J65" s="44">
        <v>7.7723130526515636</v>
      </c>
      <c r="K65" s="37"/>
    </row>
    <row r="66" spans="1:11" x14ac:dyDescent="0.2">
      <c r="A66" s="1"/>
      <c r="B66" s="37">
        <v>18.755000000000003</v>
      </c>
      <c r="C66" s="1">
        <f t="shared" si="3"/>
        <v>4.4906774999999994</v>
      </c>
      <c r="D66" s="47">
        <f t="shared" si="4"/>
        <v>30951.200599506257</v>
      </c>
      <c r="H66" s="40"/>
      <c r="I66" s="37">
        <v>4.8249999999999993</v>
      </c>
      <c r="J66" s="44">
        <v>8.7723130526515636</v>
      </c>
      <c r="K66" s="37"/>
    </row>
    <row r="67" spans="1:11" x14ac:dyDescent="0.2">
      <c r="A67" s="1"/>
      <c r="B67" s="37">
        <v>15.45</v>
      </c>
      <c r="C67" s="1">
        <f t="shared" si="3"/>
        <v>5.6127250000000002</v>
      </c>
      <c r="D67" s="47">
        <f t="shared" si="4"/>
        <v>409944.43949668854</v>
      </c>
      <c r="H67" s="40"/>
      <c r="I67" s="37">
        <v>3.65</v>
      </c>
      <c r="J67" s="44">
        <v>9.7723130526515636</v>
      </c>
      <c r="K67" s="37"/>
    </row>
    <row r="68" spans="1:11" x14ac:dyDescent="0.2">
      <c r="A68" s="1"/>
      <c r="B68" s="37">
        <v>11.469999999999999</v>
      </c>
      <c r="C68" s="1">
        <f t="shared" si="3"/>
        <v>6.9639350000000011</v>
      </c>
      <c r="D68" s="47">
        <f t="shared" si="4"/>
        <v>9203118.2018685341</v>
      </c>
      <c r="H68" s="40"/>
      <c r="I68" s="37">
        <v>2.2850000000000001</v>
      </c>
      <c r="J68" s="44">
        <v>10.772313052651564</v>
      </c>
      <c r="K68" s="37"/>
    </row>
    <row r="69" spans="1:11" x14ac:dyDescent="0.2">
      <c r="A69" s="1"/>
      <c r="B69" s="37">
        <v>7.4249999999999998</v>
      </c>
      <c r="C69" s="1">
        <f t="shared" si="3"/>
        <v>8.3372124999999997</v>
      </c>
      <c r="D69" s="47">
        <f t="shared" si="4"/>
        <v>217376454.02295554</v>
      </c>
      <c r="H69" s="40"/>
      <c r="J69" s="40"/>
    </row>
    <row r="70" spans="1:11" x14ac:dyDescent="0.2">
      <c r="A70" s="1"/>
      <c r="B70" s="37">
        <v>4.8249999999999993</v>
      </c>
      <c r="C70" s="1">
        <f t="shared" si="3"/>
        <v>9.2199125000000013</v>
      </c>
      <c r="D70" s="47">
        <f t="shared" si="4"/>
        <v>1659252573.8623917</v>
      </c>
      <c r="H70" s="40"/>
      <c r="J70" s="40"/>
    </row>
    <row r="71" spans="1:11" x14ac:dyDescent="0.2">
      <c r="A71" s="1"/>
      <c r="B71" s="37">
        <v>3.65</v>
      </c>
      <c r="C71" s="1">
        <f t="shared" si="3"/>
        <v>9.6188250000000011</v>
      </c>
      <c r="D71" s="47">
        <f t="shared" si="4"/>
        <v>4157430520.8026814</v>
      </c>
      <c r="H71" s="40"/>
      <c r="I71" s="1"/>
      <c r="J71" s="37"/>
    </row>
    <row r="72" spans="1:11" x14ac:dyDescent="0.2">
      <c r="A72" s="1"/>
      <c r="B72" s="37">
        <v>2.2850000000000001</v>
      </c>
      <c r="C72" s="1">
        <f t="shared" si="3"/>
        <v>10.0822425</v>
      </c>
      <c r="D72" s="47">
        <f t="shared" si="4"/>
        <v>12084884387.577671</v>
      </c>
      <c r="H72" s="40"/>
      <c r="I72" s="1"/>
      <c r="J72" s="37"/>
    </row>
    <row r="73" spans="1:11" x14ac:dyDescent="0.2">
      <c r="A73" s="1"/>
      <c r="B73" s="1"/>
      <c r="C73" s="1"/>
      <c r="D73" s="1"/>
      <c r="H73" s="40"/>
      <c r="I73" s="1"/>
      <c r="J73" s="37"/>
    </row>
    <row r="74" spans="1:11" ht="16" thickBot="1" x14ac:dyDescent="0.25">
      <c r="A74" s="1"/>
      <c r="B74" s="1"/>
      <c r="C74" s="1"/>
      <c r="D74" s="1"/>
      <c r="H74" s="40"/>
      <c r="I74" s="1"/>
      <c r="J74" s="37"/>
    </row>
    <row r="75" spans="1:11" x14ac:dyDescent="0.2">
      <c r="A75" s="1"/>
      <c r="B75" s="50" t="s">
        <v>105</v>
      </c>
      <c r="C75" s="51"/>
      <c r="D75" s="1"/>
      <c r="H75" s="40"/>
      <c r="I75" s="1"/>
      <c r="J75" s="37"/>
    </row>
    <row r="76" spans="1:11" x14ac:dyDescent="0.2">
      <c r="A76" s="1"/>
      <c r="B76" s="52" t="s">
        <v>111</v>
      </c>
      <c r="C76" s="53"/>
      <c r="D76" s="1"/>
      <c r="H76" s="40"/>
      <c r="I76" s="1"/>
      <c r="J76" s="37"/>
    </row>
    <row r="77" spans="1:11" x14ac:dyDescent="0.2">
      <c r="A77" s="1"/>
      <c r="B77" s="52" t="s">
        <v>106</v>
      </c>
      <c r="C77" s="53"/>
      <c r="D77" s="1"/>
      <c r="H77" s="40"/>
      <c r="I77" s="1"/>
      <c r="J77" s="37"/>
    </row>
    <row r="78" spans="1:11" ht="16" thickBot="1" x14ac:dyDescent="0.25">
      <c r="A78" s="1"/>
      <c r="B78" s="54" t="s">
        <v>107</v>
      </c>
      <c r="C78" s="55"/>
      <c r="D78" s="1"/>
      <c r="H78" s="40"/>
      <c r="I78" s="1"/>
      <c r="J78" s="37"/>
    </row>
    <row r="79" spans="1:11" x14ac:dyDescent="0.2">
      <c r="A79" s="1"/>
      <c r="B79" s="1"/>
      <c r="C79" s="1"/>
      <c r="D79" s="1"/>
      <c r="H79" s="40"/>
      <c r="I79" s="1"/>
      <c r="J79" s="37"/>
    </row>
    <row r="80" spans="1:11" x14ac:dyDescent="0.2">
      <c r="A80" s="1"/>
      <c r="B80" s="1"/>
      <c r="C80" s="1"/>
      <c r="D80" s="1"/>
      <c r="H80" s="40"/>
      <c r="I80" s="1"/>
      <c r="J80" s="37"/>
    </row>
    <row r="81" spans="1:16" s="34" customFormat="1" x14ac:dyDescent="0.2">
      <c r="A81" s="31"/>
      <c r="B81" s="38" t="s">
        <v>114</v>
      </c>
      <c r="C81" s="31"/>
      <c r="D81" s="31"/>
      <c r="H81" s="39"/>
      <c r="J81" s="39"/>
    </row>
    <row r="82" spans="1:16" x14ac:dyDescent="0.2">
      <c r="A82" s="1"/>
      <c r="B82" s="1"/>
      <c r="C82" s="1"/>
      <c r="D82" s="1"/>
      <c r="H82" s="40"/>
      <c r="J82" s="40"/>
    </row>
    <row r="83" spans="1:16" ht="32" x14ac:dyDescent="0.2">
      <c r="A83" s="1"/>
      <c r="B83" s="35" t="s">
        <v>54</v>
      </c>
      <c r="C83" s="35" t="s">
        <v>55</v>
      </c>
      <c r="D83" s="35" t="s">
        <v>110</v>
      </c>
      <c r="E83" s="35" t="s">
        <v>108</v>
      </c>
      <c r="F83" s="35" t="s">
        <v>109</v>
      </c>
      <c r="H83" s="40"/>
      <c r="J83" s="40"/>
    </row>
    <row r="84" spans="1:16" x14ac:dyDescent="0.2">
      <c r="A84" s="1"/>
      <c r="B84" s="1" t="s">
        <v>81</v>
      </c>
      <c r="C84" s="1">
        <v>38.99</v>
      </c>
      <c r="D84" s="1" t="s">
        <v>23</v>
      </c>
      <c r="E84" s="31">
        <f>((-0.3395*C84)+10.858)</f>
        <v>-2.3791050000000009</v>
      </c>
      <c r="F84" s="47">
        <f t="shared" ref="F84:F94" si="5">10^E84</f>
        <v>4.1772935941021255E-3</v>
      </c>
      <c r="H84" s="40"/>
      <c r="J84" s="40"/>
    </row>
    <row r="85" spans="1:16" x14ac:dyDescent="0.2">
      <c r="A85" s="1"/>
      <c r="B85" s="1" t="s">
        <v>82</v>
      </c>
      <c r="C85" s="1">
        <v>36.950000000000003</v>
      </c>
      <c r="D85" s="1" t="s">
        <v>23</v>
      </c>
      <c r="E85" s="31">
        <f t="shared" ref="E85:E94" si="6">((-0.3395*C85)+10.858)</f>
        <v>-1.6865250000000014</v>
      </c>
      <c r="F85" s="47">
        <f t="shared" si="5"/>
        <v>2.0581404110462224E-2</v>
      </c>
      <c r="H85" s="40"/>
      <c r="J85" s="40"/>
    </row>
    <row r="86" spans="1:16" x14ac:dyDescent="0.2">
      <c r="A86" s="1"/>
      <c r="B86" s="1" t="s">
        <v>83</v>
      </c>
      <c r="C86" s="1">
        <v>31.77</v>
      </c>
      <c r="D86" s="1">
        <v>7</v>
      </c>
      <c r="E86" s="31">
        <f t="shared" si="6"/>
        <v>7.2084999999999511E-2</v>
      </c>
      <c r="F86" s="47">
        <v>0</v>
      </c>
      <c r="H86" s="40"/>
      <c r="J86" s="40"/>
    </row>
    <row r="87" spans="1:16" x14ac:dyDescent="0.2">
      <c r="A87" s="1"/>
      <c r="B87" s="1" t="s">
        <v>84</v>
      </c>
      <c r="C87" s="1">
        <v>33.520000000000003</v>
      </c>
      <c r="D87" s="1">
        <v>8</v>
      </c>
      <c r="E87" s="31">
        <f t="shared" si="6"/>
        <v>-0.5220400000000005</v>
      </c>
      <c r="F87" s="47">
        <f t="shared" si="5"/>
        <v>0.30057994455188503</v>
      </c>
      <c r="H87" s="40"/>
      <c r="J87" s="40"/>
    </row>
    <row r="88" spans="1:16" x14ac:dyDescent="0.2">
      <c r="A88" s="1"/>
      <c r="B88" s="1" t="s">
        <v>85</v>
      </c>
      <c r="C88" s="1">
        <v>31.68</v>
      </c>
      <c r="D88" s="1" t="s">
        <v>163</v>
      </c>
      <c r="E88" s="31">
        <f t="shared" si="6"/>
        <v>0.10263999999999918</v>
      </c>
      <c r="F88" s="47">
        <f t="shared" si="5"/>
        <v>1.26660150579161</v>
      </c>
      <c r="H88" s="75"/>
      <c r="I88" s="76"/>
      <c r="J88" s="75"/>
      <c r="K88" s="76"/>
      <c r="L88" s="76"/>
      <c r="M88" s="76"/>
      <c r="N88" s="76"/>
      <c r="O88" s="76"/>
      <c r="P88" s="76"/>
    </row>
    <row r="89" spans="1:16" x14ac:dyDescent="0.2">
      <c r="A89" s="1"/>
      <c r="B89" s="1" t="s">
        <v>86</v>
      </c>
      <c r="C89" s="1">
        <v>29.57</v>
      </c>
      <c r="D89" s="1" t="s">
        <v>164</v>
      </c>
      <c r="E89" s="31">
        <f t="shared" si="6"/>
        <v>0.81898499999999963</v>
      </c>
      <c r="F89" s="47">
        <f t="shared" si="5"/>
        <v>6.5915112857771634</v>
      </c>
      <c r="H89" s="70"/>
      <c r="I89" s="70"/>
      <c r="J89" s="70"/>
      <c r="K89" s="70"/>
      <c r="L89" s="70"/>
      <c r="M89" s="70"/>
      <c r="N89" s="70"/>
      <c r="O89" s="70"/>
      <c r="P89" s="70"/>
    </row>
    <row r="90" spans="1:16" x14ac:dyDescent="0.2">
      <c r="B90" s="1" t="s">
        <v>87</v>
      </c>
      <c r="C90" s="1">
        <v>30.6</v>
      </c>
      <c r="D90" s="1" t="s">
        <v>156</v>
      </c>
      <c r="E90" s="31">
        <f t="shared" si="6"/>
        <v>0.46929999999999872</v>
      </c>
      <c r="F90" s="47">
        <f t="shared" si="5"/>
        <v>2.9464562708650361</v>
      </c>
      <c r="H90" s="70"/>
      <c r="I90" s="77"/>
      <c r="J90" s="78"/>
      <c r="K90" s="70"/>
      <c r="L90" s="70"/>
      <c r="M90" s="70"/>
      <c r="N90" s="70"/>
      <c r="O90" s="70"/>
      <c r="P90" s="70"/>
    </row>
    <row r="91" spans="1:16" x14ac:dyDescent="0.2">
      <c r="B91" s="1" t="s">
        <v>88</v>
      </c>
      <c r="C91" s="1">
        <v>32.369999999999997</v>
      </c>
      <c r="D91" s="1" t="s">
        <v>165</v>
      </c>
      <c r="E91" s="31">
        <f t="shared" si="6"/>
        <v>-0.13161500000000004</v>
      </c>
      <c r="F91" s="47">
        <f t="shared" si="5"/>
        <v>0.73855866876755349</v>
      </c>
    </row>
    <row r="92" spans="1:16" x14ac:dyDescent="0.2">
      <c r="B92" s="1" t="s">
        <v>89</v>
      </c>
      <c r="C92" s="1">
        <v>30.9</v>
      </c>
      <c r="D92" s="1" t="s">
        <v>166</v>
      </c>
      <c r="E92" s="31">
        <f t="shared" si="6"/>
        <v>0.36744999999999983</v>
      </c>
      <c r="F92" s="47">
        <f t="shared" si="5"/>
        <v>2.3305047905574261</v>
      </c>
    </row>
    <row r="93" spans="1:16" x14ac:dyDescent="0.2">
      <c r="B93" s="1" t="s">
        <v>90</v>
      </c>
      <c r="C93" s="1">
        <v>30.76</v>
      </c>
      <c r="D93" s="1" t="s">
        <v>167</v>
      </c>
      <c r="E93" s="31">
        <f t="shared" si="6"/>
        <v>0.4149799999999999</v>
      </c>
      <c r="F93" s="47">
        <f t="shared" si="5"/>
        <v>2.6000398241493947</v>
      </c>
    </row>
    <row r="94" spans="1:16" x14ac:dyDescent="0.2">
      <c r="B94" s="1" t="s">
        <v>91</v>
      </c>
      <c r="C94" s="1">
        <v>33.89</v>
      </c>
      <c r="D94" s="1" t="s">
        <v>176</v>
      </c>
      <c r="E94" s="31">
        <f t="shared" si="6"/>
        <v>-0.64765500000000031</v>
      </c>
      <c r="F94" s="47">
        <f t="shared" si="5"/>
        <v>0.22508419463311646</v>
      </c>
    </row>
    <row r="97" spans="2:2" x14ac:dyDescent="0.2">
      <c r="B97" s="46" t="s">
        <v>115</v>
      </c>
    </row>
  </sheetData>
  <mergeCells count="1">
    <mergeCell ref="D59:D6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G20"/>
  <sheetViews>
    <sheetView workbookViewId="0">
      <selection activeCell="F8" sqref="F8"/>
    </sheetView>
  </sheetViews>
  <sheetFormatPr baseColWidth="10" defaultRowHeight="15" x14ac:dyDescent="0.2"/>
  <cols>
    <col min="2" max="2" width="18.1640625" customWidth="1"/>
    <col min="5" max="5" width="25.83203125" customWidth="1"/>
  </cols>
  <sheetData>
    <row r="4" spans="2:7" x14ac:dyDescent="0.2">
      <c r="B4" t="s">
        <v>168</v>
      </c>
      <c r="C4" s="19">
        <v>30</v>
      </c>
      <c r="E4" t="s">
        <v>169</v>
      </c>
      <c r="F4" s="19"/>
    </row>
    <row r="5" spans="2:7" x14ac:dyDescent="0.2">
      <c r="C5" s="19"/>
      <c r="F5" s="19"/>
    </row>
    <row r="6" spans="2:7" x14ac:dyDescent="0.2">
      <c r="C6" s="19"/>
      <c r="E6" t="s">
        <v>34</v>
      </c>
      <c r="F6" s="19">
        <v>650</v>
      </c>
    </row>
    <row r="7" spans="2:7" x14ac:dyDescent="0.2">
      <c r="C7" s="19"/>
      <c r="E7" t="s">
        <v>35</v>
      </c>
      <c r="F7" s="19">
        <v>6.0220000000000002</v>
      </c>
    </row>
    <row r="8" spans="2:7" x14ac:dyDescent="0.2">
      <c r="B8" t="s">
        <v>36</v>
      </c>
      <c r="C8" s="30">
        <v>50000</v>
      </c>
      <c r="E8" t="s">
        <v>37</v>
      </c>
      <c r="F8" s="30">
        <f>(C8*650)</f>
        <v>32500000</v>
      </c>
      <c r="G8">
        <v>32500000</v>
      </c>
    </row>
    <row r="9" spans="2:7" x14ac:dyDescent="0.2">
      <c r="C9" s="19"/>
      <c r="F9" s="19"/>
    </row>
    <row r="10" spans="2:7" x14ac:dyDescent="0.2">
      <c r="C10" s="19"/>
      <c r="E10" t="s">
        <v>170</v>
      </c>
      <c r="F10" s="19"/>
    </row>
    <row r="11" spans="2:7" x14ac:dyDescent="0.2">
      <c r="C11" s="19"/>
      <c r="E11" s="19">
        <v>1</v>
      </c>
      <c r="F11" s="30">
        <f>PRODUCT(6.022,10^14,E11,1/32500000)</f>
        <v>18529230.769230768</v>
      </c>
    </row>
    <row r="12" spans="2:7" x14ac:dyDescent="0.2">
      <c r="C12" s="19"/>
      <c r="E12" s="19">
        <v>10</v>
      </c>
      <c r="F12" s="30">
        <f t="shared" ref="F12:F14" si="0">PRODUCT(6.022,10^14,E12,1/32500000)</f>
        <v>185292307.69230771</v>
      </c>
    </row>
    <row r="13" spans="2:7" x14ac:dyDescent="0.2">
      <c r="C13" s="19"/>
      <c r="E13" s="19">
        <v>30</v>
      </c>
      <c r="F13" s="30">
        <f t="shared" si="0"/>
        <v>555876923.07692313</v>
      </c>
    </row>
    <row r="14" spans="2:7" x14ac:dyDescent="0.2">
      <c r="C14" s="19"/>
      <c r="E14" s="19">
        <v>20</v>
      </c>
      <c r="F14" s="30">
        <f t="shared" si="0"/>
        <v>370584615.38461542</v>
      </c>
    </row>
    <row r="15" spans="2:7" x14ac:dyDescent="0.2">
      <c r="C15" s="19"/>
      <c r="F15" s="19"/>
    </row>
    <row r="16" spans="2:7" x14ac:dyDescent="0.2">
      <c r="C16" s="19"/>
      <c r="F16" s="19"/>
    </row>
    <row r="17" spans="2:6" x14ac:dyDescent="0.2">
      <c r="B17" t="s">
        <v>171</v>
      </c>
      <c r="C17" s="19"/>
      <c r="F17" s="19"/>
    </row>
    <row r="18" spans="2:6" x14ac:dyDescent="0.2">
      <c r="B18" t="s">
        <v>172</v>
      </c>
      <c r="C18" s="30">
        <v>30000000</v>
      </c>
      <c r="F18" s="19"/>
    </row>
    <row r="19" spans="2:6" x14ac:dyDescent="0.2">
      <c r="B19" t="s">
        <v>33</v>
      </c>
      <c r="C19" s="30">
        <v>50000</v>
      </c>
      <c r="F19" s="19"/>
    </row>
    <row r="20" spans="2:6" x14ac:dyDescent="0.2">
      <c r="B20" t="s">
        <v>173</v>
      </c>
      <c r="C20" s="30">
        <f>(C18/C19)</f>
        <v>600</v>
      </c>
      <c r="F20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T120"/>
  <sheetViews>
    <sheetView topLeftCell="A57" workbookViewId="0">
      <selection activeCell="N69" sqref="N69:P72"/>
    </sheetView>
  </sheetViews>
  <sheetFormatPr baseColWidth="10" defaultRowHeight="15" x14ac:dyDescent="0.2"/>
  <cols>
    <col min="2" max="2" width="21.1640625" bestFit="1" customWidth="1"/>
    <col min="3" max="3" width="17.1640625" customWidth="1"/>
    <col min="8" max="8" width="7.1640625" customWidth="1"/>
    <col min="9" max="9" width="10.1640625" customWidth="1"/>
    <col min="10" max="20" width="7.1640625" customWidth="1"/>
  </cols>
  <sheetData>
    <row r="4" spans="2:20" x14ac:dyDescent="0.2">
      <c r="B4" t="s">
        <v>190</v>
      </c>
    </row>
    <row r="7" spans="2:20" x14ac:dyDescent="0.2">
      <c r="K7" s="69" t="s">
        <v>191</v>
      </c>
      <c r="L7" s="69" t="s">
        <v>81</v>
      </c>
      <c r="M7" s="69" t="s">
        <v>82</v>
      </c>
      <c r="N7" s="69" t="s">
        <v>117</v>
      </c>
      <c r="O7" s="69" t="s">
        <v>118</v>
      </c>
      <c r="P7" s="69" t="s">
        <v>119</v>
      </c>
      <c r="Q7" s="69" t="s">
        <v>191</v>
      </c>
    </row>
    <row r="8" spans="2:20" x14ac:dyDescent="0.2">
      <c r="C8" t="s">
        <v>140</v>
      </c>
      <c r="D8" t="s">
        <v>141</v>
      </c>
      <c r="K8" s="69"/>
      <c r="L8" s="69"/>
      <c r="M8" s="69"/>
      <c r="N8" s="69"/>
      <c r="O8" s="69"/>
      <c r="P8" s="69"/>
      <c r="Q8" s="69"/>
    </row>
    <row r="9" spans="2:20" x14ac:dyDescent="0.2">
      <c r="C9" t="s">
        <v>117</v>
      </c>
      <c r="D9" t="s">
        <v>142</v>
      </c>
    </row>
    <row r="10" spans="2:20" x14ac:dyDescent="0.2">
      <c r="C10" t="s">
        <v>118</v>
      </c>
      <c r="D10" t="s">
        <v>144</v>
      </c>
    </row>
    <row r="11" spans="2:20" x14ac:dyDescent="0.2">
      <c r="C11" t="s">
        <v>119</v>
      </c>
      <c r="D11" t="s">
        <v>143</v>
      </c>
    </row>
    <row r="16" spans="2:20" x14ac:dyDescent="0.2">
      <c r="T16" t="s">
        <v>192</v>
      </c>
    </row>
    <row r="18" spans="20:20" x14ac:dyDescent="0.2">
      <c r="T18" t="s">
        <v>193</v>
      </c>
    </row>
    <row r="41" spans="2:20" ht="16" thickBot="1" x14ac:dyDescent="0.25">
      <c r="B41" t="s">
        <v>0</v>
      </c>
      <c r="G41" t="s">
        <v>146</v>
      </c>
      <c r="M41" t="s">
        <v>116</v>
      </c>
    </row>
    <row r="42" spans="2:20" ht="16" thickBot="1" x14ac:dyDescent="0.25">
      <c r="B42" s="5" t="s">
        <v>1</v>
      </c>
      <c r="C42" s="6">
        <v>1</v>
      </c>
      <c r="D42" s="6">
        <v>7</v>
      </c>
      <c r="H42" s="1"/>
      <c r="I42" s="2">
        <v>1</v>
      </c>
      <c r="J42" s="3">
        <v>2</v>
      </c>
      <c r="K42" s="3">
        <v>3</v>
      </c>
      <c r="L42" s="3">
        <v>4</v>
      </c>
      <c r="M42" s="3">
        <v>5</v>
      </c>
      <c r="N42" s="3">
        <v>6</v>
      </c>
      <c r="O42" s="3">
        <v>7</v>
      </c>
      <c r="P42" s="3">
        <v>8</v>
      </c>
      <c r="Q42" s="3">
        <v>9</v>
      </c>
      <c r="R42" s="3">
        <v>10</v>
      </c>
      <c r="S42" s="3">
        <v>11</v>
      </c>
      <c r="T42" s="4">
        <v>12</v>
      </c>
    </row>
    <row r="43" spans="2:20" x14ac:dyDescent="0.2">
      <c r="B43" s="5"/>
      <c r="C43" s="6" t="s">
        <v>3</v>
      </c>
      <c r="D43" s="6"/>
      <c r="H43" s="7" t="s">
        <v>2</v>
      </c>
      <c r="I43" s="8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</row>
    <row r="44" spans="2:20" x14ac:dyDescent="0.2">
      <c r="B44" s="14" t="s">
        <v>8</v>
      </c>
      <c r="C44" s="15">
        <v>2</v>
      </c>
      <c r="D44" s="15"/>
      <c r="H44" s="11" t="s">
        <v>5</v>
      </c>
      <c r="I44" s="12"/>
      <c r="J44" s="6"/>
      <c r="K44" s="6" t="s">
        <v>81</v>
      </c>
      <c r="L44" s="6"/>
      <c r="M44" s="6"/>
      <c r="N44" s="6"/>
      <c r="O44" s="6"/>
      <c r="P44" s="6"/>
      <c r="Q44" s="6"/>
      <c r="R44" s="6"/>
      <c r="S44" s="6"/>
      <c r="T44" s="13"/>
    </row>
    <row r="45" spans="2:20" x14ac:dyDescent="0.2">
      <c r="B45" s="17" t="s">
        <v>11</v>
      </c>
      <c r="C45" s="6">
        <v>12.5</v>
      </c>
      <c r="D45" s="6">
        <f>(C45*D42)</f>
        <v>87.5</v>
      </c>
      <c r="H45" s="11" t="s">
        <v>10</v>
      </c>
      <c r="I45" s="12"/>
      <c r="J45" s="6"/>
      <c r="K45" s="6" t="s">
        <v>82</v>
      </c>
      <c r="L45" s="6"/>
      <c r="M45" s="6"/>
      <c r="N45" s="6"/>
      <c r="O45" s="6"/>
      <c r="P45" s="6"/>
      <c r="Q45" s="6"/>
      <c r="R45" s="6"/>
      <c r="S45" s="6"/>
      <c r="T45" s="13"/>
    </row>
    <row r="46" spans="2:20" x14ac:dyDescent="0.2">
      <c r="B46" s="17" t="s">
        <v>16</v>
      </c>
      <c r="C46" s="6">
        <v>0.1</v>
      </c>
      <c r="D46" s="6">
        <f>(C46*D42)</f>
        <v>0.70000000000000007</v>
      </c>
      <c r="H46" s="11" t="s">
        <v>15</v>
      </c>
      <c r="I46" s="12"/>
      <c r="J46" s="6"/>
      <c r="K46" s="6" t="s">
        <v>117</v>
      </c>
      <c r="L46" s="6"/>
      <c r="M46" s="6"/>
      <c r="N46" s="6"/>
      <c r="O46" s="6"/>
      <c r="P46" s="6"/>
      <c r="Q46" s="6"/>
      <c r="R46" s="6"/>
      <c r="S46" s="6"/>
      <c r="T46" s="13"/>
    </row>
    <row r="47" spans="2:20" x14ac:dyDescent="0.2">
      <c r="B47" s="17" t="s">
        <v>20</v>
      </c>
      <c r="C47" s="6">
        <v>0.1</v>
      </c>
      <c r="D47" s="6">
        <f>(C47*D42)</f>
        <v>0.70000000000000007</v>
      </c>
      <c r="H47" s="11" t="s">
        <v>19</v>
      </c>
      <c r="I47" s="12"/>
      <c r="J47" s="6"/>
      <c r="K47" s="6" t="s">
        <v>118</v>
      </c>
      <c r="L47" s="6"/>
      <c r="M47" s="20"/>
      <c r="N47" s="6"/>
      <c r="O47" s="6"/>
      <c r="P47" s="6"/>
      <c r="Q47" s="6"/>
      <c r="R47" s="6"/>
      <c r="S47" s="6"/>
      <c r="T47" s="13"/>
    </row>
    <row r="48" spans="2:20" x14ac:dyDescent="0.2">
      <c r="B48" s="17" t="s">
        <v>24</v>
      </c>
      <c r="C48" s="6">
        <v>0.2</v>
      </c>
      <c r="D48" s="6">
        <f>(C48*D42)</f>
        <v>1.4000000000000001</v>
      </c>
      <c r="H48" s="11" t="s">
        <v>22</v>
      </c>
      <c r="I48" s="12"/>
      <c r="J48" s="6"/>
      <c r="K48" s="6" t="s">
        <v>119</v>
      </c>
      <c r="L48" s="6"/>
      <c r="M48" s="21"/>
      <c r="N48" s="6"/>
      <c r="O48" s="6"/>
      <c r="P48" s="6"/>
      <c r="Q48" s="6"/>
      <c r="R48" s="6"/>
      <c r="S48" s="6"/>
      <c r="T48" s="13"/>
    </row>
    <row r="49" spans="2:20" x14ac:dyDescent="0.2">
      <c r="B49" s="17" t="s">
        <v>26</v>
      </c>
      <c r="C49" s="6">
        <v>2.5</v>
      </c>
      <c r="D49" s="6">
        <f>(C49*D42)</f>
        <v>17.5</v>
      </c>
      <c r="H49" s="11" t="s">
        <v>25</v>
      </c>
      <c r="I49" s="12"/>
      <c r="J49" s="6"/>
      <c r="K49" s="6" t="s">
        <v>120</v>
      </c>
      <c r="L49" s="20"/>
      <c r="M49" s="21"/>
      <c r="N49" s="6"/>
      <c r="O49" s="6"/>
      <c r="P49" s="6"/>
      <c r="Q49" s="6"/>
      <c r="R49" s="6"/>
      <c r="S49" s="6"/>
      <c r="T49" s="13"/>
    </row>
    <row r="50" spans="2:20" ht="16" thickBot="1" x14ac:dyDescent="0.25">
      <c r="B50" s="17" t="s">
        <v>28</v>
      </c>
      <c r="C50" s="6">
        <f>-((C45+C46+C47+C48+C49)-23)</f>
        <v>7.6000000000000014</v>
      </c>
      <c r="D50" s="6">
        <f>(C50*D42)</f>
        <v>53.20000000000001</v>
      </c>
      <c r="E50" t="s">
        <v>29</v>
      </c>
      <c r="H50" s="22" t="s">
        <v>27</v>
      </c>
      <c r="I50" s="23"/>
      <c r="J50" s="24"/>
      <c r="K50" s="24" t="s">
        <v>120</v>
      </c>
      <c r="L50" s="24"/>
      <c r="M50" s="24"/>
      <c r="N50" s="24"/>
      <c r="O50" s="24"/>
      <c r="P50" s="24"/>
      <c r="Q50" s="24"/>
      <c r="R50" s="24"/>
      <c r="S50" s="24"/>
      <c r="T50" s="25"/>
    </row>
    <row r="51" spans="2:20" x14ac:dyDescent="0.2">
      <c r="B51" s="26" t="s">
        <v>30</v>
      </c>
      <c r="C51" s="6">
        <v>25</v>
      </c>
      <c r="D51" s="6">
        <f>SUM(D45:D50)</f>
        <v>161.00000000000003</v>
      </c>
    </row>
    <row r="52" spans="2:20" x14ac:dyDescent="0.2">
      <c r="B52" s="27" t="s">
        <v>31</v>
      </c>
      <c r="C52" s="28">
        <v>23</v>
      </c>
      <c r="D52" s="6"/>
    </row>
    <row r="53" spans="2:20" x14ac:dyDescent="0.2">
      <c r="F53" t="s">
        <v>121</v>
      </c>
      <c r="G53" t="s">
        <v>122</v>
      </c>
    </row>
    <row r="54" spans="2:20" x14ac:dyDescent="0.2">
      <c r="B54" s="29"/>
    </row>
    <row r="57" spans="2:20" s="1" customFormat="1" ht="32" x14ac:dyDescent="0.2">
      <c r="B57" s="58" t="s">
        <v>123</v>
      </c>
      <c r="C57" s="1" t="s">
        <v>124</v>
      </c>
      <c r="D57" s="35" t="s">
        <v>125</v>
      </c>
      <c r="E57" s="35" t="s">
        <v>126</v>
      </c>
      <c r="F57" s="1" t="s">
        <v>127</v>
      </c>
      <c r="H57" s="1" t="s">
        <v>124</v>
      </c>
      <c r="I57" t="s">
        <v>54</v>
      </c>
      <c r="J57" t="s">
        <v>55</v>
      </c>
    </row>
    <row r="58" spans="2:20" x14ac:dyDescent="0.2">
      <c r="B58" s="59" t="s">
        <v>128</v>
      </c>
      <c r="C58" t="s">
        <v>81</v>
      </c>
      <c r="D58" s="1">
        <v>14.22</v>
      </c>
      <c r="E58" s="37">
        <f>(D58*0.2)</f>
        <v>2.8440000000000003</v>
      </c>
      <c r="F58" s="37">
        <f>(E58*0.5)</f>
        <v>1.4220000000000002</v>
      </c>
      <c r="H58" t="s">
        <v>81</v>
      </c>
      <c r="I58" t="s">
        <v>58</v>
      </c>
      <c r="J58" t="s">
        <v>129</v>
      </c>
    </row>
    <row r="59" spans="2:20" x14ac:dyDescent="0.2">
      <c r="B59" s="59" t="s">
        <v>130</v>
      </c>
      <c r="C59" t="s">
        <v>82</v>
      </c>
      <c r="D59" s="1">
        <v>5.36</v>
      </c>
      <c r="E59" s="37">
        <f t="shared" ref="E59:E62" si="0">(D59*0.2)</f>
        <v>1.0720000000000001</v>
      </c>
      <c r="F59" s="37">
        <f t="shared" ref="F59:F62" si="1">(E59*0.5)</f>
        <v>0.53600000000000003</v>
      </c>
      <c r="H59" t="s">
        <v>82</v>
      </c>
      <c r="I59" t="s">
        <v>131</v>
      </c>
      <c r="J59" t="s">
        <v>132</v>
      </c>
    </row>
    <row r="60" spans="2:20" x14ac:dyDescent="0.2">
      <c r="B60" s="59" t="s">
        <v>133</v>
      </c>
      <c r="C60" t="s">
        <v>117</v>
      </c>
      <c r="D60" s="1">
        <v>62.182499999999997</v>
      </c>
      <c r="E60" s="37">
        <f t="shared" si="0"/>
        <v>12.436500000000001</v>
      </c>
      <c r="F60" s="37">
        <f t="shared" si="1"/>
        <v>6.2182500000000003</v>
      </c>
      <c r="H60" t="s">
        <v>117</v>
      </c>
      <c r="I60" t="s">
        <v>71</v>
      </c>
      <c r="J60" t="s">
        <v>134</v>
      </c>
    </row>
    <row r="61" spans="2:20" x14ac:dyDescent="0.2">
      <c r="B61" s="59" t="s">
        <v>135</v>
      </c>
      <c r="C61" t="s">
        <v>118</v>
      </c>
      <c r="D61" s="1">
        <v>48.287500000000001</v>
      </c>
      <c r="E61" s="37">
        <f t="shared" si="0"/>
        <v>9.6575000000000006</v>
      </c>
      <c r="F61" s="37">
        <f t="shared" si="1"/>
        <v>4.8287500000000003</v>
      </c>
      <c r="H61" t="s">
        <v>118</v>
      </c>
      <c r="I61" t="s">
        <v>136</v>
      </c>
      <c r="J61" t="s">
        <v>137</v>
      </c>
    </row>
    <row r="62" spans="2:20" x14ac:dyDescent="0.2">
      <c r="B62" s="59" t="s">
        <v>138</v>
      </c>
      <c r="C62" t="s">
        <v>119</v>
      </c>
      <c r="D62" s="1">
        <v>104.6825</v>
      </c>
      <c r="E62" s="37">
        <f t="shared" si="0"/>
        <v>20.936500000000002</v>
      </c>
      <c r="F62" s="37">
        <f t="shared" si="1"/>
        <v>10.468250000000001</v>
      </c>
      <c r="H62" t="s">
        <v>119</v>
      </c>
      <c r="I62" t="s">
        <v>83</v>
      </c>
      <c r="J62" t="s">
        <v>139</v>
      </c>
    </row>
    <row r="63" spans="2:20" x14ac:dyDescent="0.2">
      <c r="D63" t="s">
        <v>198</v>
      </c>
    </row>
    <row r="66" spans="2:16" s="34" customFormat="1" x14ac:dyDescent="0.2">
      <c r="B66" s="34" t="s">
        <v>145</v>
      </c>
    </row>
    <row r="67" spans="2:16" x14ac:dyDescent="0.2">
      <c r="E67" t="s">
        <v>203</v>
      </c>
      <c r="G67" t="s">
        <v>189</v>
      </c>
    </row>
    <row r="68" spans="2:16" ht="96" x14ac:dyDescent="0.2">
      <c r="B68" s="60" t="s">
        <v>54</v>
      </c>
      <c r="C68" s="60" t="s">
        <v>55</v>
      </c>
      <c r="D68" s="60" t="s">
        <v>110</v>
      </c>
      <c r="E68" s="60" t="s">
        <v>108</v>
      </c>
      <c r="F68" s="60" t="s">
        <v>182</v>
      </c>
      <c r="G68" s="35" t="s">
        <v>183</v>
      </c>
      <c r="H68" s="35" t="s">
        <v>184</v>
      </c>
      <c r="I68" s="35" t="s">
        <v>185</v>
      </c>
      <c r="J68" s="79" t="s">
        <v>186</v>
      </c>
      <c r="K68" s="79" t="s">
        <v>187</v>
      </c>
      <c r="L68" s="79" t="s">
        <v>188</v>
      </c>
    </row>
    <row r="69" spans="2:16" x14ac:dyDescent="0.2">
      <c r="B69" s="49" t="s">
        <v>58</v>
      </c>
      <c r="C69" s="49">
        <v>32.299999999999997</v>
      </c>
      <c r="D69" s="49" t="s">
        <v>81</v>
      </c>
      <c r="E69" s="31">
        <f>((-0.3395*C69)+9.9245)</f>
        <v>-1.0413499999999996</v>
      </c>
      <c r="F69" s="47">
        <f t="shared" ref="F69:F73" si="2">10^E69</f>
        <v>9.0918026458115433E-2</v>
      </c>
      <c r="G69" s="37">
        <v>1.4220000000000002</v>
      </c>
      <c r="H69" s="71">
        <f t="shared" ref="H69" si="3">(G69*2)</f>
        <v>2.8440000000000003</v>
      </c>
      <c r="I69" s="30">
        <f t="shared" ref="I69" si="4">(F69/H69)</f>
        <v>3.1968363733514568E-2</v>
      </c>
      <c r="J69" s="72">
        <f>((I69*600*100)/18529231)</f>
        <v>1.0351761624704632E-4</v>
      </c>
      <c r="K69" s="72">
        <f>((I69*120*100)/18529231)</f>
        <v>2.0703523249409263E-5</v>
      </c>
      <c r="L69" s="72">
        <f>((I69*60*100)/18529231)</f>
        <v>1.0351761624704632E-5</v>
      </c>
      <c r="N69" s="64" t="s">
        <v>204</v>
      </c>
      <c r="O69" s="63"/>
      <c r="P69" s="66"/>
    </row>
    <row r="70" spans="2:16" x14ac:dyDescent="0.2">
      <c r="B70" s="49" t="s">
        <v>131</v>
      </c>
      <c r="C70" s="49">
        <v>33.21</v>
      </c>
      <c r="D70" s="49" t="s">
        <v>82</v>
      </c>
      <c r="E70" s="31">
        <f t="shared" ref="E70:E76" si="5">((-0.3395*C70)+9.9245)</f>
        <v>-1.3502950000000009</v>
      </c>
      <c r="F70" s="47">
        <f t="shared" si="2"/>
        <v>4.4638027971775199E-2</v>
      </c>
      <c r="G70" s="37">
        <v>0.53600000000000003</v>
      </c>
      <c r="H70" s="71">
        <f t="shared" ref="H70" si="6">(G70*2)</f>
        <v>1.0720000000000001</v>
      </c>
      <c r="I70" s="30">
        <f t="shared" ref="I70" si="7">(F70/H70)</f>
        <v>4.1639951466208205E-2</v>
      </c>
      <c r="J70" s="72">
        <f t="shared" ref="J70:J73" si="8">((I70*600*100)/18529231)</f>
        <v>1.3483544395190994E-4</v>
      </c>
      <c r="K70" s="72">
        <f t="shared" ref="K70:K73" si="9">((I70*120*100)/18529231)</f>
        <v>2.6967088790381986E-5</v>
      </c>
      <c r="L70" s="72">
        <f t="shared" ref="L70:L73" si="10">((I70*60*100)/18529231)</f>
        <v>1.3483544395190993E-5</v>
      </c>
      <c r="N70" s="64" t="s">
        <v>200</v>
      </c>
      <c r="O70" s="63"/>
      <c r="P70" s="66"/>
    </row>
    <row r="71" spans="2:16" x14ac:dyDescent="0.2">
      <c r="B71" s="49" t="s">
        <v>71</v>
      </c>
      <c r="C71" s="49">
        <v>26.45</v>
      </c>
      <c r="D71" s="49" t="s">
        <v>117</v>
      </c>
      <c r="E71" s="31">
        <f t="shared" si="5"/>
        <v>0.94472500000000004</v>
      </c>
      <c r="F71" s="47">
        <f t="shared" si="2"/>
        <v>8.8049115985134758</v>
      </c>
      <c r="G71" s="37">
        <v>6.2182500000000003</v>
      </c>
      <c r="H71" s="71">
        <f t="shared" ref="H71" si="11">(G71*2)</f>
        <v>12.436500000000001</v>
      </c>
      <c r="I71" s="30">
        <f t="shared" ref="I71" si="12">(F71/H71)</f>
        <v>0.70798951461532389</v>
      </c>
      <c r="J71" s="72">
        <f t="shared" si="8"/>
        <v>2.2925598410921334E-3</v>
      </c>
      <c r="K71" s="72">
        <f t="shared" si="9"/>
        <v>4.5851196821842665E-4</v>
      </c>
      <c r="L71" s="72">
        <f t="shared" si="10"/>
        <v>2.2925598410921332E-4</v>
      </c>
      <c r="N71" s="64" t="s">
        <v>106</v>
      </c>
      <c r="O71" s="63"/>
      <c r="P71" s="66"/>
    </row>
    <row r="72" spans="2:16" x14ac:dyDescent="0.2">
      <c r="B72" s="49" t="s">
        <v>136</v>
      </c>
      <c r="C72" s="49">
        <v>27.17</v>
      </c>
      <c r="D72" s="49" t="s">
        <v>118</v>
      </c>
      <c r="E72" s="31">
        <f t="shared" si="5"/>
        <v>0.70028499999999916</v>
      </c>
      <c r="F72" s="47">
        <f t="shared" si="2"/>
        <v>5.0151623905027982</v>
      </c>
      <c r="G72" s="37">
        <v>4.8287500000000003</v>
      </c>
      <c r="H72" s="71">
        <f t="shared" ref="H72" si="13">(G72*2)</f>
        <v>9.6575000000000006</v>
      </c>
      <c r="I72" s="30">
        <f t="shared" ref="I72" si="14">(F72/H72)</f>
        <v>0.51930234434406397</v>
      </c>
      <c r="J72" s="72">
        <f t="shared" si="8"/>
        <v>1.6815668529710618E-3</v>
      </c>
      <c r="K72" s="72">
        <f t="shared" si="9"/>
        <v>3.3631337059421236E-4</v>
      </c>
      <c r="L72" s="72">
        <f t="shared" si="10"/>
        <v>1.6815668529710618E-4</v>
      </c>
      <c r="N72" s="64" t="s">
        <v>107</v>
      </c>
      <c r="O72" s="65"/>
      <c r="P72" s="66"/>
    </row>
    <row r="73" spans="2:16" x14ac:dyDescent="0.2">
      <c r="B73" s="49" t="s">
        <v>83</v>
      </c>
      <c r="C73" s="49">
        <v>29.32</v>
      </c>
      <c r="D73" s="49" t="s">
        <v>119</v>
      </c>
      <c r="E73" s="31">
        <f t="shared" si="5"/>
        <v>-2.9640000000000555E-2</v>
      </c>
      <c r="F73" s="47">
        <f t="shared" si="2"/>
        <v>0.93402822459600265</v>
      </c>
      <c r="G73" s="37">
        <v>10.468250000000001</v>
      </c>
      <c r="H73" s="71">
        <f t="shared" ref="H73" si="15">(G73*2)</f>
        <v>20.936500000000002</v>
      </c>
      <c r="I73" s="30">
        <f t="shared" ref="I73" si="16">(F73/H73)</f>
        <v>4.4612434007403459E-2</v>
      </c>
      <c r="J73" s="72">
        <f t="shared" si="8"/>
        <v>1.4446071941378504E-4</v>
      </c>
      <c r="K73" s="72">
        <f t="shared" si="9"/>
        <v>2.8892143882757011E-5</v>
      </c>
      <c r="L73" s="72">
        <f t="shared" si="10"/>
        <v>1.4446071941378505E-5</v>
      </c>
    </row>
    <row r="74" spans="2:16" x14ac:dyDescent="0.2">
      <c r="E74" s="31"/>
    </row>
    <row r="75" spans="2:16" x14ac:dyDescent="0.2">
      <c r="E75" s="31"/>
    </row>
    <row r="76" spans="2:16" x14ac:dyDescent="0.2">
      <c r="B76" s="67" t="s">
        <v>174</v>
      </c>
      <c r="C76" s="67">
        <v>26.01</v>
      </c>
      <c r="D76" s="70" t="s">
        <v>175</v>
      </c>
      <c r="E76" s="31">
        <f t="shared" si="5"/>
        <v>1.094104999999999</v>
      </c>
      <c r="F76" s="47">
        <f t="shared" ref="F76" si="17">10^E76</f>
        <v>12.419525399446343</v>
      </c>
      <c r="G76" s="67">
        <v>1</v>
      </c>
      <c r="H76" s="71">
        <f t="shared" ref="H76" si="18">(G76*2)</f>
        <v>2</v>
      </c>
      <c r="I76" s="30">
        <f t="shared" ref="I76" si="19">(F76/H76)</f>
        <v>6.2097626997231714</v>
      </c>
      <c r="J76" s="72">
        <f t="shared" ref="J76" si="20">((I76*600*100)/18529231)</f>
        <v>2.0107999192378261E-2</v>
      </c>
      <c r="K76" s="72">
        <f t="shared" ref="K76" si="21">((I76*120*100)/18529231)</f>
        <v>4.0215998384756525E-3</v>
      </c>
      <c r="L76" s="72">
        <f t="shared" ref="L76" si="22">((I76*60*100)/18529231)</f>
        <v>2.0107999192378262E-3</v>
      </c>
      <c r="M76" s="61"/>
    </row>
    <row r="77" spans="2:16" x14ac:dyDescent="0.2">
      <c r="J77" s="62"/>
      <c r="K77" s="62"/>
      <c r="L77" s="62"/>
      <c r="M77" s="62"/>
    </row>
    <row r="79" spans="2:16" s="45" customFormat="1" x14ac:dyDescent="0.2">
      <c r="B79" s="45" t="s">
        <v>161</v>
      </c>
    </row>
    <row r="81" spans="1:6" ht="32" x14ac:dyDescent="0.2">
      <c r="A81" t="s">
        <v>54</v>
      </c>
      <c r="B81" s="1" t="s">
        <v>55</v>
      </c>
      <c r="C81" t="s">
        <v>147</v>
      </c>
      <c r="D81" s="35" t="s">
        <v>108</v>
      </c>
      <c r="E81" s="35" t="s">
        <v>109</v>
      </c>
    </row>
    <row r="82" spans="1:6" x14ac:dyDescent="0.2">
      <c r="A82" t="s">
        <v>148</v>
      </c>
      <c r="B82" s="1">
        <v>35.1</v>
      </c>
      <c r="C82" t="s">
        <v>149</v>
      </c>
      <c r="D82" s="31">
        <f>((-0.3395*B82)+10.858)</f>
        <v>-1.0584500000000006</v>
      </c>
      <c r="E82" s="47">
        <f t="shared" ref="E82:E88" si="23">10^D82</f>
        <v>8.7407761870271911E-2</v>
      </c>
    </row>
    <row r="83" spans="1:6" x14ac:dyDescent="0.2">
      <c r="A83" t="s">
        <v>60</v>
      </c>
      <c r="B83" s="1">
        <v>33.450000000000003</v>
      </c>
      <c r="C83" t="s">
        <v>150</v>
      </c>
      <c r="D83" s="31">
        <f t="shared" ref="D83:D88" si="24">((-0.3395*B83)+10.858)</f>
        <v>-0.49827500000000136</v>
      </c>
      <c r="E83" s="47">
        <f t="shared" si="23"/>
        <v>0.31748630761174984</v>
      </c>
    </row>
    <row r="84" spans="1:6" x14ac:dyDescent="0.2">
      <c r="A84" t="s">
        <v>151</v>
      </c>
      <c r="B84" s="1">
        <v>32.090000000000003</v>
      </c>
      <c r="C84" t="s">
        <v>152</v>
      </c>
      <c r="D84" s="31">
        <f t="shared" si="24"/>
        <v>-3.6555000000001669E-2</v>
      </c>
      <c r="E84" s="47">
        <f t="shared" si="23"/>
        <v>0.91927404856226402</v>
      </c>
    </row>
    <row r="85" spans="1:6" x14ac:dyDescent="0.2">
      <c r="A85" t="s">
        <v>73</v>
      </c>
      <c r="B85" s="1">
        <v>32.35</v>
      </c>
      <c r="C85" t="s">
        <v>153</v>
      </c>
      <c r="D85" s="31">
        <f t="shared" si="24"/>
        <v>-0.1248250000000013</v>
      </c>
      <c r="E85" s="47">
        <f t="shared" si="23"/>
        <v>0.75019644188588219</v>
      </c>
    </row>
    <row r="86" spans="1:6" x14ac:dyDescent="0.2">
      <c r="A86" t="s">
        <v>154</v>
      </c>
      <c r="B86" s="1">
        <v>32.42</v>
      </c>
      <c r="C86" t="s">
        <v>155</v>
      </c>
      <c r="D86" s="31">
        <f t="shared" si="24"/>
        <v>-0.14859000000000044</v>
      </c>
      <c r="E86" s="47">
        <f t="shared" si="23"/>
        <v>0.71024796817642211</v>
      </c>
    </row>
    <row r="87" spans="1:6" x14ac:dyDescent="0.2">
      <c r="A87" t="s">
        <v>85</v>
      </c>
      <c r="B87" s="1">
        <v>30.58</v>
      </c>
      <c r="C87" t="s">
        <v>156</v>
      </c>
      <c r="D87" s="31">
        <f t="shared" si="24"/>
        <v>0.47609000000000101</v>
      </c>
      <c r="E87" s="47">
        <f t="shared" si="23"/>
        <v>2.9928847958197875</v>
      </c>
      <c r="F87" t="s">
        <v>157</v>
      </c>
    </row>
    <row r="88" spans="1:6" x14ac:dyDescent="0.2">
      <c r="A88" t="s">
        <v>158</v>
      </c>
      <c r="B88" s="1">
        <v>34.29</v>
      </c>
      <c r="C88" t="s">
        <v>159</v>
      </c>
      <c r="D88" s="31">
        <f t="shared" si="24"/>
        <v>-0.78345500000000001</v>
      </c>
      <c r="E88" s="47">
        <f t="shared" si="23"/>
        <v>0.16464365552023333</v>
      </c>
      <c r="F88" t="s">
        <v>157</v>
      </c>
    </row>
    <row r="89" spans="1:6" x14ac:dyDescent="0.2">
      <c r="A89" t="s">
        <v>160</v>
      </c>
      <c r="B89" s="1" t="s">
        <v>68</v>
      </c>
      <c r="C89" t="s">
        <v>23</v>
      </c>
    </row>
    <row r="90" spans="1:6" x14ac:dyDescent="0.2">
      <c r="B90" s="1"/>
    </row>
    <row r="91" spans="1:6" x14ac:dyDescent="0.2">
      <c r="B91" s="1"/>
    </row>
    <row r="92" spans="1:6" x14ac:dyDescent="0.2">
      <c r="B92" s="1"/>
    </row>
    <row r="93" spans="1:6" x14ac:dyDescent="0.2">
      <c r="B93" s="1"/>
    </row>
    <row r="94" spans="1:6" x14ac:dyDescent="0.2">
      <c r="B94" s="1"/>
    </row>
    <row r="95" spans="1:6" x14ac:dyDescent="0.2">
      <c r="B95" s="1"/>
    </row>
    <row r="96" spans="1:6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qPCR-PG</vt:lpstr>
      <vt:lpstr>Calcul Gamme</vt:lpstr>
      <vt:lpstr>EquationCourbe1</vt:lpstr>
      <vt:lpstr>EquationCourbe2</vt:lpstr>
      <vt:lpstr>Equation Courbe3</vt:lpstr>
      <vt:lpstr>%ageEnrichissement</vt:lpstr>
      <vt:lpstr>ExpJDCultureplantePot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SANTONI</dc:creator>
  <cp:lastModifiedBy>Stella Megy</cp:lastModifiedBy>
  <dcterms:created xsi:type="dcterms:W3CDTF">2023-12-04T15:11:54Z</dcterms:created>
  <dcterms:modified xsi:type="dcterms:W3CDTF">2023-12-08T15:46:33Z</dcterms:modified>
</cp:coreProperties>
</file>