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billy/Library/Containers/com.apple.mail/Data/Library/Mail Downloads/E1907F3E-7463-4BD3-8C75-7218D5564A56/"/>
    </mc:Choice>
  </mc:AlternateContent>
  <xr:revisionPtr revIDLastSave="0" documentId="13_ncr:1_{4E191019-0B86-8145-B1EB-96D8D064FC6F}" xr6:coauthVersionLast="47" xr6:coauthVersionMax="47" xr10:uidLastSave="{00000000-0000-0000-0000-000000000000}"/>
  <bookViews>
    <workbookView xWindow="3440" yWindow="460" windowWidth="28000" windowHeight="15700" activeTab="4" xr2:uid="{00000000-000D-0000-FFFF-FFFF00000000}"/>
  </bookViews>
  <sheets>
    <sheet name="Samples" sheetId="5" r:id="rId1"/>
    <sheet name="DosageUVDatabrutes" sheetId="1" r:id="rId2"/>
    <sheet name="Dosage-Picogreen" sheetId="4" r:id="rId3"/>
    <sheet name="ADNDataSS" sheetId="2" r:id="rId4"/>
    <sheet name="qPCR" sheetId="3" r:id="rId5"/>
    <sheet name="Calcul pourcentage" sheetId="6" r:id="rId6"/>
  </sheets>
  <definedNames>
    <definedName name="_xlnm.Print_Area" localSheetId="4">qPCR!$B$5:$W$23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6" i="6" l="1"/>
  <c r="W5" i="6"/>
  <c r="W6" i="6"/>
  <c r="W7" i="6"/>
  <c r="W8" i="6"/>
  <c r="X8" i="6" s="1"/>
  <c r="W9" i="6"/>
  <c r="W10" i="6"/>
  <c r="W11" i="6"/>
  <c r="W12" i="6"/>
  <c r="X12" i="6" s="1"/>
  <c r="W13" i="6"/>
  <c r="W14" i="6"/>
  <c r="W15" i="6"/>
  <c r="X16" i="6"/>
  <c r="W4" i="6"/>
  <c r="S5" i="6"/>
  <c r="S6" i="6"/>
  <c r="S7" i="6"/>
  <c r="T7" i="6" s="1"/>
  <c r="S8" i="6"/>
  <c r="T8" i="6" s="1"/>
  <c r="S9" i="6"/>
  <c r="S10" i="6"/>
  <c r="S11" i="6"/>
  <c r="S12" i="6"/>
  <c r="T12" i="6" s="1"/>
  <c r="S13" i="6"/>
  <c r="S14" i="6"/>
  <c r="S15" i="6"/>
  <c r="S16" i="6"/>
  <c r="T16" i="6" s="1"/>
  <c r="S4" i="6"/>
  <c r="T4" i="6" s="1"/>
  <c r="O5" i="6"/>
  <c r="O6" i="6"/>
  <c r="O7" i="6"/>
  <c r="O8" i="6"/>
  <c r="Q8" i="6" s="1"/>
  <c r="O9" i="6"/>
  <c r="O10" i="6"/>
  <c r="O11" i="6"/>
  <c r="O12" i="6"/>
  <c r="O13" i="6"/>
  <c r="O14" i="6"/>
  <c r="O15" i="6"/>
  <c r="O16" i="6"/>
  <c r="O4" i="6"/>
  <c r="X5" i="6"/>
  <c r="Y5" i="6"/>
  <c r="X6" i="6"/>
  <c r="Y6" i="6"/>
  <c r="X7" i="6"/>
  <c r="Y7" i="6"/>
  <c r="X9" i="6"/>
  <c r="Y9" i="6"/>
  <c r="X10" i="6"/>
  <c r="Y10" i="6"/>
  <c r="X11" i="6"/>
  <c r="Y11" i="6"/>
  <c r="X13" i="6"/>
  <c r="Y13" i="6"/>
  <c r="X14" i="6"/>
  <c r="Y14" i="6"/>
  <c r="X15" i="6"/>
  <c r="Y15" i="6"/>
  <c r="Y4" i="6"/>
  <c r="X4" i="6"/>
  <c r="T5" i="6"/>
  <c r="U5" i="6"/>
  <c r="T6" i="6"/>
  <c r="U6" i="6"/>
  <c r="U7" i="6"/>
  <c r="U8" i="6"/>
  <c r="T9" i="6"/>
  <c r="U9" i="6"/>
  <c r="T10" i="6"/>
  <c r="U10" i="6"/>
  <c r="T11" i="6"/>
  <c r="U11" i="6"/>
  <c r="U12" i="6"/>
  <c r="T13" i="6"/>
  <c r="U13" i="6"/>
  <c r="T14" i="6"/>
  <c r="U14" i="6"/>
  <c r="T15" i="6"/>
  <c r="U15" i="6"/>
  <c r="U16" i="6"/>
  <c r="U4" i="6"/>
  <c r="Q5" i="6"/>
  <c r="Q6" i="6"/>
  <c r="Q7" i="6"/>
  <c r="Q9" i="6"/>
  <c r="Q10" i="6"/>
  <c r="Q11" i="6"/>
  <c r="Q12" i="6"/>
  <c r="Q13" i="6"/>
  <c r="Q14" i="6"/>
  <c r="Q15" i="6"/>
  <c r="Q16" i="6"/>
  <c r="P5" i="6"/>
  <c r="P6" i="6"/>
  <c r="P7" i="6"/>
  <c r="P8" i="6"/>
  <c r="P9" i="6"/>
  <c r="P10" i="6"/>
  <c r="P11" i="6"/>
  <c r="P12" i="6"/>
  <c r="P13" i="6"/>
  <c r="P14" i="6"/>
  <c r="P15" i="6"/>
  <c r="P16" i="6"/>
  <c r="Q4" i="6"/>
  <c r="P4" i="6"/>
  <c r="G23" i="6"/>
  <c r="G22" i="6"/>
  <c r="G27" i="6" s="1"/>
  <c r="K5" i="6"/>
  <c r="K6" i="6"/>
  <c r="K7" i="6"/>
  <c r="K8" i="6"/>
  <c r="K9" i="6"/>
  <c r="K10" i="6"/>
  <c r="K12" i="6"/>
  <c r="K13" i="6"/>
  <c r="K14" i="6"/>
  <c r="K15" i="6"/>
  <c r="K16" i="6"/>
  <c r="K4" i="6"/>
  <c r="J5" i="6"/>
  <c r="J6" i="6"/>
  <c r="J7" i="6"/>
  <c r="J8" i="6"/>
  <c r="J9" i="6"/>
  <c r="J10" i="6"/>
  <c r="J12" i="6"/>
  <c r="J13" i="6"/>
  <c r="J14" i="6"/>
  <c r="J15" i="6"/>
  <c r="J16" i="6"/>
  <c r="J4" i="6"/>
  <c r="D17" i="2"/>
  <c r="I5" i="6"/>
  <c r="I6" i="6"/>
  <c r="I7" i="6"/>
  <c r="I8" i="6"/>
  <c r="I9" i="6"/>
  <c r="I10" i="6"/>
  <c r="I12" i="6"/>
  <c r="I13" i="6"/>
  <c r="I14" i="6"/>
  <c r="I15" i="6"/>
  <c r="I16" i="6"/>
  <c r="I4" i="6"/>
  <c r="D5" i="6"/>
  <c r="E5" i="6" s="1"/>
  <c r="D6" i="6"/>
  <c r="D7" i="6"/>
  <c r="E7" i="6" s="1"/>
  <c r="D8" i="6"/>
  <c r="E8" i="6" s="1"/>
  <c r="D9" i="6"/>
  <c r="E9" i="6" s="1"/>
  <c r="D10" i="6"/>
  <c r="D11" i="6"/>
  <c r="E11" i="6" s="1"/>
  <c r="D12" i="6"/>
  <c r="E12" i="6" s="1"/>
  <c r="D13" i="6"/>
  <c r="E13" i="6" s="1"/>
  <c r="D14" i="6"/>
  <c r="D15" i="6"/>
  <c r="E15" i="6" s="1"/>
  <c r="D16" i="6"/>
  <c r="E16" i="6" s="1"/>
  <c r="D4" i="6"/>
  <c r="Y16" i="6" l="1"/>
  <c r="Y12" i="6"/>
  <c r="Y8" i="6"/>
  <c r="E4" i="6"/>
  <c r="E14" i="6"/>
  <c r="E10" i="6"/>
  <c r="E6" i="6"/>
  <c r="F50" i="3" l="1"/>
  <c r="F51" i="3"/>
  <c r="F52" i="3"/>
  <c r="F53" i="3"/>
  <c r="F54" i="3"/>
  <c r="F55" i="3"/>
  <c r="F56" i="3"/>
  <c r="F57" i="3"/>
  <c r="F58" i="3"/>
  <c r="F59" i="3"/>
  <c r="F60" i="3"/>
  <c r="F62" i="3"/>
  <c r="F49" i="3"/>
  <c r="D18" i="2" l="1"/>
  <c r="D19" i="2"/>
  <c r="D20" i="2"/>
  <c r="D21" i="2"/>
  <c r="D22" i="2"/>
  <c r="D23" i="2"/>
  <c r="D24" i="2"/>
  <c r="D25" i="2"/>
  <c r="D26" i="2"/>
  <c r="D27" i="2"/>
  <c r="D28" i="2"/>
  <c r="I49" i="3" l="1"/>
  <c r="G49" i="3"/>
  <c r="J49" i="3" s="1"/>
  <c r="M49" i="3" l="1"/>
  <c r="K49" i="3"/>
  <c r="L49" i="3"/>
  <c r="F29" i="4"/>
  <c r="G29" i="4" s="1"/>
  <c r="F33" i="4"/>
  <c r="G33" i="4" s="1"/>
  <c r="F37" i="4"/>
  <c r="G37" i="4" s="1"/>
  <c r="F41" i="4"/>
  <c r="G41" i="4" s="1"/>
  <c r="F46" i="4"/>
  <c r="G46" i="4" s="1"/>
  <c r="F50" i="4"/>
  <c r="G50" i="4" s="1"/>
  <c r="E50" i="4"/>
  <c r="E49" i="4"/>
  <c r="F49" i="4" s="1"/>
  <c r="G49" i="4" s="1"/>
  <c r="E48" i="4"/>
  <c r="F48" i="4" s="1"/>
  <c r="G48" i="4" s="1"/>
  <c r="E47" i="4"/>
  <c r="F47" i="4" s="1"/>
  <c r="G47" i="4" s="1"/>
  <c r="E46" i="4"/>
  <c r="E45" i="4"/>
  <c r="F45" i="4" s="1"/>
  <c r="G45" i="4" s="1"/>
  <c r="E26" i="4"/>
  <c r="F26" i="4" s="1"/>
  <c r="G26" i="4" s="1"/>
  <c r="E27" i="4"/>
  <c r="F27" i="4" s="1"/>
  <c r="G27" i="4" s="1"/>
  <c r="E28" i="4"/>
  <c r="F28" i="4" s="1"/>
  <c r="G28" i="4" s="1"/>
  <c r="E29" i="4"/>
  <c r="E30" i="4"/>
  <c r="F30" i="4" s="1"/>
  <c r="G30" i="4" s="1"/>
  <c r="E31" i="4"/>
  <c r="F31" i="4" s="1"/>
  <c r="G31" i="4" s="1"/>
  <c r="E32" i="4"/>
  <c r="F32" i="4" s="1"/>
  <c r="G32" i="4" s="1"/>
  <c r="E33" i="4"/>
  <c r="E34" i="4"/>
  <c r="F34" i="4" s="1"/>
  <c r="G34" i="4" s="1"/>
  <c r="E35" i="4"/>
  <c r="F35" i="4" s="1"/>
  <c r="G35" i="4" s="1"/>
  <c r="E36" i="4"/>
  <c r="F36" i="4" s="1"/>
  <c r="G36" i="4" s="1"/>
  <c r="E37" i="4"/>
  <c r="E38" i="4"/>
  <c r="F38" i="4" s="1"/>
  <c r="G38" i="4" s="1"/>
  <c r="E39" i="4"/>
  <c r="F39" i="4" s="1"/>
  <c r="G39" i="4" s="1"/>
  <c r="E40" i="4"/>
  <c r="F40" i="4" s="1"/>
  <c r="G40" i="4" s="1"/>
  <c r="E41" i="4"/>
  <c r="E42" i="4"/>
  <c r="F42" i="4" s="1"/>
  <c r="G42" i="4" s="1"/>
  <c r="E43" i="4"/>
  <c r="F43" i="4" s="1"/>
  <c r="G43" i="4" s="1"/>
  <c r="E25" i="4"/>
  <c r="F25" i="4" s="1"/>
  <c r="G25" i="4" s="1"/>
  <c r="K17" i="4"/>
  <c r="K18" i="4"/>
  <c r="K19" i="4"/>
  <c r="K20" i="4"/>
  <c r="K21" i="4"/>
  <c r="K16" i="4"/>
  <c r="K12" i="4"/>
  <c r="I62" i="3" l="1"/>
  <c r="I51" i="3"/>
  <c r="I52" i="3"/>
  <c r="I53" i="3"/>
  <c r="I54" i="3"/>
  <c r="I55" i="3"/>
  <c r="I56" i="3"/>
  <c r="I57" i="3"/>
  <c r="I58" i="3"/>
  <c r="I59" i="3"/>
  <c r="I60" i="3"/>
  <c r="I50" i="3"/>
  <c r="G60" i="3"/>
  <c r="G62" i="3"/>
  <c r="G59" i="3"/>
  <c r="G58" i="3"/>
  <c r="G57" i="3"/>
  <c r="G56" i="3"/>
  <c r="G55" i="3"/>
  <c r="G54" i="3"/>
  <c r="G53" i="3"/>
  <c r="G52" i="3"/>
  <c r="G51" i="3"/>
  <c r="G50" i="3"/>
  <c r="J60" i="3" l="1"/>
  <c r="J54" i="3"/>
  <c r="J50" i="3"/>
  <c r="J53" i="3"/>
  <c r="J52" i="3"/>
  <c r="J56" i="3"/>
  <c r="J51" i="3"/>
  <c r="J57" i="3"/>
  <c r="J59" i="3"/>
  <c r="J55" i="3"/>
  <c r="J58" i="3"/>
  <c r="J62" i="3"/>
  <c r="C16" i="3"/>
  <c r="D16" i="3" s="1"/>
  <c r="D15" i="3"/>
  <c r="D14" i="3"/>
  <c r="D13" i="3"/>
  <c r="D12" i="3"/>
  <c r="D11" i="3"/>
  <c r="M62" i="3" l="1"/>
  <c r="L62" i="3"/>
  <c r="K62" i="3"/>
  <c r="M55" i="3"/>
  <c r="L55" i="3"/>
  <c r="K55" i="3"/>
  <c r="K59" i="3"/>
  <c r="L59" i="3"/>
  <c r="M59" i="3"/>
  <c r="K57" i="3"/>
  <c r="L57" i="3"/>
  <c r="M57" i="3"/>
  <c r="M52" i="3"/>
  <c r="K52" i="3"/>
  <c r="L52" i="3"/>
  <c r="K53" i="3"/>
  <c r="M53" i="3"/>
  <c r="L53" i="3"/>
  <c r="L51" i="3"/>
  <c r="K51" i="3"/>
  <c r="M51" i="3"/>
  <c r="L56" i="3"/>
  <c r="M56" i="3"/>
  <c r="K56" i="3"/>
  <c r="L58" i="3"/>
  <c r="K58" i="3"/>
  <c r="M58" i="3"/>
  <c r="L50" i="3"/>
  <c r="M50" i="3"/>
  <c r="K50" i="3"/>
  <c r="K54" i="3"/>
  <c r="L54" i="3"/>
  <c r="M54" i="3"/>
  <c r="L60" i="3"/>
  <c r="M60" i="3"/>
  <c r="K60" i="3"/>
  <c r="D17" i="3"/>
</calcChain>
</file>

<file path=xl/sharedStrings.xml><?xml version="1.0" encoding="utf-8"?>
<sst xmlns="http://schemas.openxmlformats.org/spreadsheetml/2006/main" count="331" uniqueCount="169">
  <si>
    <t>Individual Blanking</t>
  </si>
  <si>
    <t>Well</t>
  </si>
  <si>
    <t>A1</t>
  </si>
  <si>
    <t>A2</t>
  </si>
  <si>
    <t>B1</t>
  </si>
  <si>
    <t>B2</t>
  </si>
  <si>
    <t>C1</t>
  </si>
  <si>
    <t>C2</t>
  </si>
  <si>
    <t>D1</t>
  </si>
  <si>
    <t>D2</t>
  </si>
  <si>
    <t>E1</t>
  </si>
  <si>
    <t>E2</t>
  </si>
  <si>
    <t>F1</t>
  </si>
  <si>
    <t>F2</t>
  </si>
  <si>
    <t>G1</t>
  </si>
  <si>
    <t>G2</t>
  </si>
  <si>
    <t>H1</t>
  </si>
  <si>
    <t>H2</t>
  </si>
  <si>
    <t>260</t>
  </si>
  <si>
    <t>ng/µl</t>
  </si>
  <si>
    <t>Ratio 260/230</t>
  </si>
  <si>
    <t>Ratio 260/280</t>
  </si>
  <si>
    <t>sample</t>
  </si>
  <si>
    <t>Data 20/11/2023</t>
  </si>
  <si>
    <t>PG qPCR 1,5 mM MgCl2</t>
  </si>
  <si>
    <t>Taq Kapa 3G</t>
  </si>
  <si>
    <t>Nb Echantillons</t>
  </si>
  <si>
    <t>Volume (µL)</t>
  </si>
  <si>
    <t>ADN</t>
  </si>
  <si>
    <t>Programme</t>
  </si>
  <si>
    <t xml:space="preserve">Mix 3G (2X) </t>
  </si>
  <si>
    <t>95°C</t>
  </si>
  <si>
    <t>10 sec</t>
  </si>
  <si>
    <t>45 cycles</t>
  </si>
  <si>
    <t>55°C</t>
  </si>
  <si>
    <t>30 sec</t>
  </si>
  <si>
    <t>72°C</t>
  </si>
  <si>
    <t>Taq Kapa 3G (2,5U/µL)</t>
  </si>
  <si>
    <t>SYBR Green 10X</t>
  </si>
  <si>
    <t>eau qsp 25 µL</t>
  </si>
  <si>
    <t>Volume total (µL)</t>
  </si>
  <si>
    <t>Volume à distribuer</t>
  </si>
  <si>
    <t>MgCl2 final : 1,5 mM</t>
  </si>
  <si>
    <t>A</t>
  </si>
  <si>
    <t>B</t>
  </si>
  <si>
    <t>C</t>
  </si>
  <si>
    <t>D</t>
  </si>
  <si>
    <t>E</t>
  </si>
  <si>
    <t>H20</t>
  </si>
  <si>
    <t>F</t>
  </si>
  <si>
    <t>G</t>
  </si>
  <si>
    <t>H</t>
  </si>
  <si>
    <t>2V</t>
  </si>
  <si>
    <t>14V</t>
  </si>
  <si>
    <t>17V</t>
  </si>
  <si>
    <t>18V</t>
  </si>
  <si>
    <t>19V</t>
  </si>
  <si>
    <t>20V</t>
  </si>
  <si>
    <t>LibPG</t>
  </si>
  <si>
    <t>Vero</t>
  </si>
  <si>
    <t>JRL 20/11/23</t>
  </si>
  <si>
    <t>Dil1</t>
  </si>
  <si>
    <t>Primer Pgfwd2 (100 µM)</t>
  </si>
  <si>
    <t>Primer Pxrev7 (100 µM)</t>
  </si>
  <si>
    <t>ok</t>
  </si>
  <si>
    <t>Position</t>
  </si>
  <si>
    <t>Cq</t>
  </si>
  <si>
    <t>A3</t>
  </si>
  <si>
    <t>-</t>
  </si>
  <si>
    <t>A4</t>
  </si>
  <si>
    <t>A5</t>
  </si>
  <si>
    <t>B3</t>
  </si>
  <si>
    <t>B4</t>
  </si>
  <si>
    <t>B5</t>
  </si>
  <si>
    <t>C3</t>
  </si>
  <si>
    <t>C4</t>
  </si>
  <si>
    <t>C5</t>
  </si>
  <si>
    <t>D3</t>
  </si>
  <si>
    <t>D4</t>
  </si>
  <si>
    <t>D5</t>
  </si>
  <si>
    <t>E3</t>
  </si>
  <si>
    <t>E4</t>
  </si>
  <si>
    <t>E5</t>
  </si>
  <si>
    <t>F3</t>
  </si>
  <si>
    <t>F4</t>
  </si>
  <si>
    <t>F5</t>
  </si>
  <si>
    <t>G3</t>
  </si>
  <si>
    <t>G5</t>
  </si>
  <si>
    <t>Sample</t>
  </si>
  <si>
    <t>1DIL</t>
  </si>
  <si>
    <t>H2O</t>
  </si>
  <si>
    <t>LIB18VPG</t>
  </si>
  <si>
    <t>H5</t>
  </si>
  <si>
    <t>Calcul  Log nb mol</t>
  </si>
  <si>
    <t>Nb mol/puit</t>
  </si>
  <si>
    <t>concentration d'ADN, ng/µL</t>
  </si>
  <si>
    <t>Dépôt de 2 µl d'ADN, ng</t>
  </si>
  <si>
    <t>nb mol PG/ng de cible</t>
  </si>
  <si>
    <t>%age PG, si 1 copie rDNA/PG</t>
  </si>
  <si>
    <t>%age PG, si 5 copie rDNA/PG</t>
  </si>
  <si>
    <t>%age PG, si 10 copie rDNA/PG</t>
  </si>
  <si>
    <t>Colonne 4</t>
  </si>
  <si>
    <t>Colonne 5</t>
  </si>
  <si>
    <t>Colonne 6</t>
  </si>
  <si>
    <t>Colonne 12</t>
  </si>
  <si>
    <t>Dosage Picogreen</t>
  </si>
  <si>
    <t>Data brutes</t>
  </si>
  <si>
    <t>1DIL10</t>
  </si>
  <si>
    <t>BLANC</t>
  </si>
  <si>
    <t>gamme Lambda (ng/puit)</t>
  </si>
  <si>
    <t>DO</t>
  </si>
  <si>
    <t>Gamme</t>
  </si>
  <si>
    <t>Moyenne Blanc</t>
  </si>
  <si>
    <t>DO modif</t>
  </si>
  <si>
    <t>Courbe</t>
  </si>
  <si>
    <t>ng/puit</t>
  </si>
  <si>
    <t>problème</t>
  </si>
  <si>
    <t>Fragment 0,5 Kb</t>
  </si>
  <si>
    <t>Gel d'agarse, 1,6 %</t>
  </si>
  <si>
    <t>Dépôt : 10 µL d'ADN</t>
  </si>
  <si>
    <t>LAD</t>
  </si>
  <si>
    <t>1.1: "materiel précieux traité avec KOH + coloration - 1er filtration"</t>
  </si>
  <si>
    <t>2.1: "racines traité avec KOH - 1er filtration"</t>
  </si>
  <si>
    <t>Tube ADN</t>
  </si>
  <si>
    <t>surnageant</t>
  </si>
  <si>
    <t>culot</t>
  </si>
  <si>
    <t>surnageant (pas de culot)</t>
  </si>
  <si>
    <r>
      <t>1.2: </t>
    </r>
    <r>
      <rPr>
        <sz val="12"/>
        <color rgb="FF000000"/>
        <rFont val="Calibri"/>
        <family val="2"/>
        <scheme val="minor"/>
      </rPr>
      <t>"materiel précieux traité avec KOH + coloration - 2eme filtration"</t>
    </r>
  </si>
  <si>
    <r>
      <t>2.2: "</t>
    </r>
    <r>
      <rPr>
        <sz val="12"/>
        <color rgb="FF000000"/>
        <rFont val="Calibri"/>
        <family val="2"/>
        <scheme val="minor"/>
      </rPr>
      <t>racines traité avec KOH - 2eme filtration"</t>
    </r>
  </si>
  <si>
    <r>
      <t>3.1:</t>
    </r>
    <r>
      <rPr>
        <sz val="12"/>
        <color rgb="FF000000"/>
        <rFont val="Calibri"/>
        <family val="2"/>
        <scheme val="minor"/>
      </rPr>
      <t>"racines traité avec KOH + coloration - 1er filtration"</t>
    </r>
  </si>
  <si>
    <r>
      <t>3.2:</t>
    </r>
    <r>
      <rPr>
        <sz val="12"/>
        <color rgb="FF000000"/>
        <rFont val="Calibri"/>
        <family val="2"/>
        <scheme val="minor"/>
      </rPr>
      <t>"racines traité avec KOH + coloration - 2eme filtration"</t>
    </r>
  </si>
  <si>
    <t>JRL AT Novembre 2023</t>
  </si>
  <si>
    <t>mélage, surnageant + culot</t>
  </si>
  <si>
    <t>Spark UV</t>
  </si>
  <si>
    <t>JRL</t>
  </si>
  <si>
    <t>pico green (ng/µL)</t>
  </si>
  <si>
    <t>Librairie séquencée MiSeq</t>
  </si>
  <si>
    <t>estimation 10%</t>
  </si>
  <si>
    <t>sur estimé</t>
  </si>
  <si>
    <t>Equation Courbe 2</t>
  </si>
  <si>
    <t>y = -0,3395x + 9,9245</t>
  </si>
  <si>
    <t>y = Log Nb molécules</t>
  </si>
  <si>
    <t>x = Cq</t>
  </si>
  <si>
    <t>ADN Total de l'échantillon</t>
  </si>
  <si>
    <t>pico green (ng/puit), (2ul d'ADN/puit)</t>
  </si>
  <si>
    <t>ADN de PG de chaque échantillon</t>
  </si>
  <si>
    <t>y = -0,3395x + 10,858</t>
  </si>
  <si>
    <t>Equation Courbe 3</t>
  </si>
  <si>
    <t>y = -0,3395x + 9,8577</t>
  </si>
  <si>
    <t>Equation Courbe 1</t>
  </si>
  <si>
    <t>Nb de molécule de PG avec la courbe 1</t>
  </si>
  <si>
    <t>Nb de molécule de PG avec la courbe 2</t>
  </si>
  <si>
    <t>Nb de molécule de PG avec la courbe 3</t>
  </si>
  <si>
    <t>INFOS PRATIQUES</t>
  </si>
  <si>
    <t>Conversions</t>
  </si>
  <si>
    <t>1uma en kg</t>
  </si>
  <si>
    <t>Autres infos sur le fragment</t>
  </si>
  <si>
    <t>taille du fragment (pb)</t>
  </si>
  <si>
    <t>1pb en uma</t>
  </si>
  <si>
    <t>kg en ng</t>
  </si>
  <si>
    <t>Poids d'une molécule (ng)</t>
  </si>
  <si>
    <t>Nombre de molécules d'ADN par échantillon</t>
  </si>
  <si>
    <t>Pourcentage de PG par échantillon</t>
  </si>
  <si>
    <t>Avec 1 locus</t>
  </si>
  <si>
    <t>Avec 5 locus</t>
  </si>
  <si>
    <t>Avec 10 locus</t>
  </si>
  <si>
    <t>Courbe 1</t>
  </si>
  <si>
    <t>Courbe 2</t>
  </si>
  <si>
    <t>Courbe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</si>
</sst>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E+00"/>
  </numFmts>
  <fonts count="14" x14ac:knownFonts="1">
    <font>
      <sz val="11"/>
      <name val="Calibri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i/>
      <sz val="11"/>
      <name val="Calibri"/>
      <family val="2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80808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EDB0C"/>
        <bgColor indexed="64"/>
      </patternFill>
    </fill>
    <fill>
      <patternFill patternType="solid">
        <fgColor rgb="FFEEAB05"/>
        <bgColor indexed="64"/>
      </patternFill>
    </fill>
    <fill>
      <patternFill patternType="solid">
        <fgColor rgb="FFEE711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21">
    <xf numFmtId="0" fontId="0" fillId="0" borderId="0" xfId="0" applyFont="1"/>
    <xf numFmtId="0" fontId="1" fillId="0" borderId="0" xfId="0" applyFont="1" applyFill="1"/>
    <xf numFmtId="0" fontId="2" fillId="2" borderId="0" xfId="0" applyFont="1" applyFill="1"/>
    <xf numFmtId="0" fontId="1" fillId="0" borderId="0" xfId="0" applyFont="1" applyFill="1"/>
    <xf numFmtId="0" fontId="2" fillId="2" borderId="0" xfId="0" applyFont="1" applyFill="1"/>
    <xf numFmtId="0" fontId="1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0" xfId="0" applyFill="1" applyBorder="1"/>
    <xf numFmtId="0" fontId="5" fillId="0" borderId="1" xfId="0" applyFont="1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5" fillId="0" borderId="0" xfId="0" applyFont="1" applyFill="1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3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2" fontId="0" fillId="5" borderId="0" xfId="0" applyNumberFormat="1" applyFill="1" applyAlignment="1">
      <alignment horizontal="center"/>
    </xf>
    <xf numFmtId="14" fontId="0" fillId="0" borderId="0" xfId="0" applyNumberFormat="1" applyFont="1"/>
    <xf numFmtId="164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/>
    <xf numFmtId="4" fontId="3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64" fontId="0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 vertical="center" wrapText="1"/>
    </xf>
    <xf numFmtId="0" fontId="0" fillId="0" borderId="0" xfId="0" applyAlignment="1">
      <alignment horizontal="right"/>
    </xf>
    <xf numFmtId="0" fontId="7" fillId="0" borderId="0" xfId="0" applyFont="1" applyAlignment="1">
      <alignment horizontal="center" vertical="center" wrapText="1"/>
    </xf>
    <xf numFmtId="0" fontId="11" fillId="3" borderId="17" xfId="0" applyFont="1" applyFill="1" applyBorder="1" applyAlignment="1">
      <alignment horizontal="left" vertical="center"/>
    </xf>
    <xf numFmtId="0" fontId="11" fillId="3" borderId="18" xfId="0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left" vertical="center"/>
    </xf>
    <xf numFmtId="0" fontId="11" fillId="3" borderId="20" xfId="0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left" vertical="center"/>
    </xf>
    <xf numFmtId="0" fontId="0" fillId="3" borderId="22" xfId="0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7" borderId="0" xfId="0" applyFont="1" applyFill="1"/>
    <xf numFmtId="0" fontId="0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 wrapText="1"/>
    </xf>
    <xf numFmtId="164" fontId="0" fillId="7" borderId="0" xfId="0" applyNumberFormat="1" applyFont="1" applyFill="1" applyAlignment="1">
      <alignment horizontal="center"/>
    </xf>
    <xf numFmtId="0" fontId="11" fillId="3" borderId="17" xfId="0" applyFont="1" applyFill="1" applyBorder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ont="1" applyFill="1"/>
    <xf numFmtId="2" fontId="0" fillId="8" borderId="0" xfId="0" applyNumberFormat="1" applyFont="1" applyFill="1"/>
    <xf numFmtId="0" fontId="0" fillId="4" borderId="0" xfId="0" applyFont="1" applyFill="1" applyAlignment="1">
      <alignment wrapText="1"/>
    </xf>
    <xf numFmtId="0" fontId="8" fillId="4" borderId="0" xfId="0" applyFont="1" applyFill="1" applyAlignment="1">
      <alignment horizontal="center" vertical="center"/>
    </xf>
    <xf numFmtId="2" fontId="0" fillId="4" borderId="0" xfId="0" applyNumberFormat="1" applyFont="1" applyFill="1"/>
    <xf numFmtId="0" fontId="0" fillId="4" borderId="0" xfId="0" applyFont="1" applyFill="1"/>
    <xf numFmtId="0" fontId="0" fillId="7" borderId="0" xfId="0" applyFont="1" applyFill="1" applyAlignment="1">
      <alignment wrapText="1"/>
    </xf>
    <xf numFmtId="0" fontId="7" fillId="11" borderId="0" xfId="0" applyFont="1" applyFill="1" applyAlignment="1">
      <alignment horizontal="center" vertical="center"/>
    </xf>
    <xf numFmtId="165" fontId="0" fillId="11" borderId="0" xfId="0" applyNumberFormat="1" applyFont="1" applyFill="1"/>
    <xf numFmtId="0" fontId="0" fillId="11" borderId="0" xfId="0" applyFill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65" fontId="0" fillId="12" borderId="0" xfId="0" applyNumberFormat="1" applyFont="1" applyFill="1"/>
    <xf numFmtId="0" fontId="0" fillId="12" borderId="0" xfId="0" applyFill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165" fontId="0" fillId="13" borderId="0" xfId="0" applyNumberFormat="1" applyFont="1" applyFill="1"/>
    <xf numFmtId="0" fontId="0" fillId="13" borderId="0" xfId="0" applyFill="1" applyAlignment="1">
      <alignment horizontal="center" vertical="center"/>
    </xf>
    <xf numFmtId="165" fontId="0" fillId="8" borderId="0" xfId="0" applyNumberFormat="1" applyFont="1" applyFill="1"/>
    <xf numFmtId="0" fontId="7" fillId="11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vertical="center"/>
    </xf>
    <xf numFmtId="0" fontId="7" fillId="12" borderId="1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vertical="center"/>
    </xf>
    <xf numFmtId="0" fontId="7" fillId="13" borderId="1" xfId="0" applyFont="1" applyFill="1" applyBorder="1" applyAlignment="1">
      <alignment horizontal="center" vertical="center"/>
    </xf>
    <xf numFmtId="0" fontId="0" fillId="13" borderId="1" xfId="0" applyFont="1" applyFill="1" applyBorder="1" applyAlignment="1">
      <alignment vertical="center"/>
    </xf>
    <xf numFmtId="0" fontId="0" fillId="9" borderId="0" xfId="0" applyFont="1" applyFill="1"/>
    <xf numFmtId="0" fontId="0" fillId="14" borderId="0" xfId="0" applyFont="1" applyFill="1"/>
    <xf numFmtId="0" fontId="0" fillId="4" borderId="0" xfId="0" applyFont="1" applyFill="1" applyAlignment="1"/>
    <xf numFmtId="165" fontId="12" fillId="15" borderId="0" xfId="0" applyNumberFormat="1" applyFont="1" applyFill="1"/>
    <xf numFmtId="165" fontId="0" fillId="15" borderId="0" xfId="0" applyNumberFormat="1" applyFont="1" applyFill="1"/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13" borderId="17" xfId="0" applyFont="1" applyFill="1" applyBorder="1" applyAlignment="1">
      <alignment horizontal="center"/>
    </xf>
    <xf numFmtId="0" fontId="0" fillId="13" borderId="23" xfId="0" applyFont="1" applyFill="1" applyBorder="1" applyAlignment="1">
      <alignment horizontal="center"/>
    </xf>
    <xf numFmtId="0" fontId="0" fillId="13" borderId="18" xfId="0" applyFont="1" applyFill="1" applyBorder="1" applyAlignment="1">
      <alignment horizontal="center"/>
    </xf>
    <xf numFmtId="0" fontId="0" fillId="9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0" fontId="0" fillId="11" borderId="17" xfId="0" applyFont="1" applyFill="1" applyBorder="1" applyAlignment="1">
      <alignment horizontal="center"/>
    </xf>
    <xf numFmtId="0" fontId="0" fillId="11" borderId="23" xfId="0" applyFont="1" applyFill="1" applyBorder="1" applyAlignment="1">
      <alignment horizontal="center"/>
    </xf>
    <xf numFmtId="0" fontId="0" fillId="11" borderId="18" xfId="0" applyFont="1" applyFill="1" applyBorder="1" applyAlignment="1">
      <alignment horizontal="center"/>
    </xf>
    <xf numFmtId="0" fontId="0" fillId="12" borderId="17" xfId="0" applyFont="1" applyFill="1" applyBorder="1" applyAlignment="1">
      <alignment horizontal="center"/>
    </xf>
    <xf numFmtId="0" fontId="0" fillId="12" borderId="23" xfId="0" applyFont="1" applyFill="1" applyBorder="1" applyAlignment="1">
      <alignment horizontal="center"/>
    </xf>
    <xf numFmtId="0" fontId="0" fillId="12" borderId="1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7119"/>
      <color rgb="FFEEAB05"/>
      <color rgb="FFEEDB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'Dosage-Picogreen'!$N$15</c:f>
              <c:strCache>
                <c:ptCount val="1"/>
                <c:pt idx="0">
                  <c:v>Gamme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789851268591423"/>
                  <c:y val="7.35976232137649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R"/>
                </a:p>
              </c:txPr>
            </c:trendlineLbl>
          </c:trendline>
          <c:xVal>
            <c:numRef>
              <c:f>'Dosage-Picogreen'!$M$16:$M$21</c:f>
              <c:numCache>
                <c:formatCode>General</c:formatCode>
                <c:ptCount val="6"/>
                <c:pt idx="0">
                  <c:v>43604.5</c:v>
                </c:pt>
                <c:pt idx="1">
                  <c:v>22955.5</c:v>
                </c:pt>
                <c:pt idx="2">
                  <c:v>11809.5</c:v>
                </c:pt>
                <c:pt idx="3">
                  <c:v>6476.5</c:v>
                </c:pt>
                <c:pt idx="4">
                  <c:v>3259.5</c:v>
                </c:pt>
                <c:pt idx="5">
                  <c:v>1627.5</c:v>
                </c:pt>
              </c:numCache>
            </c:numRef>
          </c:xVal>
          <c:yVal>
            <c:numRef>
              <c:f>'Dosage-Picogreen'!$N$16:$N$21</c:f>
              <c:numCache>
                <c:formatCode>General</c:formatCode>
                <c:ptCount val="6"/>
                <c:pt idx="0">
                  <c:v>40</c:v>
                </c:pt>
                <c:pt idx="1">
                  <c:v>20</c:v>
                </c:pt>
                <c:pt idx="2">
                  <c:v>10</c:v>
                </c:pt>
                <c:pt idx="3">
                  <c:v>5</c:v>
                </c:pt>
                <c:pt idx="4">
                  <c:v>2.5</c:v>
                </c:pt>
                <c:pt idx="5">
                  <c:v>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F-4A83-987B-7751F42C4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940752"/>
        <c:axId val="903934928"/>
      </c:scatterChart>
      <c:valAx>
        <c:axId val="90394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903934928"/>
        <c:crosses val="autoZero"/>
        <c:crossBetween val="midCat"/>
      </c:valAx>
      <c:valAx>
        <c:axId val="90393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90394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371475</xdr:colOff>
      <xdr:row>12</xdr:row>
      <xdr:rowOff>133350</xdr:rowOff>
    </xdr:from>
    <xdr:to>
      <xdr:col>20</xdr:col>
      <xdr:colOff>371475</xdr:colOff>
      <xdr:row>27</xdr:row>
      <xdr:rowOff>114300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25400</xdr:colOff>
      <xdr:row>10</xdr:row>
      <xdr:rowOff>19050</xdr:rowOff>
    </xdr:from>
    <xdr:to>
      <xdr:col>25</xdr:col>
      <xdr:colOff>0</xdr:colOff>
      <xdr:row>32</xdr:row>
      <xdr:rowOff>45390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118" t="12847" r="25435" b="12269"/>
        <a:stretch/>
      </xdr:blipFill>
      <xdr:spPr>
        <a:xfrm>
          <a:off x="7188200" y="1860550"/>
          <a:ext cx="5118100" cy="42617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387350</xdr:colOff>
      <xdr:row>21</xdr:row>
      <xdr:rowOff>69850</xdr:rowOff>
    </xdr:from>
    <xdr:to>
      <xdr:col>24</xdr:col>
      <xdr:colOff>649501</xdr:colOff>
      <xdr:row>38</xdr:row>
      <xdr:rowOff>127000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21400" y="3956050"/>
          <a:ext cx="10790451" cy="3187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0"/>
  <sheetViews>
    <sheetView workbookViewId="0">
      <selection activeCell="F14" sqref="F14"/>
    </sheetView>
  </sheetViews>
  <sheetFormatPr baseColWidth="10" defaultRowHeight="16" x14ac:dyDescent="0.2"/>
  <cols>
    <col min="1" max="7" width="10.83203125" style="57"/>
    <col min="8" max="8" width="25.6640625" style="57" customWidth="1"/>
    <col min="9" max="16384" width="10.83203125" style="57"/>
  </cols>
  <sheetData>
    <row r="1" spans="2:10" x14ac:dyDescent="0.2">
      <c r="B1" s="57" t="s">
        <v>131</v>
      </c>
    </row>
    <row r="2" spans="2:10" x14ac:dyDescent="0.2">
      <c r="I2" s="57" t="s">
        <v>123</v>
      </c>
    </row>
    <row r="3" spans="2:10" x14ac:dyDescent="0.2">
      <c r="B3" s="57" t="s">
        <v>121</v>
      </c>
      <c r="H3" s="57" t="s">
        <v>132</v>
      </c>
      <c r="I3" s="58">
        <v>1</v>
      </c>
      <c r="J3" s="58"/>
    </row>
    <row r="4" spans="2:10" x14ac:dyDescent="0.2">
      <c r="I4" s="58"/>
      <c r="J4" s="58"/>
    </row>
    <row r="5" spans="2:10" x14ac:dyDescent="0.2">
      <c r="B5" s="57" t="s">
        <v>127</v>
      </c>
      <c r="H5" s="57" t="s">
        <v>126</v>
      </c>
      <c r="I5" s="58">
        <v>2</v>
      </c>
      <c r="J5" s="58"/>
    </row>
    <row r="6" spans="2:10" x14ac:dyDescent="0.2">
      <c r="I6" s="58"/>
      <c r="J6" s="58"/>
    </row>
    <row r="7" spans="2:10" x14ac:dyDescent="0.2">
      <c r="B7" s="57" t="s">
        <v>122</v>
      </c>
      <c r="H7" s="57" t="s">
        <v>124</v>
      </c>
      <c r="I7" s="58">
        <v>3</v>
      </c>
      <c r="J7" s="58"/>
    </row>
    <row r="8" spans="2:10" x14ac:dyDescent="0.2">
      <c r="H8" s="57" t="s">
        <v>125</v>
      </c>
      <c r="I8" s="58">
        <v>4</v>
      </c>
      <c r="J8" s="58"/>
    </row>
    <row r="9" spans="2:10" x14ac:dyDescent="0.2">
      <c r="I9" s="58"/>
      <c r="J9" s="58"/>
    </row>
    <row r="10" spans="2:10" x14ac:dyDescent="0.2">
      <c r="B10" s="57" t="s">
        <v>128</v>
      </c>
      <c r="H10" s="57" t="s">
        <v>124</v>
      </c>
      <c r="I10" s="58">
        <v>5</v>
      </c>
      <c r="J10" s="58"/>
    </row>
    <row r="11" spans="2:10" x14ac:dyDescent="0.2">
      <c r="H11" s="57" t="s">
        <v>125</v>
      </c>
      <c r="I11" s="58">
        <v>6</v>
      </c>
      <c r="J11" s="58"/>
    </row>
    <row r="12" spans="2:10" x14ac:dyDescent="0.2">
      <c r="I12" s="58"/>
      <c r="J12" s="58"/>
    </row>
    <row r="13" spans="2:10" x14ac:dyDescent="0.2">
      <c r="B13" s="57" t="s">
        <v>128</v>
      </c>
      <c r="H13" s="57" t="s">
        <v>124</v>
      </c>
      <c r="I13" s="58">
        <v>7</v>
      </c>
      <c r="J13" s="58"/>
    </row>
    <row r="14" spans="2:10" x14ac:dyDescent="0.2">
      <c r="H14" s="57" t="s">
        <v>125</v>
      </c>
      <c r="I14" s="58">
        <v>8</v>
      </c>
      <c r="J14" s="58"/>
    </row>
    <row r="15" spans="2:10" x14ac:dyDescent="0.2">
      <c r="I15" s="58"/>
      <c r="J15" s="58"/>
    </row>
    <row r="16" spans="2:10" x14ac:dyDescent="0.2">
      <c r="B16" s="57" t="s">
        <v>129</v>
      </c>
      <c r="H16" s="57" t="s">
        <v>124</v>
      </c>
      <c r="I16" s="58">
        <v>9</v>
      </c>
      <c r="J16" s="58"/>
    </row>
    <row r="17" spans="2:10" x14ac:dyDescent="0.2">
      <c r="H17" s="57" t="s">
        <v>125</v>
      </c>
      <c r="I17" s="58">
        <v>10</v>
      </c>
      <c r="J17" s="58"/>
    </row>
    <row r="18" spans="2:10" x14ac:dyDescent="0.2">
      <c r="I18" s="58"/>
      <c r="J18" s="58"/>
    </row>
    <row r="19" spans="2:10" x14ac:dyDescent="0.2">
      <c r="B19" s="57" t="s">
        <v>130</v>
      </c>
      <c r="H19" s="57" t="s">
        <v>124</v>
      </c>
      <c r="I19" s="58">
        <v>11</v>
      </c>
      <c r="J19" s="58"/>
    </row>
    <row r="20" spans="2:10" x14ac:dyDescent="0.2">
      <c r="H20" s="57" t="s">
        <v>125</v>
      </c>
      <c r="I20" s="58">
        <v>12</v>
      </c>
      <c r="J20" s="5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"/>
  <sheetViews>
    <sheetView topLeftCell="A13" workbookViewId="0">
      <selection activeCell="Q11" sqref="Q11"/>
    </sheetView>
  </sheetViews>
  <sheetFormatPr baseColWidth="10" defaultColWidth="8.6640625" defaultRowHeight="15" x14ac:dyDescent="0.2"/>
  <sheetData>
    <row r="1" spans="1:13" x14ac:dyDescent="0.2">
      <c r="A1" s="1" t="s">
        <v>0</v>
      </c>
      <c r="B1" s="1"/>
      <c r="C1" s="1"/>
      <c r="D1" s="1"/>
      <c r="E1" s="1"/>
      <c r="F1" s="1"/>
      <c r="G1" s="3" t="s">
        <v>0</v>
      </c>
      <c r="H1" s="3"/>
      <c r="I1" s="3"/>
      <c r="J1" s="3"/>
      <c r="K1" s="3"/>
      <c r="L1" s="3"/>
      <c r="M1" s="3"/>
    </row>
    <row r="2" spans="1:13" x14ac:dyDescent="0.2">
      <c r="A2" s="2" t="s">
        <v>1</v>
      </c>
      <c r="B2" s="2">
        <v>230</v>
      </c>
      <c r="C2" s="2">
        <v>260</v>
      </c>
      <c r="D2" s="2">
        <v>280</v>
      </c>
      <c r="E2" s="2">
        <v>310</v>
      </c>
      <c r="G2" s="4" t="s">
        <v>1</v>
      </c>
      <c r="H2" s="4" t="s">
        <v>18</v>
      </c>
      <c r="I2" s="4">
        <v>230</v>
      </c>
      <c r="J2" s="4">
        <v>280</v>
      </c>
      <c r="K2" s="4" t="s">
        <v>19</v>
      </c>
      <c r="L2" s="4" t="s">
        <v>20</v>
      </c>
      <c r="M2" s="4" t="s">
        <v>21</v>
      </c>
    </row>
    <row r="3" spans="1:13" x14ac:dyDescent="0.2">
      <c r="A3" s="2" t="s">
        <v>2</v>
      </c>
      <c r="B3" s="1">
        <v>8.6900000000000005E-2</v>
      </c>
      <c r="C3" s="1">
        <v>6.7699999999999996E-2</v>
      </c>
      <c r="D3" s="1">
        <v>6.3600000000000004E-2</v>
      </c>
      <c r="E3" s="1">
        <v>5.6399999999999999E-2</v>
      </c>
      <c r="G3" s="4" t="s">
        <v>2</v>
      </c>
      <c r="H3" s="3">
        <v>0.17549999999999999</v>
      </c>
      <c r="I3" s="3">
        <v>0.21690000000000001</v>
      </c>
      <c r="J3" s="3">
        <v>8.2299999999999998E-2</v>
      </c>
      <c r="K3" s="3">
        <v>175.5</v>
      </c>
      <c r="L3" s="3">
        <v>0.81</v>
      </c>
      <c r="M3" s="3">
        <v>2.13</v>
      </c>
    </row>
    <row r="4" spans="1:13" x14ac:dyDescent="0.2">
      <c r="A4" s="2" t="s">
        <v>3</v>
      </c>
      <c r="B4" s="1">
        <v>7.9200000000000007E-2</v>
      </c>
      <c r="C4" s="1">
        <v>6.0900000000000003E-2</v>
      </c>
      <c r="D4" s="1">
        <v>5.6899999999999999E-2</v>
      </c>
      <c r="E4" s="1">
        <v>5.1499999999999997E-2</v>
      </c>
      <c r="G4" s="4" t="s">
        <v>3</v>
      </c>
      <c r="H4" s="3">
        <v>1.4800000000000001E-2</v>
      </c>
      <c r="I4" s="3">
        <v>0.14990000000000001</v>
      </c>
      <c r="J4" s="3">
        <v>1.0699999999999999E-2</v>
      </c>
      <c r="K4" s="3">
        <v>14.76</v>
      </c>
      <c r="L4" s="3">
        <v>0.1</v>
      </c>
      <c r="M4" s="3">
        <v>1.38</v>
      </c>
    </row>
    <row r="5" spans="1:13" x14ac:dyDescent="0.2">
      <c r="A5" s="2" t="s">
        <v>4</v>
      </c>
      <c r="B5" s="1">
        <v>6.8500000000000005E-2</v>
      </c>
      <c r="C5" s="1">
        <v>5.4300000000000001E-2</v>
      </c>
      <c r="D5" s="1">
        <v>5.11E-2</v>
      </c>
      <c r="E5" s="1">
        <v>4.7100000000000003E-2</v>
      </c>
      <c r="G5" s="4" t="s">
        <v>4</v>
      </c>
      <c r="H5" s="3">
        <v>9.4999999999999998E-3</v>
      </c>
      <c r="I5" s="3">
        <v>0.1066</v>
      </c>
      <c r="J5" s="3">
        <v>4.7999999999999996E-3</v>
      </c>
      <c r="K5" s="3">
        <v>9.52</v>
      </c>
      <c r="L5" s="3">
        <v>0.09</v>
      </c>
      <c r="M5" s="3">
        <v>1.98</v>
      </c>
    </row>
    <row r="6" spans="1:13" x14ac:dyDescent="0.2">
      <c r="A6" s="2" t="s">
        <v>5</v>
      </c>
      <c r="B6" s="1">
        <v>7.2300000000000003E-2</v>
      </c>
      <c r="C6" s="1">
        <v>5.62E-2</v>
      </c>
      <c r="D6" s="1">
        <v>5.2400000000000002E-2</v>
      </c>
      <c r="E6" s="1">
        <v>4.7899999999999998E-2</v>
      </c>
      <c r="G6" s="4" t="s">
        <v>5</v>
      </c>
      <c r="H6" s="3">
        <v>3.27E-2</v>
      </c>
      <c r="I6" s="3">
        <v>0.23019999999999999</v>
      </c>
      <c r="J6" s="3">
        <v>2.7400000000000001E-2</v>
      </c>
      <c r="K6" s="3">
        <v>32.72</v>
      </c>
      <c r="L6" s="3">
        <v>0.14000000000000001</v>
      </c>
      <c r="M6" s="3">
        <v>1.2</v>
      </c>
    </row>
    <row r="7" spans="1:13" x14ac:dyDescent="0.2">
      <c r="A7" s="2" t="s">
        <v>6</v>
      </c>
      <c r="B7" s="1">
        <v>6.5799999999999997E-2</v>
      </c>
      <c r="C7" s="1">
        <v>5.33E-2</v>
      </c>
      <c r="D7" s="1">
        <v>5.0599999999999999E-2</v>
      </c>
      <c r="E7" s="1">
        <v>4.6699999999999998E-2</v>
      </c>
      <c r="G7" s="4" t="s">
        <v>6</v>
      </c>
      <c r="H7" s="3">
        <v>1.5100000000000001E-2</v>
      </c>
      <c r="I7" s="3">
        <v>0.15559999999999999</v>
      </c>
      <c r="J7" s="3">
        <v>9.2999999999999992E-3</v>
      </c>
      <c r="K7" s="3">
        <v>15.11</v>
      </c>
      <c r="L7" s="3">
        <v>0.1</v>
      </c>
      <c r="M7" s="3">
        <v>1.62</v>
      </c>
    </row>
    <row r="8" spans="1:13" x14ac:dyDescent="0.2">
      <c r="A8" s="2" t="s">
        <v>7</v>
      </c>
      <c r="B8" s="1">
        <v>8.2299999999999998E-2</v>
      </c>
      <c r="C8" s="1">
        <v>6.2100000000000002E-2</v>
      </c>
      <c r="D8" s="1">
        <v>5.8299999999999998E-2</v>
      </c>
      <c r="E8" s="1">
        <v>5.28E-2</v>
      </c>
      <c r="G8" s="4" t="s">
        <v>7</v>
      </c>
      <c r="H8" s="3">
        <v>1.0999999999999999E-2</v>
      </c>
      <c r="I8" s="3">
        <v>9.5600000000000004E-2</v>
      </c>
      <c r="J8" s="3">
        <v>5.4999999999999997E-3</v>
      </c>
      <c r="K8" s="3">
        <v>10.97</v>
      </c>
      <c r="L8" s="3">
        <v>0.11</v>
      </c>
      <c r="M8" s="3">
        <v>2</v>
      </c>
    </row>
    <row r="9" spans="1:13" x14ac:dyDescent="0.2">
      <c r="A9" s="2" t="s">
        <v>8</v>
      </c>
      <c r="B9" s="1">
        <v>6.7900000000000002E-2</v>
      </c>
      <c r="C9" s="1">
        <v>5.3499999999999999E-2</v>
      </c>
      <c r="D9" s="1">
        <v>5.04E-2</v>
      </c>
      <c r="E9" s="1">
        <v>4.6199999999999998E-2</v>
      </c>
      <c r="G9" s="4" t="s">
        <v>8</v>
      </c>
      <c r="H9" s="3">
        <v>3.2000000000000002E-3</v>
      </c>
      <c r="I9" s="3">
        <v>1.47E-2</v>
      </c>
      <c r="J9" s="3">
        <v>8.0000000000000004E-4</v>
      </c>
      <c r="K9" s="3">
        <v>3.23</v>
      </c>
      <c r="L9" s="3">
        <v>0.22</v>
      </c>
      <c r="M9" s="3">
        <v>4.28</v>
      </c>
    </row>
    <row r="10" spans="1:13" x14ac:dyDescent="0.2">
      <c r="A10" s="2" t="s">
        <v>9</v>
      </c>
      <c r="B10" s="1">
        <v>8.4099999999999994E-2</v>
      </c>
      <c r="C10" s="1">
        <v>6.3100000000000003E-2</v>
      </c>
      <c r="D10" s="1">
        <v>5.8999999999999997E-2</v>
      </c>
      <c r="E10" s="1">
        <v>5.3100000000000001E-2</v>
      </c>
      <c r="G10" s="4" t="s">
        <v>9</v>
      </c>
      <c r="H10" s="3">
        <v>1.34E-2</v>
      </c>
      <c r="I10" s="3">
        <v>0.1338</v>
      </c>
      <c r="J10" s="3">
        <v>7.7999999999999996E-3</v>
      </c>
      <c r="K10" s="3">
        <v>13.41</v>
      </c>
      <c r="L10" s="3">
        <v>0.1</v>
      </c>
      <c r="M10" s="3">
        <v>1.72</v>
      </c>
    </row>
    <row r="11" spans="1:13" x14ac:dyDescent="0.2">
      <c r="A11" s="2" t="s">
        <v>10</v>
      </c>
      <c r="B11" s="1">
        <v>7.8600000000000003E-2</v>
      </c>
      <c r="C11" s="1">
        <v>5.8099999999999999E-2</v>
      </c>
      <c r="D11" s="1">
        <v>5.4300000000000001E-2</v>
      </c>
      <c r="E11" s="1">
        <v>0.05</v>
      </c>
      <c r="G11" s="4" t="s">
        <v>10</v>
      </c>
      <c r="H11" s="3">
        <v>1.0999999999999999E-2</v>
      </c>
      <c r="I11" s="3">
        <v>7.6600000000000001E-2</v>
      </c>
      <c r="J11" s="3">
        <v>6.4999999999999997E-3</v>
      </c>
      <c r="K11" s="3">
        <v>11</v>
      </c>
      <c r="L11" s="3">
        <v>0.14000000000000001</v>
      </c>
      <c r="M11" s="3">
        <v>1.7</v>
      </c>
    </row>
    <row r="12" spans="1:13" x14ac:dyDescent="0.2">
      <c r="A12" s="2" t="s">
        <v>11</v>
      </c>
      <c r="B12" s="1">
        <v>7.0099999999999996E-2</v>
      </c>
      <c r="C12" s="1">
        <v>5.5500000000000001E-2</v>
      </c>
      <c r="D12" s="1">
        <v>5.2299999999999999E-2</v>
      </c>
      <c r="E12" s="1">
        <v>4.7800000000000002E-2</v>
      </c>
      <c r="G12" s="4" t="s">
        <v>11</v>
      </c>
      <c r="H12" s="3">
        <v>1.6999999999999999E-3</v>
      </c>
      <c r="I12" s="3">
        <v>3.0999999999999999E-3</v>
      </c>
      <c r="J12" s="3">
        <v>6.9999999999999999E-4</v>
      </c>
      <c r="K12" s="3">
        <v>1.71</v>
      </c>
      <c r="L12" s="3">
        <v>0.56000000000000005</v>
      </c>
      <c r="M12" s="3">
        <v>2.52</v>
      </c>
    </row>
    <row r="13" spans="1:13" x14ac:dyDescent="0.2">
      <c r="A13" s="2" t="s">
        <v>12</v>
      </c>
      <c r="B13" s="1">
        <v>7.2999999999999995E-2</v>
      </c>
      <c r="C13" s="1">
        <v>5.6500000000000002E-2</v>
      </c>
      <c r="D13" s="1">
        <v>5.3400000000000003E-2</v>
      </c>
      <c r="E13" s="1">
        <v>4.8800000000000003E-2</v>
      </c>
      <c r="G13" s="4" t="s">
        <v>12</v>
      </c>
      <c r="H13" s="3">
        <v>1.6199999999999999E-2</v>
      </c>
      <c r="I13" s="3">
        <v>0.1416</v>
      </c>
      <c r="J13" s="3">
        <v>9.9000000000000008E-3</v>
      </c>
      <c r="K13" s="3">
        <v>16.239999999999998</v>
      </c>
      <c r="L13" s="3">
        <v>0.11</v>
      </c>
      <c r="M13" s="3">
        <v>1.64</v>
      </c>
    </row>
    <row r="14" spans="1:13" x14ac:dyDescent="0.2">
      <c r="A14" s="2" t="s">
        <v>13</v>
      </c>
      <c r="B14" s="1">
        <v>9.6699999999999994E-2</v>
      </c>
      <c r="C14" s="1">
        <v>7.51E-2</v>
      </c>
      <c r="D14" s="1">
        <v>7.1300000000000002E-2</v>
      </c>
      <c r="E14" s="1">
        <v>6.6900000000000001E-2</v>
      </c>
      <c r="G14" s="4" t="s">
        <v>13</v>
      </c>
      <c r="H14" s="3">
        <v>3.2000000000000002E-3</v>
      </c>
      <c r="I14" s="3">
        <v>3.8E-3</v>
      </c>
      <c r="J14" s="3">
        <v>1.6000000000000001E-3</v>
      </c>
      <c r="K14" s="3">
        <v>3.18</v>
      </c>
      <c r="L14" s="3">
        <v>0.83</v>
      </c>
      <c r="M14" s="3">
        <v>1.93</v>
      </c>
    </row>
    <row r="15" spans="1:13" x14ac:dyDescent="0.2">
      <c r="A15" s="2" t="s">
        <v>14</v>
      </c>
      <c r="B15" s="1">
        <v>7.7799999999999994E-2</v>
      </c>
      <c r="C15" s="1">
        <v>5.8500000000000003E-2</v>
      </c>
      <c r="D15" s="1">
        <v>5.4899999999999997E-2</v>
      </c>
      <c r="E15" s="1">
        <v>4.9500000000000002E-2</v>
      </c>
      <c r="G15" s="4" t="s">
        <v>14</v>
      </c>
      <c r="H15" s="3">
        <v>1.21E-2</v>
      </c>
      <c r="I15" s="3">
        <v>0.1089</v>
      </c>
      <c r="J15" s="3">
        <v>5.8999999999999999E-3</v>
      </c>
      <c r="K15" s="3">
        <v>12.05</v>
      </c>
      <c r="L15" s="3">
        <v>0.11</v>
      </c>
      <c r="M15" s="3">
        <v>2.0499999999999998</v>
      </c>
    </row>
    <row r="16" spans="1:13" x14ac:dyDescent="0.2">
      <c r="A16" s="2" t="s">
        <v>15</v>
      </c>
      <c r="B16" s="1">
        <v>6.6900000000000001E-2</v>
      </c>
      <c r="C16" s="1">
        <v>5.3400000000000003E-2</v>
      </c>
      <c r="D16" s="1">
        <v>5.0299999999999997E-2</v>
      </c>
      <c r="E16" s="1">
        <v>4.6300000000000001E-2</v>
      </c>
      <c r="G16" s="4" t="s">
        <v>15</v>
      </c>
      <c r="H16" s="3">
        <v>1.5E-3</v>
      </c>
      <c r="I16" s="3">
        <v>3.3999999999999998E-3</v>
      </c>
      <c r="J16" s="3">
        <v>6.9999999999999999E-4</v>
      </c>
      <c r="K16" s="3">
        <v>1.53</v>
      </c>
      <c r="L16" s="3">
        <v>0.45</v>
      </c>
      <c r="M16" s="3">
        <v>2.33</v>
      </c>
    </row>
    <row r="17" spans="1:13" x14ac:dyDescent="0.2">
      <c r="A17" s="2" t="s">
        <v>16</v>
      </c>
      <c r="B17" s="1">
        <v>7.0999999999999994E-2</v>
      </c>
      <c r="C17" s="1">
        <v>5.5599999999999997E-2</v>
      </c>
      <c r="D17" s="1">
        <v>5.21E-2</v>
      </c>
      <c r="E17" s="1">
        <v>4.7699999999999999E-2</v>
      </c>
      <c r="G17" s="4" t="s">
        <v>16</v>
      </c>
      <c r="H17" s="3">
        <v>1.4500000000000001E-2</v>
      </c>
      <c r="I17" s="3">
        <v>0.1535</v>
      </c>
      <c r="J17" s="3">
        <v>1.0699999999999999E-2</v>
      </c>
      <c r="K17" s="3">
        <v>14.48</v>
      </c>
      <c r="L17" s="3">
        <v>0.09</v>
      </c>
      <c r="M17" s="3">
        <v>1.36</v>
      </c>
    </row>
    <row r="18" spans="1:13" x14ac:dyDescent="0.2">
      <c r="A18" s="2" t="s">
        <v>17</v>
      </c>
      <c r="B18" s="1">
        <v>6.7400000000000002E-2</v>
      </c>
      <c r="C18" s="1">
        <v>5.3699999999999998E-2</v>
      </c>
      <c r="D18" s="1">
        <v>5.0700000000000002E-2</v>
      </c>
      <c r="E18" s="1">
        <v>4.6300000000000001E-2</v>
      </c>
      <c r="G18" s="4" t="s">
        <v>17</v>
      </c>
      <c r="H18" s="3">
        <v>1.5E-3</v>
      </c>
      <c r="I18" s="3">
        <v>3.0999999999999999E-3</v>
      </c>
      <c r="J18" s="3">
        <v>2.0000000000000001E-4</v>
      </c>
      <c r="K18" s="3">
        <v>1.53</v>
      </c>
      <c r="L18" s="3">
        <v>0.49</v>
      </c>
      <c r="M18" s="3">
        <v>9.8000000000000007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50"/>
  <sheetViews>
    <sheetView topLeftCell="A12" workbookViewId="0">
      <selection activeCell="G37" sqref="G37"/>
    </sheetView>
  </sheetViews>
  <sheetFormatPr baseColWidth="10" defaultRowHeight="15" x14ac:dyDescent="0.2"/>
  <cols>
    <col min="11" max="11" width="10.83203125" style="7"/>
  </cols>
  <sheetData>
    <row r="2" spans="1:14" x14ac:dyDescent="0.2">
      <c r="A2" t="s">
        <v>105</v>
      </c>
      <c r="C2" s="7" t="s">
        <v>101</v>
      </c>
      <c r="D2" s="7" t="s">
        <v>102</v>
      </c>
      <c r="E2" s="7" t="s">
        <v>103</v>
      </c>
      <c r="F2" s="7" t="s">
        <v>104</v>
      </c>
    </row>
    <row r="3" spans="1:14" x14ac:dyDescent="0.2">
      <c r="A3" s="49">
        <v>45251</v>
      </c>
      <c r="C3" s="7">
        <v>45851</v>
      </c>
      <c r="D3" s="7">
        <v>415</v>
      </c>
      <c r="E3" s="7">
        <v>147</v>
      </c>
      <c r="F3" s="7">
        <v>99</v>
      </c>
    </row>
    <row r="4" spans="1:14" x14ac:dyDescent="0.2">
      <c r="A4" t="s">
        <v>106</v>
      </c>
      <c r="C4" s="7">
        <v>273</v>
      </c>
      <c r="D4" s="7">
        <v>1429</v>
      </c>
      <c r="E4" s="7">
        <v>5855</v>
      </c>
      <c r="F4" s="7">
        <v>90</v>
      </c>
    </row>
    <row r="5" spans="1:14" x14ac:dyDescent="0.2">
      <c r="C5" s="7">
        <v>273</v>
      </c>
      <c r="D5" s="7">
        <v>193</v>
      </c>
      <c r="E5" s="7">
        <v>2137</v>
      </c>
      <c r="F5" s="7">
        <v>43699</v>
      </c>
    </row>
    <row r="6" spans="1:14" x14ac:dyDescent="0.2">
      <c r="C6" s="7">
        <v>828</v>
      </c>
      <c r="D6" s="7">
        <v>204</v>
      </c>
      <c r="E6" s="7">
        <v>473</v>
      </c>
      <c r="F6" s="7">
        <v>23050</v>
      </c>
    </row>
    <row r="7" spans="1:14" x14ac:dyDescent="0.2">
      <c r="C7" s="7">
        <v>176</v>
      </c>
      <c r="D7" s="7">
        <v>6763</v>
      </c>
      <c r="E7" s="7">
        <v>335</v>
      </c>
      <c r="F7" s="7">
        <v>11904</v>
      </c>
    </row>
    <row r="8" spans="1:14" x14ac:dyDescent="0.2">
      <c r="C8" s="7">
        <v>274</v>
      </c>
      <c r="D8" s="7">
        <v>98</v>
      </c>
      <c r="E8" s="7">
        <v>447</v>
      </c>
      <c r="F8" s="7">
        <v>6571</v>
      </c>
    </row>
    <row r="9" spans="1:14" x14ac:dyDescent="0.2">
      <c r="C9" s="7">
        <v>170</v>
      </c>
      <c r="D9" s="7">
        <v>90</v>
      </c>
      <c r="E9" s="7">
        <v>81</v>
      </c>
      <c r="F9" s="7">
        <v>3354</v>
      </c>
    </row>
    <row r="10" spans="1:14" x14ac:dyDescent="0.2">
      <c r="C10" s="7">
        <v>219</v>
      </c>
      <c r="D10" s="7"/>
      <c r="E10" s="7"/>
      <c r="F10" s="7">
        <v>1722</v>
      </c>
    </row>
    <row r="11" spans="1:14" x14ac:dyDescent="0.2">
      <c r="K11" s="7" t="s">
        <v>112</v>
      </c>
      <c r="M11" t="s">
        <v>114</v>
      </c>
    </row>
    <row r="12" spans="1:14" x14ac:dyDescent="0.2">
      <c r="F12" t="s">
        <v>109</v>
      </c>
      <c r="K12" s="7">
        <f>AVERAGE(J14,J15)</f>
        <v>94.5</v>
      </c>
    </row>
    <row r="13" spans="1:14" x14ac:dyDescent="0.2">
      <c r="C13" s="7" t="s">
        <v>101</v>
      </c>
      <c r="D13" s="7" t="s">
        <v>102</v>
      </c>
      <c r="E13" s="7" t="s">
        <v>103</v>
      </c>
      <c r="F13" s="7" t="s">
        <v>104</v>
      </c>
      <c r="I13" s="7" t="s">
        <v>111</v>
      </c>
      <c r="J13" s="7" t="s">
        <v>110</v>
      </c>
      <c r="K13" s="7" t="s">
        <v>113</v>
      </c>
    </row>
    <row r="14" spans="1:14" x14ac:dyDescent="0.2">
      <c r="C14" s="7">
        <v>1</v>
      </c>
      <c r="D14" s="7">
        <v>9</v>
      </c>
      <c r="E14" s="7" t="s">
        <v>52</v>
      </c>
      <c r="F14" s="7" t="s">
        <v>108</v>
      </c>
      <c r="I14" s="7" t="s">
        <v>108</v>
      </c>
      <c r="J14" s="7">
        <v>99</v>
      </c>
    </row>
    <row r="15" spans="1:14" x14ac:dyDescent="0.2">
      <c r="C15" s="7">
        <v>2</v>
      </c>
      <c r="D15" s="7">
        <v>10</v>
      </c>
      <c r="E15" s="7" t="s">
        <v>53</v>
      </c>
      <c r="F15" s="7" t="s">
        <v>108</v>
      </c>
      <c r="I15" s="7" t="s">
        <v>108</v>
      </c>
      <c r="J15" s="7">
        <v>90</v>
      </c>
      <c r="M15" s="7" t="s">
        <v>113</v>
      </c>
      <c r="N15" s="7" t="s">
        <v>111</v>
      </c>
    </row>
    <row r="16" spans="1:14" x14ac:dyDescent="0.2">
      <c r="C16" s="7">
        <v>3</v>
      </c>
      <c r="D16" s="7">
        <v>11</v>
      </c>
      <c r="E16" s="7" t="s">
        <v>54</v>
      </c>
      <c r="F16" s="7">
        <v>40</v>
      </c>
      <c r="I16" s="7">
        <v>40</v>
      </c>
      <c r="J16" s="7">
        <v>43699</v>
      </c>
      <c r="K16" s="7">
        <f>SUM(J16,-94.5)</f>
        <v>43604.5</v>
      </c>
      <c r="M16" s="7">
        <v>43604.5</v>
      </c>
      <c r="N16" s="7">
        <v>40</v>
      </c>
    </row>
    <row r="17" spans="2:14" x14ac:dyDescent="0.2">
      <c r="C17" s="7">
        <v>4</v>
      </c>
      <c r="D17" s="7">
        <v>12</v>
      </c>
      <c r="E17" s="7" t="s">
        <v>55</v>
      </c>
      <c r="F17" s="7">
        <v>20</v>
      </c>
      <c r="I17" s="7">
        <v>20</v>
      </c>
      <c r="J17" s="7">
        <v>23050</v>
      </c>
      <c r="K17" s="7">
        <f t="shared" ref="K17:K21" si="0">SUM(J17,-94.5)</f>
        <v>22955.5</v>
      </c>
      <c r="M17" s="7">
        <v>22955.5</v>
      </c>
      <c r="N17" s="7">
        <v>20</v>
      </c>
    </row>
    <row r="18" spans="2:14" x14ac:dyDescent="0.2">
      <c r="C18" s="7">
        <v>5</v>
      </c>
      <c r="D18" s="7" t="s">
        <v>107</v>
      </c>
      <c r="E18" s="7" t="s">
        <v>56</v>
      </c>
      <c r="F18" s="7">
        <v>10</v>
      </c>
      <c r="I18" s="7">
        <v>10</v>
      </c>
      <c r="J18" s="7">
        <v>11904</v>
      </c>
      <c r="K18" s="7">
        <f t="shared" si="0"/>
        <v>11809.5</v>
      </c>
      <c r="M18" s="7">
        <v>11809.5</v>
      </c>
      <c r="N18" s="7">
        <v>10</v>
      </c>
    </row>
    <row r="19" spans="2:14" x14ac:dyDescent="0.2">
      <c r="C19" s="7">
        <v>6</v>
      </c>
      <c r="D19" s="7" t="s">
        <v>90</v>
      </c>
      <c r="E19" s="7" t="s">
        <v>57</v>
      </c>
      <c r="F19" s="7">
        <v>5</v>
      </c>
      <c r="I19" s="7">
        <v>5</v>
      </c>
      <c r="J19" s="7">
        <v>6571</v>
      </c>
      <c r="K19" s="7">
        <f t="shared" si="0"/>
        <v>6476.5</v>
      </c>
      <c r="M19" s="7">
        <v>6476.5</v>
      </c>
      <c r="N19" s="7">
        <v>5</v>
      </c>
    </row>
    <row r="20" spans="2:14" x14ac:dyDescent="0.2">
      <c r="C20" s="7">
        <v>7</v>
      </c>
      <c r="D20" s="7" t="s">
        <v>48</v>
      </c>
      <c r="E20" s="7" t="s">
        <v>48</v>
      </c>
      <c r="F20" s="7">
        <v>2.5</v>
      </c>
      <c r="I20" s="7">
        <v>2.5</v>
      </c>
      <c r="J20" s="7">
        <v>3354</v>
      </c>
      <c r="K20" s="7">
        <f t="shared" si="0"/>
        <v>3259.5</v>
      </c>
      <c r="M20" s="7">
        <v>3259.5</v>
      </c>
      <c r="N20" s="7">
        <v>2.5</v>
      </c>
    </row>
    <row r="21" spans="2:14" x14ac:dyDescent="0.2">
      <c r="C21" s="7">
        <v>8</v>
      </c>
      <c r="D21" s="7"/>
      <c r="E21" s="7"/>
      <c r="F21" s="7">
        <v>1.25</v>
      </c>
      <c r="I21" s="7">
        <v>1.25</v>
      </c>
      <c r="J21" s="7">
        <v>1722</v>
      </c>
      <c r="K21" s="7">
        <f t="shared" si="0"/>
        <v>1627.5</v>
      </c>
      <c r="M21" s="7">
        <v>1627.5</v>
      </c>
      <c r="N21" s="7">
        <v>1.25</v>
      </c>
    </row>
    <row r="24" spans="2:14" x14ac:dyDescent="0.2">
      <c r="C24" s="7" t="s">
        <v>88</v>
      </c>
      <c r="D24" s="7" t="s">
        <v>110</v>
      </c>
      <c r="E24" t="s">
        <v>113</v>
      </c>
      <c r="F24" s="7" t="s">
        <v>115</v>
      </c>
      <c r="G24" s="60" t="s">
        <v>19</v>
      </c>
    </row>
    <row r="25" spans="2:14" x14ac:dyDescent="0.2">
      <c r="B25" t="s">
        <v>134</v>
      </c>
      <c r="C25" s="60">
        <v>1</v>
      </c>
      <c r="D25" s="7">
        <v>45851</v>
      </c>
      <c r="E25" s="7">
        <f>SUM(D25,-94.5)</f>
        <v>45756.5</v>
      </c>
      <c r="F25" s="50">
        <f>((0.0009*E25)-0.7239)</f>
        <v>40.456949999999999</v>
      </c>
      <c r="G25" s="61">
        <f>PRODUCT(F25,0.5)</f>
        <v>20.228475</v>
      </c>
    </row>
    <row r="26" spans="2:14" x14ac:dyDescent="0.2">
      <c r="B26" t="s">
        <v>134</v>
      </c>
      <c r="C26" s="60">
        <v>2</v>
      </c>
      <c r="D26" s="7">
        <v>273</v>
      </c>
      <c r="E26" s="7">
        <f t="shared" ref="E26:E43" si="1">SUM(D26,-94.5)</f>
        <v>178.5</v>
      </c>
      <c r="F26" s="50">
        <f t="shared" ref="F26:F43" si="2">((0.0009*E26)-0.7239)</f>
        <v>-0.56325000000000003</v>
      </c>
      <c r="G26" s="61">
        <f t="shared" ref="G26:G50" si="3">PRODUCT(F26,0.5)</f>
        <v>-0.28162500000000001</v>
      </c>
    </row>
    <row r="27" spans="2:14" x14ac:dyDescent="0.2">
      <c r="B27" t="s">
        <v>134</v>
      </c>
      <c r="C27" s="60">
        <v>3</v>
      </c>
      <c r="D27" s="7">
        <v>273</v>
      </c>
      <c r="E27" s="7">
        <f t="shared" si="1"/>
        <v>178.5</v>
      </c>
      <c r="F27" s="50">
        <f t="shared" si="2"/>
        <v>-0.56325000000000003</v>
      </c>
      <c r="G27" s="61">
        <f t="shared" si="3"/>
        <v>-0.28162500000000001</v>
      </c>
    </row>
    <row r="28" spans="2:14" x14ac:dyDescent="0.2">
      <c r="B28" t="s">
        <v>134</v>
      </c>
      <c r="C28" s="60">
        <v>4</v>
      </c>
      <c r="D28" s="7">
        <v>828</v>
      </c>
      <c r="E28" s="7">
        <f t="shared" si="1"/>
        <v>733.5</v>
      </c>
      <c r="F28" s="50">
        <f t="shared" si="2"/>
        <v>-6.3749999999999973E-2</v>
      </c>
      <c r="G28" s="61">
        <f t="shared" si="3"/>
        <v>-3.1874999999999987E-2</v>
      </c>
    </row>
    <row r="29" spans="2:14" x14ac:dyDescent="0.2">
      <c r="B29" t="s">
        <v>134</v>
      </c>
      <c r="C29" s="60">
        <v>5</v>
      </c>
      <c r="D29" s="7">
        <v>176</v>
      </c>
      <c r="E29" s="7">
        <f t="shared" si="1"/>
        <v>81.5</v>
      </c>
      <c r="F29" s="50">
        <f t="shared" si="2"/>
        <v>-0.65054999999999996</v>
      </c>
      <c r="G29" s="61">
        <f t="shared" si="3"/>
        <v>-0.32527499999999998</v>
      </c>
    </row>
    <row r="30" spans="2:14" x14ac:dyDescent="0.2">
      <c r="B30" t="s">
        <v>134</v>
      </c>
      <c r="C30" s="60">
        <v>6</v>
      </c>
      <c r="D30" s="7">
        <v>274</v>
      </c>
      <c r="E30" s="7">
        <f t="shared" si="1"/>
        <v>179.5</v>
      </c>
      <c r="F30" s="50">
        <f t="shared" si="2"/>
        <v>-0.56235000000000002</v>
      </c>
      <c r="G30" s="61">
        <f t="shared" si="3"/>
        <v>-0.28117500000000001</v>
      </c>
    </row>
    <row r="31" spans="2:14" x14ac:dyDescent="0.2">
      <c r="B31" t="s">
        <v>134</v>
      </c>
      <c r="C31" s="60">
        <v>7</v>
      </c>
      <c r="D31" s="7">
        <v>170</v>
      </c>
      <c r="E31" s="7">
        <f t="shared" si="1"/>
        <v>75.5</v>
      </c>
      <c r="F31" s="50">
        <f t="shared" si="2"/>
        <v>-0.65595000000000003</v>
      </c>
      <c r="G31" s="61">
        <f t="shared" si="3"/>
        <v>-0.32797500000000002</v>
      </c>
    </row>
    <row r="32" spans="2:14" x14ac:dyDescent="0.2">
      <c r="B32" t="s">
        <v>134</v>
      </c>
      <c r="C32" s="60">
        <v>8</v>
      </c>
      <c r="D32" s="7">
        <v>219</v>
      </c>
      <c r="E32" s="7">
        <f t="shared" si="1"/>
        <v>124.5</v>
      </c>
      <c r="F32" s="50">
        <f t="shared" si="2"/>
        <v>-0.61185</v>
      </c>
      <c r="G32" s="61">
        <f t="shared" si="3"/>
        <v>-0.305925</v>
      </c>
    </row>
    <row r="33" spans="2:7" x14ac:dyDescent="0.2">
      <c r="B33" t="s">
        <v>134</v>
      </c>
      <c r="C33" s="60">
        <v>9</v>
      </c>
      <c r="D33" s="7">
        <v>415</v>
      </c>
      <c r="E33" s="7">
        <f t="shared" si="1"/>
        <v>320.5</v>
      </c>
      <c r="F33" s="50">
        <f t="shared" si="2"/>
        <v>-0.43545</v>
      </c>
      <c r="G33" s="61">
        <f t="shared" si="3"/>
        <v>-0.217725</v>
      </c>
    </row>
    <row r="34" spans="2:7" x14ac:dyDescent="0.2">
      <c r="B34" t="s">
        <v>134</v>
      </c>
      <c r="C34" s="60">
        <v>10</v>
      </c>
      <c r="D34" s="7">
        <v>1429</v>
      </c>
      <c r="E34" s="7">
        <f t="shared" si="1"/>
        <v>1334.5</v>
      </c>
      <c r="F34" s="50">
        <f t="shared" si="2"/>
        <v>0.47714999999999996</v>
      </c>
      <c r="G34" s="61">
        <f t="shared" si="3"/>
        <v>0.23857499999999998</v>
      </c>
    </row>
    <row r="35" spans="2:7" x14ac:dyDescent="0.2">
      <c r="B35" t="s">
        <v>134</v>
      </c>
      <c r="C35" s="60">
        <v>11</v>
      </c>
      <c r="D35" s="7">
        <v>193</v>
      </c>
      <c r="E35" s="7">
        <f t="shared" si="1"/>
        <v>98.5</v>
      </c>
      <c r="F35" s="50">
        <f t="shared" si="2"/>
        <v>-0.63524999999999998</v>
      </c>
      <c r="G35" s="61">
        <f t="shared" si="3"/>
        <v>-0.31762499999999999</v>
      </c>
    </row>
    <row r="36" spans="2:7" x14ac:dyDescent="0.2">
      <c r="B36" t="s">
        <v>134</v>
      </c>
      <c r="C36" s="60">
        <v>12</v>
      </c>
      <c r="D36" s="7">
        <v>204</v>
      </c>
      <c r="E36" s="7">
        <f t="shared" si="1"/>
        <v>109.5</v>
      </c>
      <c r="F36" s="50">
        <f t="shared" si="2"/>
        <v>-0.62534999999999996</v>
      </c>
      <c r="G36" s="61">
        <f t="shared" si="3"/>
        <v>-0.31267499999999998</v>
      </c>
    </row>
    <row r="37" spans="2:7" x14ac:dyDescent="0.2">
      <c r="B37" t="s">
        <v>134</v>
      </c>
      <c r="C37" s="60" t="s">
        <v>107</v>
      </c>
      <c r="D37" s="7">
        <v>6763</v>
      </c>
      <c r="E37" s="7">
        <f t="shared" si="1"/>
        <v>6668.5</v>
      </c>
      <c r="F37" s="50">
        <f t="shared" si="2"/>
        <v>5.2777499999999993</v>
      </c>
      <c r="G37" s="61">
        <f t="shared" si="3"/>
        <v>2.6388749999999996</v>
      </c>
    </row>
    <row r="38" spans="2:7" x14ac:dyDescent="0.2">
      <c r="B38" t="s">
        <v>59</v>
      </c>
      <c r="C38" s="7" t="s">
        <v>52</v>
      </c>
      <c r="D38" s="7">
        <v>147</v>
      </c>
      <c r="E38" s="7">
        <f t="shared" si="1"/>
        <v>52.5</v>
      </c>
      <c r="F38" s="50">
        <f t="shared" si="2"/>
        <v>-0.67664999999999997</v>
      </c>
      <c r="G38" s="50">
        <f t="shared" si="3"/>
        <v>-0.33832499999999999</v>
      </c>
    </row>
    <row r="39" spans="2:7" x14ac:dyDescent="0.2">
      <c r="B39" t="s">
        <v>59</v>
      </c>
      <c r="C39" s="7" t="s">
        <v>53</v>
      </c>
      <c r="D39" s="7">
        <v>5855</v>
      </c>
      <c r="E39" s="7">
        <f t="shared" si="1"/>
        <v>5760.5</v>
      </c>
      <c r="F39" s="50">
        <f t="shared" si="2"/>
        <v>4.4605499999999996</v>
      </c>
      <c r="G39" s="50">
        <f t="shared" si="3"/>
        <v>2.2302749999999998</v>
      </c>
    </row>
    <row r="40" spans="2:7" x14ac:dyDescent="0.2">
      <c r="B40" t="s">
        <v>59</v>
      </c>
      <c r="C40" s="7" t="s">
        <v>54</v>
      </c>
      <c r="D40" s="7">
        <v>2137</v>
      </c>
      <c r="E40" s="7">
        <f t="shared" si="1"/>
        <v>2042.5</v>
      </c>
      <c r="F40" s="50">
        <f t="shared" si="2"/>
        <v>1.11435</v>
      </c>
      <c r="G40" s="50">
        <f t="shared" si="3"/>
        <v>0.55717499999999998</v>
      </c>
    </row>
    <row r="41" spans="2:7" x14ac:dyDescent="0.2">
      <c r="B41" t="s">
        <v>59</v>
      </c>
      <c r="C41" s="7" t="s">
        <v>55</v>
      </c>
      <c r="D41" s="7">
        <v>473</v>
      </c>
      <c r="E41" s="7">
        <f t="shared" si="1"/>
        <v>378.5</v>
      </c>
      <c r="F41" s="50">
        <f t="shared" si="2"/>
        <v>-0.38324999999999998</v>
      </c>
      <c r="G41" s="50">
        <f t="shared" si="3"/>
        <v>-0.19162499999999999</v>
      </c>
    </row>
    <row r="42" spans="2:7" x14ac:dyDescent="0.2">
      <c r="B42" t="s">
        <v>59</v>
      </c>
      <c r="C42" s="7" t="s">
        <v>56</v>
      </c>
      <c r="D42" s="7">
        <v>335</v>
      </c>
      <c r="E42" s="7">
        <f t="shared" si="1"/>
        <v>240.5</v>
      </c>
      <c r="F42" s="50">
        <f t="shared" si="2"/>
        <v>-0.50744999999999996</v>
      </c>
      <c r="G42" s="50">
        <f t="shared" si="3"/>
        <v>-0.25372499999999998</v>
      </c>
    </row>
    <row r="43" spans="2:7" x14ac:dyDescent="0.2">
      <c r="B43" t="s">
        <v>59</v>
      </c>
      <c r="C43" s="7" t="s">
        <v>57</v>
      </c>
      <c r="D43" s="7">
        <v>447</v>
      </c>
      <c r="E43" s="7">
        <f t="shared" si="1"/>
        <v>352.5</v>
      </c>
      <c r="F43" s="50">
        <f t="shared" si="2"/>
        <v>-0.40665000000000001</v>
      </c>
      <c r="G43" s="50">
        <f t="shared" si="3"/>
        <v>-0.20332500000000001</v>
      </c>
    </row>
    <row r="44" spans="2:7" x14ac:dyDescent="0.2">
      <c r="F44" s="50"/>
      <c r="G44" s="50"/>
    </row>
    <row r="45" spans="2:7" x14ac:dyDescent="0.2">
      <c r="C45" s="7">
        <v>40</v>
      </c>
      <c r="D45" s="7">
        <v>43699</v>
      </c>
      <c r="E45" s="7">
        <f>SUM(D45,-94.5)</f>
        <v>43604.5</v>
      </c>
      <c r="F45" s="50">
        <f>((0.0009*E45)-0.7239)</f>
        <v>38.520150000000001</v>
      </c>
      <c r="G45" s="50">
        <f t="shared" si="3"/>
        <v>19.260075000000001</v>
      </c>
    </row>
    <row r="46" spans="2:7" x14ac:dyDescent="0.2">
      <c r="C46" s="7">
        <v>20</v>
      </c>
      <c r="D46" s="7">
        <v>23050</v>
      </c>
      <c r="E46" s="7">
        <f t="shared" ref="E46:E50" si="4">SUM(D46,-94.5)</f>
        <v>22955.5</v>
      </c>
      <c r="F46" s="50">
        <f t="shared" ref="F46:F50" si="5">((0.0009*E46)-0.7239)</f>
        <v>19.936049999999998</v>
      </c>
      <c r="G46" s="50">
        <f t="shared" si="3"/>
        <v>9.968024999999999</v>
      </c>
    </row>
    <row r="47" spans="2:7" x14ac:dyDescent="0.2">
      <c r="C47" s="7">
        <v>10</v>
      </c>
      <c r="D47" s="7">
        <v>11904</v>
      </c>
      <c r="E47" s="7">
        <f t="shared" si="4"/>
        <v>11809.5</v>
      </c>
      <c r="F47" s="50">
        <f t="shared" si="5"/>
        <v>9.9046499999999984</v>
      </c>
      <c r="G47" s="50">
        <f t="shared" si="3"/>
        <v>4.9523249999999992</v>
      </c>
    </row>
    <row r="48" spans="2:7" x14ac:dyDescent="0.2">
      <c r="C48" s="7">
        <v>5</v>
      </c>
      <c r="D48" s="7">
        <v>6571</v>
      </c>
      <c r="E48" s="7">
        <f t="shared" si="4"/>
        <v>6476.5</v>
      </c>
      <c r="F48" s="50">
        <f t="shared" si="5"/>
        <v>5.1049500000000005</v>
      </c>
      <c r="G48" s="50">
        <f t="shared" si="3"/>
        <v>2.5524750000000003</v>
      </c>
    </row>
    <row r="49" spans="3:7" x14ac:dyDescent="0.2">
      <c r="C49" s="7">
        <v>2.5</v>
      </c>
      <c r="D49" s="7">
        <v>3354</v>
      </c>
      <c r="E49" s="7">
        <f t="shared" si="4"/>
        <v>3259.5</v>
      </c>
      <c r="F49" s="50">
        <f t="shared" si="5"/>
        <v>2.2096499999999999</v>
      </c>
      <c r="G49" s="50">
        <f t="shared" si="3"/>
        <v>1.1048249999999999</v>
      </c>
    </row>
    <row r="50" spans="3:7" x14ac:dyDescent="0.2">
      <c r="C50" s="7">
        <v>1.25</v>
      </c>
      <c r="D50" s="7">
        <v>1722</v>
      </c>
      <c r="E50" s="7">
        <f t="shared" si="4"/>
        <v>1627.5</v>
      </c>
      <c r="F50" s="50">
        <f t="shared" si="5"/>
        <v>0.74085000000000001</v>
      </c>
      <c r="G50" s="50">
        <f t="shared" si="3"/>
        <v>0.370425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9"/>
  <sheetViews>
    <sheetView workbookViewId="0">
      <selection activeCell="I19" sqref="I19"/>
    </sheetView>
  </sheetViews>
  <sheetFormatPr baseColWidth="10" defaultColWidth="8.6640625" defaultRowHeight="15" x14ac:dyDescent="0.2"/>
  <cols>
    <col min="2" max="3" width="12" style="7" customWidth="1"/>
    <col min="4" max="5" width="13.1640625" style="7" customWidth="1"/>
    <col min="11" max="25" width="4.83203125" customWidth="1"/>
  </cols>
  <sheetData>
    <row r="1" spans="1:25" x14ac:dyDescent="0.2">
      <c r="A1" s="3" t="s">
        <v>23</v>
      </c>
      <c r="B1" s="5"/>
      <c r="C1" s="5" t="s">
        <v>133</v>
      </c>
      <c r="D1" s="5"/>
      <c r="E1" s="5"/>
      <c r="F1" s="3"/>
      <c r="G1" s="3"/>
      <c r="H1" s="3"/>
      <c r="I1" s="3"/>
    </row>
    <row r="2" spans="1:25" x14ac:dyDescent="0.2">
      <c r="A2" s="4" t="s">
        <v>1</v>
      </c>
      <c r="B2" s="6" t="s">
        <v>22</v>
      </c>
      <c r="C2" s="6" t="s">
        <v>19</v>
      </c>
      <c r="D2" s="6" t="s">
        <v>20</v>
      </c>
      <c r="E2" s="6" t="s">
        <v>21</v>
      </c>
    </row>
    <row r="3" spans="1:25" x14ac:dyDescent="0.2">
      <c r="A3" s="4" t="s">
        <v>2</v>
      </c>
      <c r="B3" s="5">
        <v>1</v>
      </c>
      <c r="C3" s="5">
        <v>175.5</v>
      </c>
      <c r="D3" s="5">
        <v>0.81</v>
      </c>
      <c r="E3" s="5">
        <v>2.13</v>
      </c>
    </row>
    <row r="4" spans="1:25" x14ac:dyDescent="0.2">
      <c r="A4" s="4" t="s">
        <v>4</v>
      </c>
      <c r="B4" s="5">
        <v>2</v>
      </c>
      <c r="C4" s="5">
        <v>9.52</v>
      </c>
      <c r="D4" s="5">
        <v>0.09</v>
      </c>
      <c r="E4" s="5">
        <v>1.98</v>
      </c>
    </row>
    <row r="5" spans="1:25" x14ac:dyDescent="0.2">
      <c r="A5" s="4" t="s">
        <v>6</v>
      </c>
      <c r="B5" s="5">
        <v>3</v>
      </c>
      <c r="C5" s="5">
        <v>15.11</v>
      </c>
      <c r="D5" s="5">
        <v>0.1</v>
      </c>
      <c r="E5" s="5">
        <v>1.62</v>
      </c>
    </row>
    <row r="6" spans="1:25" x14ac:dyDescent="0.2">
      <c r="A6" s="4" t="s">
        <v>8</v>
      </c>
      <c r="B6" s="5">
        <v>4</v>
      </c>
      <c r="C6" s="5">
        <v>3.23</v>
      </c>
      <c r="D6" s="5">
        <v>0.22</v>
      </c>
      <c r="E6" s="5">
        <v>4.28</v>
      </c>
    </row>
    <row r="7" spans="1:25" x14ac:dyDescent="0.2">
      <c r="A7" s="4" t="s">
        <v>10</v>
      </c>
      <c r="B7" s="5">
        <v>5</v>
      </c>
      <c r="C7" s="5">
        <v>11</v>
      </c>
      <c r="D7" s="5">
        <v>0.14000000000000001</v>
      </c>
      <c r="E7" s="5">
        <v>1.7</v>
      </c>
      <c r="K7" s="55" t="s">
        <v>118</v>
      </c>
    </row>
    <row r="8" spans="1:25" x14ac:dyDescent="0.2">
      <c r="A8" s="4" t="s">
        <v>12</v>
      </c>
      <c r="B8" s="5">
        <v>6</v>
      </c>
      <c r="C8" s="5">
        <v>16.239999999999998</v>
      </c>
      <c r="D8" s="5">
        <v>0.11</v>
      </c>
      <c r="E8" s="5">
        <v>1.64</v>
      </c>
      <c r="K8" s="55" t="s">
        <v>119</v>
      </c>
    </row>
    <row r="9" spans="1:25" x14ac:dyDescent="0.2">
      <c r="A9" s="4" t="s">
        <v>14</v>
      </c>
      <c r="B9" s="5">
        <v>7</v>
      </c>
      <c r="C9" s="5">
        <v>12.05</v>
      </c>
      <c r="D9" s="5">
        <v>0.11</v>
      </c>
      <c r="E9" s="5">
        <v>2.0499999999999998</v>
      </c>
    </row>
    <row r="10" spans="1:25" x14ac:dyDescent="0.2">
      <c r="A10" s="4" t="s">
        <v>16</v>
      </c>
      <c r="B10" s="5">
        <v>8</v>
      </c>
      <c r="C10" s="5">
        <v>14.48</v>
      </c>
      <c r="D10" s="5">
        <v>0.09</v>
      </c>
      <c r="E10" s="5">
        <v>1.36</v>
      </c>
      <c r="K10" s="39" t="s">
        <v>120</v>
      </c>
      <c r="L10" s="7">
        <v>1</v>
      </c>
      <c r="M10" s="7">
        <v>2</v>
      </c>
      <c r="N10" s="7">
        <v>3</v>
      </c>
      <c r="O10" s="7">
        <v>4</v>
      </c>
      <c r="P10" s="7">
        <v>5</v>
      </c>
      <c r="Q10" s="7">
        <v>6</v>
      </c>
      <c r="R10" s="7">
        <v>7</v>
      </c>
      <c r="S10" s="7">
        <v>8</v>
      </c>
      <c r="T10" s="7">
        <v>9</v>
      </c>
      <c r="U10" s="7">
        <v>10</v>
      </c>
      <c r="V10" s="7">
        <v>11</v>
      </c>
      <c r="W10" s="7">
        <v>12</v>
      </c>
      <c r="X10" s="39" t="s">
        <v>107</v>
      </c>
      <c r="Y10" s="39" t="s">
        <v>120</v>
      </c>
    </row>
    <row r="11" spans="1:25" x14ac:dyDescent="0.2">
      <c r="A11" s="4" t="s">
        <v>3</v>
      </c>
      <c r="B11" s="5">
        <v>9</v>
      </c>
      <c r="C11" s="5">
        <v>14.76</v>
      </c>
      <c r="D11" s="5">
        <v>0.1</v>
      </c>
      <c r="E11" s="5">
        <v>1.38</v>
      </c>
    </row>
    <row r="12" spans="1:25" x14ac:dyDescent="0.2">
      <c r="A12" s="4" t="s">
        <v>5</v>
      </c>
      <c r="B12" s="5">
        <v>10</v>
      </c>
      <c r="C12" s="5">
        <v>32.72</v>
      </c>
      <c r="D12" s="5">
        <v>0.14000000000000001</v>
      </c>
      <c r="E12" s="5">
        <v>1.2</v>
      </c>
    </row>
    <row r="13" spans="1:25" x14ac:dyDescent="0.2">
      <c r="A13" s="4" t="s">
        <v>7</v>
      </c>
      <c r="B13" s="5">
        <v>11</v>
      </c>
      <c r="C13" s="5">
        <v>10.97</v>
      </c>
      <c r="D13" s="5">
        <v>0.11</v>
      </c>
      <c r="E13" s="5">
        <v>2</v>
      </c>
    </row>
    <row r="14" spans="1:25" x14ac:dyDescent="0.2">
      <c r="A14" s="4" t="s">
        <v>9</v>
      </c>
      <c r="B14" s="5">
        <v>12</v>
      </c>
      <c r="C14" s="5">
        <v>13.41</v>
      </c>
      <c r="D14" s="5">
        <v>0.1</v>
      </c>
      <c r="E14" s="5">
        <v>1.72</v>
      </c>
    </row>
    <row r="16" spans="1:25" ht="32" x14ac:dyDescent="0.2">
      <c r="B16" s="6" t="s">
        <v>22</v>
      </c>
      <c r="D16" s="39" t="s">
        <v>137</v>
      </c>
      <c r="E16" s="62" t="s">
        <v>135</v>
      </c>
    </row>
    <row r="17" spans="2:5" x14ac:dyDescent="0.2">
      <c r="B17" s="5">
        <v>1</v>
      </c>
      <c r="C17" s="5">
        <v>175.5</v>
      </c>
      <c r="D17" s="7">
        <f>PRODUCT(C17,0.1)</f>
        <v>17.55</v>
      </c>
      <c r="E17" s="61">
        <v>20.228475</v>
      </c>
    </row>
    <row r="18" spans="2:5" x14ac:dyDescent="0.2">
      <c r="B18" s="5">
        <v>2</v>
      </c>
      <c r="C18" s="5">
        <v>9.52</v>
      </c>
      <c r="D18" s="7">
        <f t="shared" ref="D18:D28" si="0">PRODUCT(C18,0.1)</f>
        <v>0.95199999999999996</v>
      </c>
      <c r="E18" s="61">
        <v>-0.28162500000000001</v>
      </c>
    </row>
    <row r="19" spans="2:5" x14ac:dyDescent="0.2">
      <c r="B19" s="5">
        <v>3</v>
      </c>
      <c r="C19" s="5">
        <v>15.11</v>
      </c>
      <c r="D19" s="7">
        <f t="shared" si="0"/>
        <v>1.5110000000000001</v>
      </c>
      <c r="E19" s="61">
        <v>-0.28162500000000001</v>
      </c>
    </row>
    <row r="20" spans="2:5" x14ac:dyDescent="0.2">
      <c r="B20" s="5">
        <v>4</v>
      </c>
      <c r="C20" s="5">
        <v>3.23</v>
      </c>
      <c r="D20" s="7">
        <f t="shared" si="0"/>
        <v>0.32300000000000001</v>
      </c>
      <c r="E20" s="61">
        <v>-3.1874999999999987E-2</v>
      </c>
    </row>
    <row r="21" spans="2:5" x14ac:dyDescent="0.2">
      <c r="B21" s="5">
        <v>5</v>
      </c>
      <c r="C21" s="5">
        <v>11</v>
      </c>
      <c r="D21" s="7">
        <f t="shared" si="0"/>
        <v>1.1000000000000001</v>
      </c>
      <c r="E21" s="61">
        <v>-0.32527499999999998</v>
      </c>
    </row>
    <row r="22" spans="2:5" x14ac:dyDescent="0.2">
      <c r="B22" s="5">
        <v>6</v>
      </c>
      <c r="C22" s="5">
        <v>16.239999999999998</v>
      </c>
      <c r="D22" s="7">
        <f t="shared" si="0"/>
        <v>1.6239999999999999</v>
      </c>
      <c r="E22" s="61">
        <v>-0.28117500000000001</v>
      </c>
    </row>
    <row r="23" spans="2:5" x14ac:dyDescent="0.2">
      <c r="B23" s="5">
        <v>7</v>
      </c>
      <c r="C23" s="5">
        <v>12.05</v>
      </c>
      <c r="D23" s="7">
        <f t="shared" si="0"/>
        <v>1.2050000000000001</v>
      </c>
      <c r="E23" s="61">
        <v>-0.32797500000000002</v>
      </c>
    </row>
    <row r="24" spans="2:5" x14ac:dyDescent="0.2">
      <c r="B24" s="5">
        <v>8</v>
      </c>
      <c r="C24" s="5">
        <v>14.48</v>
      </c>
      <c r="D24" s="7">
        <f t="shared" si="0"/>
        <v>1.4480000000000002</v>
      </c>
      <c r="E24" s="61">
        <v>-0.305925</v>
      </c>
    </row>
    <row r="25" spans="2:5" x14ac:dyDescent="0.2">
      <c r="B25" s="5">
        <v>9</v>
      </c>
      <c r="C25" s="5">
        <v>14.76</v>
      </c>
      <c r="D25" s="7">
        <f t="shared" si="0"/>
        <v>1.476</v>
      </c>
      <c r="E25" s="61">
        <v>-0.217725</v>
      </c>
    </row>
    <row r="26" spans="2:5" x14ac:dyDescent="0.2">
      <c r="B26" s="5">
        <v>10</v>
      </c>
      <c r="C26" s="5">
        <v>32.72</v>
      </c>
      <c r="D26" s="7">
        <f t="shared" si="0"/>
        <v>3.2720000000000002</v>
      </c>
      <c r="E26" s="61">
        <v>0.23857499999999998</v>
      </c>
    </row>
    <row r="27" spans="2:5" x14ac:dyDescent="0.2">
      <c r="B27" s="5">
        <v>11</v>
      </c>
      <c r="C27" s="5">
        <v>10.97</v>
      </c>
      <c r="D27" s="7">
        <f t="shared" si="0"/>
        <v>1.0970000000000002</v>
      </c>
      <c r="E27" s="61">
        <v>-0.31762499999999999</v>
      </c>
    </row>
    <row r="28" spans="2:5" x14ac:dyDescent="0.2">
      <c r="B28" s="5">
        <v>12</v>
      </c>
      <c r="C28" s="5">
        <v>13.41</v>
      </c>
      <c r="D28" s="7">
        <f t="shared" si="0"/>
        <v>1.3410000000000002</v>
      </c>
      <c r="E28" s="61">
        <v>-0.31267499999999998</v>
      </c>
    </row>
    <row r="29" spans="2:5" ht="16" x14ac:dyDescent="0.2">
      <c r="D29" s="64" t="s">
        <v>138</v>
      </c>
    </row>
  </sheetData>
  <sortState xmlns:xlrd2="http://schemas.microsoft.com/office/spreadsheetml/2017/richdata2" ref="A3:E14">
    <sortCondition ref="B3:B1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5:W62"/>
  <sheetViews>
    <sheetView tabSelected="1" topLeftCell="A5" zoomScale="88" workbookViewId="0">
      <selection activeCell="N17" sqref="N17"/>
    </sheetView>
  </sheetViews>
  <sheetFormatPr baseColWidth="10" defaultRowHeight="15" x14ac:dyDescent="0.2"/>
  <cols>
    <col min="1" max="1" width="10.83203125" style="8"/>
    <col min="2" max="2" width="20.33203125" style="8" bestFit="1" customWidth="1"/>
    <col min="3" max="5" width="10.83203125" style="8"/>
    <col min="6" max="7" width="9.1640625" style="8" customWidth="1"/>
    <col min="8" max="8" width="13.5" style="8" customWidth="1"/>
    <col min="9" max="9" width="9.1640625" style="8" customWidth="1"/>
    <col min="10" max="10" width="10.83203125" style="8"/>
    <col min="11" max="23" width="8.1640625" style="8" customWidth="1"/>
    <col min="24" max="16384" width="10.83203125" style="8"/>
  </cols>
  <sheetData>
    <row r="5" spans="2:23" x14ac:dyDescent="0.2">
      <c r="B5" s="8" t="s">
        <v>24</v>
      </c>
    </row>
    <row r="7" spans="2:23" x14ac:dyDescent="0.2">
      <c r="B7" s="8" t="s">
        <v>25</v>
      </c>
    </row>
    <row r="8" spans="2:23" ht="16" thickBot="1" x14ac:dyDescent="0.25">
      <c r="B8" s="9" t="s">
        <v>26</v>
      </c>
      <c r="C8" s="10">
        <v>1</v>
      </c>
      <c r="D8" s="10">
        <v>22</v>
      </c>
      <c r="N8" s="108" t="s">
        <v>60</v>
      </c>
      <c r="O8" s="108"/>
      <c r="P8" s="20" t="s">
        <v>59</v>
      </c>
      <c r="Q8" s="108"/>
      <c r="R8" s="108"/>
    </row>
    <row r="9" spans="2:23" ht="16" thickBot="1" x14ac:dyDescent="0.25">
      <c r="B9" s="9"/>
      <c r="C9" s="10" t="s">
        <v>27</v>
      </c>
      <c r="D9" s="10"/>
      <c r="K9" s="20"/>
      <c r="L9" s="21">
        <v>1</v>
      </c>
      <c r="M9" s="22">
        <v>2</v>
      </c>
      <c r="N9" s="22">
        <v>3</v>
      </c>
      <c r="O9" s="22">
        <v>4</v>
      </c>
      <c r="P9" s="22">
        <v>5</v>
      </c>
      <c r="Q9" s="22">
        <v>6</v>
      </c>
      <c r="R9" s="22">
        <v>7</v>
      </c>
      <c r="S9" s="22">
        <v>8</v>
      </c>
      <c r="T9" s="22">
        <v>9</v>
      </c>
      <c r="U9" s="22">
        <v>10</v>
      </c>
      <c r="V9" s="22">
        <v>11</v>
      </c>
      <c r="W9" s="23">
        <v>12</v>
      </c>
    </row>
    <row r="10" spans="2:23" x14ac:dyDescent="0.2">
      <c r="B10" s="11" t="s">
        <v>28</v>
      </c>
      <c r="C10" s="12">
        <v>2</v>
      </c>
      <c r="D10" s="12"/>
      <c r="F10" s="13" t="s">
        <v>29</v>
      </c>
      <c r="K10" s="24" t="s">
        <v>43</v>
      </c>
      <c r="L10" s="25"/>
      <c r="M10" s="26"/>
      <c r="N10" s="26">
        <v>1</v>
      </c>
      <c r="O10" s="26">
        <v>9</v>
      </c>
      <c r="P10" s="26" t="s">
        <v>52</v>
      </c>
      <c r="Q10" s="27"/>
      <c r="R10" s="26"/>
      <c r="S10" s="26"/>
      <c r="T10" s="26"/>
      <c r="U10" s="26"/>
      <c r="V10" s="26"/>
      <c r="W10" s="28"/>
    </row>
    <row r="11" spans="2:23" x14ac:dyDescent="0.2">
      <c r="B11" s="14" t="s">
        <v>30</v>
      </c>
      <c r="C11" s="10">
        <v>12.5</v>
      </c>
      <c r="D11" s="10">
        <f>(C11*D8)</f>
        <v>275</v>
      </c>
      <c r="G11" s="15" t="s">
        <v>31</v>
      </c>
      <c r="H11" s="15" t="s">
        <v>32</v>
      </c>
      <c r="I11" s="107" t="s">
        <v>33</v>
      </c>
      <c r="K11" s="29" t="s">
        <v>44</v>
      </c>
      <c r="L11" s="30"/>
      <c r="M11" s="10"/>
      <c r="N11" s="10">
        <v>2</v>
      </c>
      <c r="O11" s="10">
        <v>10</v>
      </c>
      <c r="P11" s="10" t="s">
        <v>53</v>
      </c>
      <c r="Q11" s="31"/>
      <c r="R11" s="10"/>
      <c r="S11" s="10"/>
      <c r="T11" s="10"/>
      <c r="U11" s="10"/>
      <c r="V11" s="10"/>
      <c r="W11" s="32"/>
    </row>
    <row r="12" spans="2:23" x14ac:dyDescent="0.2">
      <c r="B12" s="14" t="s">
        <v>62</v>
      </c>
      <c r="C12" s="10">
        <v>0.1</v>
      </c>
      <c r="D12" s="10">
        <f>(C12*D8)</f>
        <v>2.2000000000000002</v>
      </c>
      <c r="G12" s="15" t="s">
        <v>34</v>
      </c>
      <c r="H12" s="15" t="s">
        <v>35</v>
      </c>
      <c r="I12" s="107"/>
      <c r="K12" s="29" t="s">
        <v>45</v>
      </c>
      <c r="L12" s="30"/>
      <c r="M12" s="10"/>
      <c r="N12" s="10">
        <v>3</v>
      </c>
      <c r="O12" s="10">
        <v>11</v>
      </c>
      <c r="P12" s="10" t="s">
        <v>54</v>
      </c>
      <c r="Q12" s="31"/>
      <c r="R12" s="10"/>
      <c r="S12" s="10"/>
      <c r="T12" s="10"/>
      <c r="U12" s="10"/>
      <c r="V12" s="10"/>
      <c r="W12" s="32"/>
    </row>
    <row r="13" spans="2:23" x14ac:dyDescent="0.2">
      <c r="B13" s="14" t="s">
        <v>63</v>
      </c>
      <c r="C13" s="10">
        <v>0.1</v>
      </c>
      <c r="D13" s="10">
        <f>(C13*D8)</f>
        <v>2.2000000000000002</v>
      </c>
      <c r="G13" s="15" t="s">
        <v>36</v>
      </c>
      <c r="H13" s="15" t="s">
        <v>35</v>
      </c>
      <c r="I13" s="107"/>
      <c r="K13" s="29" t="s">
        <v>46</v>
      </c>
      <c r="L13" s="30"/>
      <c r="M13" s="10"/>
      <c r="N13" s="10">
        <v>4</v>
      </c>
      <c r="O13" s="10">
        <v>12</v>
      </c>
      <c r="P13" s="10" t="s">
        <v>55</v>
      </c>
      <c r="Q13" s="10"/>
      <c r="R13" s="31"/>
      <c r="S13" s="10"/>
      <c r="T13" s="10"/>
      <c r="U13" s="10"/>
      <c r="V13" s="10"/>
      <c r="W13" s="32"/>
    </row>
    <row r="14" spans="2:23" x14ac:dyDescent="0.2">
      <c r="B14" s="14" t="s">
        <v>37</v>
      </c>
      <c r="C14" s="10">
        <v>0.2</v>
      </c>
      <c r="D14" s="10">
        <f>(C14*D8)</f>
        <v>4.4000000000000004</v>
      </c>
      <c r="K14" s="29" t="s">
        <v>47</v>
      </c>
      <c r="L14" s="30"/>
      <c r="M14" s="10"/>
      <c r="N14" s="10">
        <v>5</v>
      </c>
      <c r="O14" s="10" t="s">
        <v>61</v>
      </c>
      <c r="P14" s="10" t="s">
        <v>56</v>
      </c>
      <c r="Q14" s="10"/>
      <c r="R14" s="10"/>
      <c r="S14" s="10"/>
      <c r="T14" s="10"/>
      <c r="U14" s="10"/>
      <c r="V14" s="10"/>
      <c r="W14" s="32"/>
    </row>
    <row r="15" spans="2:23" x14ac:dyDescent="0.2">
      <c r="B15" s="14" t="s">
        <v>38</v>
      </c>
      <c r="C15" s="10">
        <v>2.5</v>
      </c>
      <c r="D15" s="10">
        <f>(C15*D8)</f>
        <v>55</v>
      </c>
      <c r="K15" s="29" t="s">
        <v>49</v>
      </c>
      <c r="L15" s="30"/>
      <c r="M15" s="10"/>
      <c r="N15" s="10">
        <v>6</v>
      </c>
      <c r="O15" s="10" t="s">
        <v>48</v>
      </c>
      <c r="P15" s="10" t="s">
        <v>57</v>
      </c>
      <c r="Q15" s="10"/>
      <c r="R15" s="10"/>
      <c r="S15" s="10"/>
      <c r="T15" s="10"/>
      <c r="U15" s="10"/>
      <c r="V15" s="10"/>
      <c r="W15" s="32"/>
    </row>
    <row r="16" spans="2:23" x14ac:dyDescent="0.2">
      <c r="B16" s="14" t="s">
        <v>39</v>
      </c>
      <c r="C16" s="10">
        <f>-((C11+C12+C13+C14+C15)-23)</f>
        <v>7.6000000000000014</v>
      </c>
      <c r="D16" s="10">
        <f>(C16*D8)</f>
        <v>167.20000000000005</v>
      </c>
      <c r="E16" s="8" t="s">
        <v>64</v>
      </c>
      <c r="K16" s="29" t="s">
        <v>50</v>
      </c>
      <c r="L16" s="30"/>
      <c r="M16" s="10"/>
      <c r="N16" s="10">
        <v>7</v>
      </c>
      <c r="O16" s="10"/>
      <c r="P16" s="10" t="s">
        <v>58</v>
      </c>
      <c r="Q16" s="10"/>
      <c r="R16" s="34"/>
      <c r="S16" s="10"/>
      <c r="T16" s="10"/>
      <c r="U16" s="10"/>
      <c r="V16" s="10"/>
      <c r="W16" s="32"/>
    </row>
    <row r="17" spans="2:23" ht="16" thickBot="1" x14ac:dyDescent="0.25">
      <c r="B17" s="16" t="s">
        <v>40</v>
      </c>
      <c r="C17" s="10">
        <v>25</v>
      </c>
      <c r="D17" s="10">
        <f>SUM(D11:D16)</f>
        <v>506</v>
      </c>
      <c r="K17" s="35" t="s">
        <v>51</v>
      </c>
      <c r="L17" s="36"/>
      <c r="M17" s="33"/>
      <c r="N17" s="33">
        <v>8</v>
      </c>
      <c r="O17" s="33"/>
      <c r="P17" s="33" t="s">
        <v>48</v>
      </c>
      <c r="Q17" s="33"/>
      <c r="R17" s="33"/>
      <c r="S17" s="33"/>
      <c r="T17" s="33"/>
      <c r="U17" s="33"/>
      <c r="V17" s="33"/>
      <c r="W17" s="37"/>
    </row>
    <row r="18" spans="2:23" x14ac:dyDescent="0.2">
      <c r="B18" s="17" t="s">
        <v>41</v>
      </c>
      <c r="C18" s="18">
        <v>23</v>
      </c>
      <c r="D18" s="10"/>
    </row>
    <row r="20" spans="2:23" x14ac:dyDescent="0.2">
      <c r="B20" s="19" t="s">
        <v>42</v>
      </c>
    </row>
    <row r="23" spans="2:23" x14ac:dyDescent="0.2">
      <c r="C23" s="20" t="s">
        <v>65</v>
      </c>
      <c r="D23" s="20" t="s">
        <v>66</v>
      </c>
      <c r="E23" s="39" t="s">
        <v>88</v>
      </c>
      <c r="F23" s="40"/>
      <c r="G23" s="40"/>
      <c r="H23" s="41"/>
      <c r="I23" s="41"/>
      <c r="J23" s="41"/>
      <c r="K23" s="42"/>
      <c r="L23" s="42"/>
      <c r="M23" s="42"/>
    </row>
    <row r="24" spans="2:23" x14ac:dyDescent="0.2">
      <c r="C24" s="20" t="s">
        <v>67</v>
      </c>
      <c r="D24" s="20" t="s">
        <v>68</v>
      </c>
      <c r="E24" s="39">
        <v>1</v>
      </c>
      <c r="F24" s="43"/>
      <c r="G24" s="44"/>
      <c r="H24" s="20"/>
      <c r="I24" s="45"/>
      <c r="J24" s="46"/>
      <c r="K24" s="47"/>
      <c r="L24" s="47"/>
      <c r="M24" s="47"/>
    </row>
    <row r="25" spans="2:23" x14ac:dyDescent="0.2">
      <c r="C25" s="20" t="s">
        <v>71</v>
      </c>
      <c r="D25" s="20">
        <v>33.01</v>
      </c>
      <c r="E25" s="20">
        <v>2</v>
      </c>
      <c r="F25" s="43"/>
      <c r="G25" s="44"/>
      <c r="H25" s="20"/>
      <c r="I25" s="45"/>
      <c r="J25" s="46"/>
      <c r="K25" s="47"/>
      <c r="L25" s="47"/>
      <c r="M25" s="47"/>
    </row>
    <row r="26" spans="2:23" x14ac:dyDescent="0.2">
      <c r="C26" s="20" t="s">
        <v>74</v>
      </c>
      <c r="D26" s="20">
        <v>34.49</v>
      </c>
      <c r="E26" s="39">
        <v>3</v>
      </c>
      <c r="F26" s="43"/>
      <c r="G26" s="44"/>
      <c r="H26" s="20"/>
      <c r="I26" s="45"/>
      <c r="J26" s="46"/>
      <c r="K26" s="47"/>
      <c r="L26" s="47"/>
      <c r="M26" s="47"/>
    </row>
    <row r="27" spans="2:23" x14ac:dyDescent="0.2">
      <c r="C27" s="20" t="s">
        <v>77</v>
      </c>
      <c r="D27" s="20">
        <v>33.81</v>
      </c>
      <c r="E27" s="39">
        <v>4</v>
      </c>
      <c r="F27" s="43"/>
      <c r="G27" s="44"/>
      <c r="H27" s="20"/>
      <c r="I27" s="45"/>
      <c r="J27" s="46"/>
      <c r="K27" s="47"/>
      <c r="L27" s="47"/>
      <c r="M27" s="47"/>
    </row>
    <row r="28" spans="2:23" x14ac:dyDescent="0.2">
      <c r="C28" s="20" t="s">
        <v>80</v>
      </c>
      <c r="D28" s="20">
        <v>34.29</v>
      </c>
      <c r="E28" s="39">
        <v>5</v>
      </c>
      <c r="F28" s="43"/>
      <c r="G28" s="44"/>
      <c r="H28" s="20"/>
      <c r="I28" s="45"/>
      <c r="J28" s="46"/>
      <c r="K28" s="47"/>
      <c r="L28" s="47"/>
      <c r="M28" s="47"/>
    </row>
    <row r="29" spans="2:23" x14ac:dyDescent="0.2">
      <c r="C29" s="20" t="s">
        <v>83</v>
      </c>
      <c r="D29" s="20">
        <v>35.340000000000003</v>
      </c>
      <c r="E29" s="20">
        <v>6</v>
      </c>
      <c r="F29" s="43"/>
      <c r="G29" s="44"/>
      <c r="H29" s="20"/>
      <c r="I29" s="45"/>
      <c r="J29" s="46"/>
      <c r="K29" s="47"/>
      <c r="L29" s="47"/>
      <c r="M29" s="47"/>
    </row>
    <row r="30" spans="2:23" x14ac:dyDescent="0.2">
      <c r="C30" s="20" t="s">
        <v>86</v>
      </c>
      <c r="D30" s="20">
        <v>39.049999999999997</v>
      </c>
      <c r="E30" s="20">
        <v>7</v>
      </c>
      <c r="F30" s="43"/>
      <c r="G30" s="44"/>
      <c r="H30" s="20"/>
      <c r="I30" s="45"/>
      <c r="J30" s="46"/>
      <c r="K30" s="47"/>
      <c r="L30" s="47"/>
      <c r="M30" s="47"/>
    </row>
    <row r="31" spans="2:23" x14ac:dyDescent="0.2">
      <c r="C31" s="20" t="s">
        <v>69</v>
      </c>
      <c r="D31" s="20">
        <v>34.549999999999997</v>
      </c>
      <c r="E31" s="20">
        <v>9</v>
      </c>
      <c r="F31" s="43"/>
      <c r="G31" s="44"/>
      <c r="H31" s="20"/>
      <c r="I31" s="45"/>
      <c r="J31" s="46"/>
      <c r="K31" s="47"/>
      <c r="L31" s="47"/>
      <c r="M31" s="47"/>
    </row>
    <row r="32" spans="2:23" x14ac:dyDescent="0.2">
      <c r="C32" s="20" t="s">
        <v>72</v>
      </c>
      <c r="D32" s="20">
        <v>34.53</v>
      </c>
      <c r="E32" s="20">
        <v>10</v>
      </c>
      <c r="F32" s="43"/>
      <c r="G32" s="44"/>
      <c r="H32" s="20"/>
      <c r="I32" s="45"/>
      <c r="J32" s="46"/>
      <c r="K32" s="47"/>
      <c r="L32" s="47"/>
      <c r="M32" s="47"/>
    </row>
    <row r="33" spans="3:18" x14ac:dyDescent="0.2">
      <c r="C33" s="20" t="s">
        <v>75</v>
      </c>
      <c r="D33" s="20">
        <v>33.799999999999997</v>
      </c>
      <c r="E33" s="39">
        <v>11</v>
      </c>
      <c r="F33" s="43"/>
      <c r="G33" s="44"/>
      <c r="H33" s="20"/>
      <c r="I33" s="45"/>
      <c r="J33" s="46"/>
      <c r="K33" s="47"/>
      <c r="L33" s="47"/>
      <c r="M33" s="47"/>
    </row>
    <row r="34" spans="3:18" x14ac:dyDescent="0.2">
      <c r="C34" s="20" t="s">
        <v>78</v>
      </c>
      <c r="D34" s="20">
        <v>33.72</v>
      </c>
      <c r="E34" s="39">
        <v>12</v>
      </c>
      <c r="F34" s="43"/>
      <c r="G34" s="44"/>
      <c r="H34" s="20"/>
      <c r="I34" s="45"/>
      <c r="J34" s="46"/>
      <c r="K34" s="47"/>
      <c r="L34" s="47"/>
      <c r="M34" s="47"/>
    </row>
    <row r="35" spans="3:18" x14ac:dyDescent="0.2">
      <c r="C35" s="20" t="s">
        <v>73</v>
      </c>
      <c r="D35" s="20">
        <v>18.98</v>
      </c>
      <c r="E35" s="39" t="s">
        <v>53</v>
      </c>
      <c r="F35" s="43"/>
      <c r="G35" s="44"/>
      <c r="H35" s="20"/>
      <c r="I35" s="45"/>
      <c r="J35" s="46"/>
      <c r="K35" s="47"/>
      <c r="L35" s="47"/>
      <c r="M35" s="47"/>
    </row>
    <row r="36" spans="3:18" x14ac:dyDescent="0.2">
      <c r="C36" s="20" t="s">
        <v>76</v>
      </c>
      <c r="D36" s="20">
        <v>21.79</v>
      </c>
      <c r="E36" s="39" t="s">
        <v>54</v>
      </c>
      <c r="F36" s="43"/>
      <c r="G36" s="44"/>
      <c r="H36" s="20"/>
      <c r="I36" s="45"/>
      <c r="J36" s="46"/>
      <c r="K36" s="47"/>
      <c r="L36" s="47"/>
      <c r="M36" s="47"/>
    </row>
    <row r="37" spans="3:18" x14ac:dyDescent="0.2">
      <c r="C37" s="20" t="s">
        <v>79</v>
      </c>
      <c r="D37" s="20">
        <v>22.45</v>
      </c>
      <c r="E37" s="39" t="s">
        <v>55</v>
      </c>
      <c r="F37" s="43"/>
      <c r="G37" s="44"/>
      <c r="H37" s="20"/>
      <c r="I37" s="45"/>
      <c r="J37" s="46"/>
      <c r="K37" s="47"/>
      <c r="L37" s="47"/>
      <c r="M37" s="47"/>
    </row>
    <row r="38" spans="3:18" x14ac:dyDescent="0.2">
      <c r="C38" s="20" t="s">
        <v>82</v>
      </c>
      <c r="D38" s="20">
        <v>23.35</v>
      </c>
      <c r="E38" s="39" t="s">
        <v>56</v>
      </c>
      <c r="F38" s="43"/>
      <c r="G38" s="44"/>
      <c r="H38" s="20"/>
      <c r="I38" s="45"/>
      <c r="J38" s="46"/>
      <c r="K38" s="47"/>
      <c r="L38" s="47"/>
      <c r="M38" s="47"/>
    </row>
    <row r="39" spans="3:18" x14ac:dyDescent="0.2">
      <c r="C39" s="20" t="s">
        <v>81</v>
      </c>
      <c r="D39" s="20">
        <v>26.84</v>
      </c>
      <c r="E39" s="39" t="s">
        <v>89</v>
      </c>
      <c r="F39" s="43"/>
      <c r="G39" s="44"/>
      <c r="H39" s="20"/>
      <c r="I39" s="45"/>
      <c r="J39" s="46"/>
      <c r="K39" s="47"/>
      <c r="L39" s="47"/>
      <c r="M39" s="47"/>
    </row>
    <row r="40" spans="3:18" x14ac:dyDescent="0.2">
      <c r="C40" s="20" t="s">
        <v>85</v>
      </c>
      <c r="D40" s="20">
        <v>24.49</v>
      </c>
      <c r="E40" s="39" t="s">
        <v>57</v>
      </c>
      <c r="F40" s="43"/>
      <c r="G40" s="44"/>
      <c r="H40" s="20"/>
      <c r="I40" s="45"/>
      <c r="J40" s="46"/>
      <c r="K40" s="47"/>
      <c r="L40" s="47"/>
      <c r="M40" s="47"/>
    </row>
    <row r="41" spans="3:18" ht="16" thickBot="1" x14ac:dyDescent="0.25">
      <c r="C41" s="20" t="s">
        <v>70</v>
      </c>
      <c r="D41" s="20">
        <v>29.89</v>
      </c>
      <c r="E41" s="39" t="s">
        <v>52</v>
      </c>
      <c r="F41" s="43"/>
      <c r="G41" s="44"/>
      <c r="H41" s="20"/>
      <c r="I41" s="45"/>
      <c r="J41" s="46"/>
      <c r="K41" s="47"/>
      <c r="L41" s="47"/>
      <c r="M41" s="47"/>
    </row>
    <row r="42" spans="3:18" x14ac:dyDescent="0.2">
      <c r="C42" s="20" t="s">
        <v>84</v>
      </c>
      <c r="D42" s="20">
        <v>33.58</v>
      </c>
      <c r="E42" s="7" t="s">
        <v>90</v>
      </c>
      <c r="F42" s="43"/>
      <c r="G42" s="44"/>
      <c r="H42" s="20"/>
      <c r="I42" s="65" t="s">
        <v>139</v>
      </c>
      <c r="J42" s="66"/>
      <c r="K42" s="47"/>
      <c r="L42" s="47"/>
      <c r="M42" s="47"/>
    </row>
    <row r="43" spans="3:18" x14ac:dyDescent="0.2">
      <c r="C43" s="7" t="s">
        <v>92</v>
      </c>
      <c r="D43" s="20" t="s">
        <v>68</v>
      </c>
      <c r="E43" s="7" t="s">
        <v>90</v>
      </c>
      <c r="F43" s="43"/>
      <c r="G43" s="44"/>
      <c r="H43" s="20"/>
      <c r="I43" s="67" t="s">
        <v>140</v>
      </c>
      <c r="J43" s="68"/>
      <c r="K43" s="47"/>
      <c r="L43" s="47"/>
      <c r="M43" s="47"/>
    </row>
    <row r="44" spans="3:18" x14ac:dyDescent="0.2">
      <c r="C44" s="20" t="s">
        <v>87</v>
      </c>
      <c r="D44" s="20">
        <v>21.42</v>
      </c>
      <c r="E44" s="39" t="s">
        <v>91</v>
      </c>
      <c r="F44" s="43"/>
      <c r="G44" s="44"/>
      <c r="H44" s="20"/>
      <c r="I44" s="67" t="s">
        <v>141</v>
      </c>
      <c r="J44" s="68"/>
      <c r="K44" s="47"/>
      <c r="L44" s="47"/>
      <c r="M44" s="47"/>
    </row>
    <row r="45" spans="3:18" ht="16" thickBot="1" x14ac:dyDescent="0.25">
      <c r="I45" s="69" t="s">
        <v>142</v>
      </c>
      <c r="J45" s="70"/>
    </row>
    <row r="48" spans="3:18" ht="64" x14ac:dyDescent="0.2">
      <c r="C48" s="20" t="s">
        <v>65</v>
      </c>
      <c r="D48" s="20" t="s">
        <v>66</v>
      </c>
      <c r="E48" s="39" t="s">
        <v>88</v>
      </c>
      <c r="F48" s="40" t="s">
        <v>93</v>
      </c>
      <c r="G48" s="40" t="s">
        <v>94</v>
      </c>
      <c r="H48" s="41" t="s">
        <v>95</v>
      </c>
      <c r="I48" s="41" t="s">
        <v>96</v>
      </c>
      <c r="J48" s="41" t="s">
        <v>97</v>
      </c>
      <c r="K48" s="42" t="s">
        <v>98</v>
      </c>
      <c r="L48" s="42" t="s">
        <v>99</v>
      </c>
      <c r="M48" s="42" t="s">
        <v>100</v>
      </c>
      <c r="Q48" s="7" t="s">
        <v>88</v>
      </c>
      <c r="R48" s="38" t="s">
        <v>19</v>
      </c>
    </row>
    <row r="49" spans="2:18" x14ac:dyDescent="0.2">
      <c r="B49" s="55" t="s">
        <v>116</v>
      </c>
      <c r="C49" s="38" t="s">
        <v>67</v>
      </c>
      <c r="D49" s="54">
        <v>40</v>
      </c>
      <c r="E49" s="39">
        <v>1</v>
      </c>
      <c r="F49" s="43">
        <f>((-0.3395*D49)+9.9245)</f>
        <v>-3.6555000000000017</v>
      </c>
      <c r="G49" s="44">
        <f t="shared" ref="G49" si="0">10^F49</f>
        <v>2.210548256299394E-4</v>
      </c>
      <c r="H49" s="7">
        <v>20.2285</v>
      </c>
      <c r="I49" s="45">
        <f>(H49*2)</f>
        <v>40.457000000000001</v>
      </c>
      <c r="J49" s="46">
        <f t="shared" ref="J49" si="1">(G49/I49)</f>
        <v>5.4639450683426696E-6</v>
      </c>
      <c r="K49" s="56">
        <f>((J49*600*100)/18529231)</f>
        <v>1.7692947111542845E-8</v>
      </c>
      <c r="L49" s="56">
        <f>((J49*120*100)/18529231)</f>
        <v>3.5385894223085695E-9</v>
      </c>
      <c r="M49" s="56">
        <f>((J49*60*100)/18529231)</f>
        <v>1.7692947111542847E-9</v>
      </c>
      <c r="Q49" s="7">
        <v>1</v>
      </c>
      <c r="R49" s="51">
        <v>20.228475</v>
      </c>
    </row>
    <row r="50" spans="2:18" x14ac:dyDescent="0.2">
      <c r="C50" s="20" t="s">
        <v>71</v>
      </c>
      <c r="D50" s="20">
        <v>33.01</v>
      </c>
      <c r="E50" s="20">
        <v>2</v>
      </c>
      <c r="F50" s="43">
        <f t="shared" ref="F50:F62" si="2">((-0.3395*D50)+9.9245)</f>
        <v>-1.2823949999999993</v>
      </c>
      <c r="G50" s="44">
        <f t="shared" ref="G50:G62" si="3">10^F50</f>
        <v>5.2192127464159285E-2</v>
      </c>
      <c r="H50" s="7">
        <v>0.1</v>
      </c>
      <c r="I50" s="45">
        <f>(H50*2)</f>
        <v>0.2</v>
      </c>
      <c r="J50" s="46">
        <f t="shared" ref="J50:J62" si="4">(G50/I50)</f>
        <v>0.26096063732079638</v>
      </c>
      <c r="K50" s="56">
        <f t="shared" ref="K50:K60" si="5">((J50*600*100)/18529231)</f>
        <v>8.4502364071384198E-4</v>
      </c>
      <c r="L50" s="56">
        <f t="shared" ref="L50:L59" si="6">((J50*120*100)/18529231)</f>
        <v>1.6900472814276841E-4</v>
      </c>
      <c r="M50" s="56">
        <f t="shared" ref="M50:M59" si="7">((J50*60*100)/18529231)</f>
        <v>8.4502364071384204E-5</v>
      </c>
      <c r="Q50" s="7">
        <v>2</v>
      </c>
      <c r="R50" s="51">
        <v>-0.28162500000000001</v>
      </c>
    </row>
    <row r="51" spans="2:18" x14ac:dyDescent="0.2">
      <c r="C51" s="20" t="s">
        <v>74</v>
      </c>
      <c r="D51" s="20">
        <v>34.49</v>
      </c>
      <c r="E51" s="39">
        <v>3</v>
      </c>
      <c r="F51" s="43">
        <f t="shared" si="2"/>
        <v>-1.7848550000000021</v>
      </c>
      <c r="G51" s="44">
        <f t="shared" si="3"/>
        <v>1.6411376162954995E-2</v>
      </c>
      <c r="H51" s="7">
        <v>0.1</v>
      </c>
      <c r="I51" s="45">
        <f t="shared" ref="I51:I62" si="8">(H51*2)</f>
        <v>0.2</v>
      </c>
      <c r="J51" s="46">
        <f t="shared" si="4"/>
        <v>8.2056880814774968E-2</v>
      </c>
      <c r="K51" s="56">
        <f t="shared" si="5"/>
        <v>2.6571058717366619E-4</v>
      </c>
      <c r="L51" s="56">
        <f t="shared" si="6"/>
        <v>5.3142117434733237E-5</v>
      </c>
      <c r="M51" s="56">
        <f t="shared" si="7"/>
        <v>2.6571058717366618E-5</v>
      </c>
      <c r="Q51" s="7">
        <v>3</v>
      </c>
      <c r="R51" s="51">
        <v>-0.28162500000000001</v>
      </c>
    </row>
    <row r="52" spans="2:18" x14ac:dyDescent="0.2">
      <c r="C52" s="20" t="s">
        <v>77</v>
      </c>
      <c r="D52" s="20">
        <v>33.81</v>
      </c>
      <c r="E52" s="39">
        <v>4</v>
      </c>
      <c r="F52" s="43">
        <f t="shared" si="2"/>
        <v>-1.5539950000000022</v>
      </c>
      <c r="G52" s="44">
        <f t="shared" si="3"/>
        <v>2.7925759917714982E-2</v>
      </c>
      <c r="H52" s="7">
        <v>0.1</v>
      </c>
      <c r="I52" s="45">
        <f t="shared" si="8"/>
        <v>0.2</v>
      </c>
      <c r="J52" s="46">
        <f t="shared" si="4"/>
        <v>0.13962879958857491</v>
      </c>
      <c r="K52" s="56">
        <f t="shared" si="5"/>
        <v>4.5213576188426243E-4</v>
      </c>
      <c r="L52" s="56">
        <f t="shared" si="6"/>
        <v>9.0427152376852489E-5</v>
      </c>
      <c r="M52" s="56">
        <f t="shared" si="7"/>
        <v>4.5213576188426245E-5</v>
      </c>
      <c r="Q52" s="7">
        <v>4</v>
      </c>
      <c r="R52" s="51">
        <v>-3.1874999999999987E-2</v>
      </c>
    </row>
    <row r="53" spans="2:18" x14ac:dyDescent="0.2">
      <c r="C53" s="20" t="s">
        <v>80</v>
      </c>
      <c r="D53" s="20">
        <v>34.29</v>
      </c>
      <c r="E53" s="39">
        <v>5</v>
      </c>
      <c r="F53" s="43">
        <f t="shared" si="2"/>
        <v>-1.7169550000000005</v>
      </c>
      <c r="G53" s="44">
        <f t="shared" si="3"/>
        <v>1.9188675563822158E-2</v>
      </c>
      <c r="H53" s="7">
        <v>0.1</v>
      </c>
      <c r="I53" s="45">
        <f t="shared" si="8"/>
        <v>0.2</v>
      </c>
      <c r="J53" s="46">
        <f t="shared" si="4"/>
        <v>9.5943377819110789E-2</v>
      </c>
      <c r="K53" s="56">
        <f t="shared" si="5"/>
        <v>3.1067682566786759E-4</v>
      </c>
      <c r="L53" s="56">
        <f t="shared" si="6"/>
        <v>6.213536513357351E-5</v>
      </c>
      <c r="M53" s="56">
        <f t="shared" si="7"/>
        <v>3.1067682566786755E-5</v>
      </c>
      <c r="Q53" s="7">
        <v>5</v>
      </c>
      <c r="R53" s="51">
        <v>-0.32527499999999998</v>
      </c>
    </row>
    <row r="54" spans="2:18" x14ac:dyDescent="0.2">
      <c r="C54" s="20" t="s">
        <v>83</v>
      </c>
      <c r="D54" s="20">
        <v>35.340000000000003</v>
      </c>
      <c r="E54" s="20">
        <v>6</v>
      </c>
      <c r="F54" s="43">
        <f t="shared" si="2"/>
        <v>-2.0734300000000019</v>
      </c>
      <c r="G54" s="44">
        <f t="shared" si="3"/>
        <v>8.4444233896449825E-3</v>
      </c>
      <c r="H54" s="7">
        <v>0.1</v>
      </c>
      <c r="I54" s="45">
        <f t="shared" si="8"/>
        <v>0.2</v>
      </c>
      <c r="J54" s="46">
        <f t="shared" si="4"/>
        <v>4.2222116948224912E-2</v>
      </c>
      <c r="K54" s="56">
        <f t="shared" si="5"/>
        <v>1.3672056961745984E-4</v>
      </c>
      <c r="L54" s="56">
        <f t="shared" si="6"/>
        <v>2.7344113923491969E-5</v>
      </c>
      <c r="M54" s="56">
        <f t="shared" si="7"/>
        <v>1.3672056961745984E-5</v>
      </c>
      <c r="Q54" s="7">
        <v>6</v>
      </c>
      <c r="R54" s="51">
        <v>-0.28117500000000001</v>
      </c>
    </row>
    <row r="55" spans="2:18" x14ac:dyDescent="0.2">
      <c r="C55" s="20" t="s">
        <v>86</v>
      </c>
      <c r="D55" s="20">
        <v>39.049999999999997</v>
      </c>
      <c r="E55" s="20">
        <v>7</v>
      </c>
      <c r="F55" s="43">
        <f t="shared" si="2"/>
        <v>-3.3329749999999994</v>
      </c>
      <c r="G55" s="44">
        <f t="shared" si="3"/>
        <v>4.6454201564109841E-4</v>
      </c>
      <c r="H55" s="7">
        <v>0.1</v>
      </c>
      <c r="I55" s="45">
        <f t="shared" si="8"/>
        <v>0.2</v>
      </c>
      <c r="J55" s="46">
        <f t="shared" si="4"/>
        <v>2.322710078205492E-3</v>
      </c>
      <c r="K55" s="56">
        <f t="shared" si="5"/>
        <v>7.5212298174883536E-6</v>
      </c>
      <c r="L55" s="56">
        <f t="shared" si="6"/>
        <v>1.5042459634976705E-6</v>
      </c>
      <c r="M55" s="56">
        <f t="shared" si="7"/>
        <v>7.5212298174883525E-7</v>
      </c>
      <c r="Q55" s="7">
        <v>7</v>
      </c>
      <c r="R55" s="51">
        <v>-0.32797500000000002</v>
      </c>
    </row>
    <row r="56" spans="2:18" x14ac:dyDescent="0.2">
      <c r="C56" s="20" t="s">
        <v>69</v>
      </c>
      <c r="D56" s="20">
        <v>34.549999999999997</v>
      </c>
      <c r="E56" s="20">
        <v>9</v>
      </c>
      <c r="F56" s="43">
        <f t="shared" si="2"/>
        <v>-1.8052250000000001</v>
      </c>
      <c r="G56" s="44">
        <f t="shared" si="3"/>
        <v>1.565939575363412E-2</v>
      </c>
      <c r="H56" s="7">
        <v>0.1</v>
      </c>
      <c r="I56" s="45">
        <f t="shared" si="8"/>
        <v>0.2</v>
      </c>
      <c r="J56" s="46">
        <f t="shared" si="4"/>
        <v>7.82969787681706E-2</v>
      </c>
      <c r="K56" s="56">
        <f t="shared" si="5"/>
        <v>2.5353554748657598E-4</v>
      </c>
      <c r="L56" s="56">
        <f t="shared" si="6"/>
        <v>5.0707109497315201E-5</v>
      </c>
      <c r="M56" s="56">
        <f t="shared" si="7"/>
        <v>2.53535547486576E-5</v>
      </c>
      <c r="Q56" s="7">
        <v>8</v>
      </c>
      <c r="R56" s="51">
        <v>-0.305925</v>
      </c>
    </row>
    <row r="57" spans="2:18" x14ac:dyDescent="0.2">
      <c r="C57" s="20" t="s">
        <v>72</v>
      </c>
      <c r="D57" s="20">
        <v>34.53</v>
      </c>
      <c r="E57" s="20">
        <v>10</v>
      </c>
      <c r="F57" s="43">
        <f t="shared" si="2"/>
        <v>-1.7984350000000013</v>
      </c>
      <c r="G57" s="44">
        <f t="shared" si="3"/>
        <v>1.5906147301828683E-2</v>
      </c>
      <c r="H57" s="7">
        <v>0.24</v>
      </c>
      <c r="I57" s="45">
        <f t="shared" si="8"/>
        <v>0.48</v>
      </c>
      <c r="J57" s="46">
        <f t="shared" si="4"/>
        <v>3.313780687880976E-2</v>
      </c>
      <c r="K57" s="56">
        <f t="shared" si="5"/>
        <v>1.0730442146943851E-4</v>
      </c>
      <c r="L57" s="56">
        <f t="shared" si="6"/>
        <v>2.1460884293887703E-5</v>
      </c>
      <c r="M57" s="56">
        <f t="shared" si="7"/>
        <v>1.0730442146943851E-5</v>
      </c>
      <c r="Q57" s="7">
        <v>9</v>
      </c>
      <c r="R57" s="51">
        <v>-0.217725</v>
      </c>
    </row>
    <row r="58" spans="2:18" x14ac:dyDescent="0.2">
      <c r="C58" s="20" t="s">
        <v>75</v>
      </c>
      <c r="D58" s="20">
        <v>33.799999999999997</v>
      </c>
      <c r="E58" s="39">
        <v>11</v>
      </c>
      <c r="F58" s="43">
        <f t="shared" si="2"/>
        <v>-1.5505999999999993</v>
      </c>
      <c r="G58" s="44">
        <f t="shared" si="3"/>
        <v>2.8144918798121497E-2</v>
      </c>
      <c r="H58" s="7">
        <v>0.1</v>
      </c>
      <c r="I58" s="45">
        <f t="shared" si="8"/>
        <v>0.2</v>
      </c>
      <c r="J58" s="46">
        <f t="shared" si="4"/>
        <v>0.14072459399060747</v>
      </c>
      <c r="K58" s="56">
        <f t="shared" si="5"/>
        <v>4.5568408313526065E-4</v>
      </c>
      <c r="L58" s="56">
        <f t="shared" si="6"/>
        <v>9.1136816627052116E-5</v>
      </c>
      <c r="M58" s="56">
        <f t="shared" si="7"/>
        <v>4.5568408313526058E-5</v>
      </c>
      <c r="Q58" s="7">
        <v>10</v>
      </c>
      <c r="R58" s="51">
        <v>0.23857499999999998</v>
      </c>
    </row>
    <row r="59" spans="2:18" x14ac:dyDescent="0.2">
      <c r="C59" s="20" t="s">
        <v>78</v>
      </c>
      <c r="D59" s="20">
        <v>33.72</v>
      </c>
      <c r="E59" s="39">
        <v>12</v>
      </c>
      <c r="F59" s="43">
        <f t="shared" si="2"/>
        <v>-1.5234400000000008</v>
      </c>
      <c r="G59" s="44">
        <f t="shared" si="3"/>
        <v>2.9961254938699691E-2</v>
      </c>
      <c r="H59" s="7">
        <v>0.1</v>
      </c>
      <c r="I59" s="45">
        <f t="shared" si="8"/>
        <v>0.2</v>
      </c>
      <c r="J59" s="46">
        <f t="shared" si="4"/>
        <v>0.14980627469349844</v>
      </c>
      <c r="K59" s="56">
        <f t="shared" si="5"/>
        <v>4.8509171706099982E-4</v>
      </c>
      <c r="L59" s="56">
        <f t="shared" si="6"/>
        <v>9.7018343412199961E-5</v>
      </c>
      <c r="M59" s="56">
        <f t="shared" si="7"/>
        <v>4.8509171706099981E-5</v>
      </c>
      <c r="Q59" s="7">
        <v>11</v>
      </c>
      <c r="R59" s="51">
        <v>-0.31762499999999999</v>
      </c>
    </row>
    <row r="60" spans="2:18" x14ac:dyDescent="0.2">
      <c r="C60" s="20" t="s">
        <v>81</v>
      </c>
      <c r="D60" s="20">
        <v>26.84</v>
      </c>
      <c r="E60" s="39" t="s">
        <v>107</v>
      </c>
      <c r="F60" s="43">
        <f t="shared" si="2"/>
        <v>0.81231999999999971</v>
      </c>
      <c r="G60" s="44">
        <f t="shared" ref="G60" si="9">10^F60</f>
        <v>6.4911254118076531</v>
      </c>
      <c r="H60" s="20">
        <v>1</v>
      </c>
      <c r="I60" s="45">
        <f t="shared" si="8"/>
        <v>2</v>
      </c>
      <c r="J60" s="46">
        <f t="shared" ref="J60" si="10">(G60/I60)</f>
        <v>3.2455627059038266</v>
      </c>
      <c r="K60" s="56">
        <f t="shared" si="5"/>
        <v>1.0509543669363805E-2</v>
      </c>
      <c r="L60" s="56">
        <f t="shared" ref="L60" si="11">((J60*120*100)/18529231)</f>
        <v>2.1019087338727612E-3</v>
      </c>
      <c r="M60" s="56">
        <f t="shared" ref="M60" si="12">((J60*60*100)/18529231)</f>
        <v>1.0509543669363806E-3</v>
      </c>
      <c r="Q60" s="7">
        <v>12</v>
      </c>
      <c r="R60" s="51">
        <v>-0.31267499999999998</v>
      </c>
    </row>
    <row r="61" spans="2:18" x14ac:dyDescent="0.2">
      <c r="C61" s="59"/>
      <c r="D61" s="59"/>
      <c r="E61" s="39"/>
      <c r="F61" s="43"/>
      <c r="G61" s="44"/>
      <c r="H61" s="59"/>
      <c r="I61" s="45"/>
      <c r="J61" s="46"/>
      <c r="K61" s="56"/>
      <c r="L61" s="56"/>
      <c r="M61" s="56"/>
      <c r="Q61" s="7"/>
      <c r="R61" s="51"/>
    </row>
    <row r="62" spans="2:18" x14ac:dyDescent="0.2">
      <c r="B62" s="63" t="s">
        <v>136</v>
      </c>
      <c r="C62" s="52" t="s">
        <v>87</v>
      </c>
      <c r="D62" s="52">
        <v>21.42</v>
      </c>
      <c r="E62" s="53" t="s">
        <v>91</v>
      </c>
      <c r="F62" s="43">
        <f t="shared" si="2"/>
        <v>2.6524099999999988</v>
      </c>
      <c r="G62" s="44">
        <f t="shared" si="3"/>
        <v>449.16923249064877</v>
      </c>
      <c r="H62" s="48">
        <v>1.4</v>
      </c>
      <c r="I62" s="45">
        <f t="shared" si="8"/>
        <v>2.8</v>
      </c>
      <c r="J62" s="46">
        <f t="shared" si="4"/>
        <v>160.41758303237458</v>
      </c>
      <c r="K62" s="56">
        <f>((J62*600*100)/18529231)</f>
        <v>0.51945247927139959</v>
      </c>
      <c r="L62" s="56">
        <f>((J62*120*100)/18529231)</f>
        <v>0.10389049585427991</v>
      </c>
      <c r="M62" s="56">
        <f>((J62*60*100)/18529231)</f>
        <v>5.1945247927139955E-2</v>
      </c>
      <c r="N62" s="55" t="s">
        <v>117</v>
      </c>
      <c r="Q62" s="71"/>
      <c r="R62" s="72"/>
    </row>
  </sheetData>
  <sortState xmlns:xlrd2="http://schemas.microsoft.com/office/spreadsheetml/2017/richdata2" ref="C24:E44">
    <sortCondition ref="E24:E44"/>
  </sortState>
  <mergeCells count="3">
    <mergeCell ref="I11:I13"/>
    <mergeCell ref="N8:O8"/>
    <mergeCell ref="Q8:R8"/>
  </mergeCells>
  <pageMargins left="0.7" right="0.7" top="0.75" bottom="0.75" header="0.3" footer="0.3"/>
  <pageSetup paperSize="9" scale="63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18C04-040A-6D45-BAE5-B496C3566404}">
  <dimension ref="A1:Y36"/>
  <sheetViews>
    <sheetView topLeftCell="A2" workbookViewId="0">
      <selection activeCell="P21" sqref="P21"/>
    </sheetView>
  </sheetViews>
  <sheetFormatPr baseColWidth="10" defaultRowHeight="15" x14ac:dyDescent="0.2"/>
  <cols>
    <col min="5" max="5" width="11.6640625" customWidth="1"/>
    <col min="6" max="6" width="26.83203125" customWidth="1"/>
    <col min="8" max="8" width="11.6640625" bestFit="1" customWidth="1"/>
    <col min="15" max="15" width="12.5" bestFit="1" customWidth="1"/>
    <col min="19" max="19" width="11.83203125" bestFit="1" customWidth="1"/>
    <col min="23" max="23" width="12.5" bestFit="1" customWidth="1"/>
  </cols>
  <sheetData>
    <row r="1" spans="1:25" ht="16" thickBot="1" x14ac:dyDescent="0.25">
      <c r="A1" s="113" t="s">
        <v>143</v>
      </c>
      <c r="B1" s="113"/>
      <c r="C1" s="113"/>
      <c r="D1" s="113"/>
      <c r="E1" s="113"/>
      <c r="G1" s="112" t="s">
        <v>145</v>
      </c>
      <c r="H1" s="112"/>
      <c r="I1" s="112"/>
      <c r="J1" s="112"/>
      <c r="K1" s="112"/>
      <c r="N1" s="114" t="s">
        <v>162</v>
      </c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</row>
    <row r="2" spans="1:25" x14ac:dyDescent="0.2">
      <c r="N2" s="115" t="s">
        <v>166</v>
      </c>
      <c r="O2" s="116"/>
      <c r="P2" s="116"/>
      <c r="Q2" s="117"/>
      <c r="R2" s="118" t="s">
        <v>167</v>
      </c>
      <c r="S2" s="119"/>
      <c r="T2" s="119"/>
      <c r="U2" s="120"/>
      <c r="V2" s="109" t="s">
        <v>168</v>
      </c>
      <c r="W2" s="110"/>
      <c r="X2" s="110"/>
      <c r="Y2" s="111"/>
    </row>
    <row r="3" spans="1:25" ht="64" x14ac:dyDescent="0.2">
      <c r="A3" s="73"/>
      <c r="B3" s="74" t="s">
        <v>88</v>
      </c>
      <c r="C3" s="75" t="s">
        <v>135</v>
      </c>
      <c r="D3" s="75" t="s">
        <v>144</v>
      </c>
      <c r="E3" s="85" t="s">
        <v>161</v>
      </c>
      <c r="G3" s="53" t="s">
        <v>88</v>
      </c>
      <c r="H3" s="52" t="s">
        <v>66</v>
      </c>
      <c r="I3" s="81" t="s">
        <v>150</v>
      </c>
      <c r="J3" s="81" t="s">
        <v>151</v>
      </c>
      <c r="K3" s="81" t="s">
        <v>152</v>
      </c>
      <c r="N3" s="96" t="s">
        <v>88</v>
      </c>
      <c r="O3" s="97" t="s">
        <v>163</v>
      </c>
      <c r="P3" s="97" t="s">
        <v>164</v>
      </c>
      <c r="Q3" s="97" t="s">
        <v>165</v>
      </c>
      <c r="R3" s="98" t="s">
        <v>88</v>
      </c>
      <c r="S3" s="99" t="s">
        <v>163</v>
      </c>
      <c r="T3" s="99" t="s">
        <v>164</v>
      </c>
      <c r="U3" s="99" t="s">
        <v>165</v>
      </c>
      <c r="V3" s="100" t="s">
        <v>88</v>
      </c>
      <c r="W3" s="101" t="s">
        <v>163</v>
      </c>
      <c r="X3" s="101" t="s">
        <v>164</v>
      </c>
      <c r="Y3" s="101" t="s">
        <v>165</v>
      </c>
    </row>
    <row r="4" spans="1:25" x14ac:dyDescent="0.2">
      <c r="A4" s="73" t="s">
        <v>134</v>
      </c>
      <c r="B4" s="74">
        <v>1</v>
      </c>
      <c r="C4" s="76">
        <v>20.228475</v>
      </c>
      <c r="D4" s="73">
        <f>C4*2</f>
        <v>40.456949999999999</v>
      </c>
      <c r="E4" s="73">
        <f>D4/G27</f>
        <v>119719752984.67479</v>
      </c>
      <c r="G4" s="53">
        <v>1</v>
      </c>
      <c r="H4" s="82">
        <v>40</v>
      </c>
      <c r="I4" s="83">
        <f t="shared" ref="I4:I10" si="0">POWER(10,(-0.3395*H4)+9.8577)</f>
        <v>1.89539617559933E-4</v>
      </c>
      <c r="J4" s="83">
        <f t="shared" ref="J4:J10" si="1">POWER(10,(-0.3395*H4)+9.9245)</f>
        <v>2.210548256299394E-4</v>
      </c>
      <c r="K4" s="83">
        <f t="shared" ref="K4:K10" si="2">POWER(10,(-0.3395*H4)+10.858)</f>
        <v>1.8967059212111389E-3</v>
      </c>
      <c r="N4" s="86">
        <v>1</v>
      </c>
      <c r="O4" s="105">
        <f>(I4/E4)*100</f>
        <v>1.5831941917236983E-13</v>
      </c>
      <c r="P4" s="105">
        <f>O4/5</f>
        <v>3.1663883834473968E-14</v>
      </c>
      <c r="Q4" s="105">
        <f>O4/10</f>
        <v>1.5831941917236984E-14</v>
      </c>
      <c r="R4" s="89">
        <v>1</v>
      </c>
      <c r="S4" s="106">
        <f>(J4/E4)*100</f>
        <v>1.8464356976933991E-13</v>
      </c>
      <c r="T4" s="106">
        <f>S4/5</f>
        <v>3.692871395386798E-14</v>
      </c>
      <c r="U4" s="106">
        <f>S4/10</f>
        <v>1.846435697693399E-14</v>
      </c>
      <c r="V4" s="92">
        <v>1</v>
      </c>
      <c r="W4" s="106">
        <f>(K4/E4)*100</f>
        <v>1.5842882013412896E-12</v>
      </c>
      <c r="X4" s="106">
        <f>W4/5</f>
        <v>3.1685764026825794E-13</v>
      </c>
      <c r="Y4" s="106">
        <f>W4/10</f>
        <v>1.5842882013412897E-13</v>
      </c>
    </row>
    <row r="5" spans="1:25" x14ac:dyDescent="0.2">
      <c r="A5" s="73" t="s">
        <v>134</v>
      </c>
      <c r="B5" s="74">
        <v>2</v>
      </c>
      <c r="C5" s="76">
        <v>-0.28162500000000001</v>
      </c>
      <c r="D5" s="73">
        <f t="shared" ref="D5:D16" si="3">C5*2</f>
        <v>-0.56325000000000003</v>
      </c>
      <c r="E5" s="73">
        <f>D5/G27</f>
        <v>-1666763086.9014614</v>
      </c>
      <c r="G5" s="52">
        <v>2</v>
      </c>
      <c r="H5" s="52">
        <v>33.01</v>
      </c>
      <c r="I5" s="83">
        <f t="shared" si="0"/>
        <v>4.4751232419403063E-2</v>
      </c>
      <c r="J5" s="83">
        <f t="shared" si="1"/>
        <v>5.2192127464159285E-2</v>
      </c>
      <c r="K5" s="83">
        <f t="shared" si="2"/>
        <v>0.4478215615505205</v>
      </c>
      <c r="N5" s="88">
        <v>2</v>
      </c>
      <c r="O5" s="87">
        <f t="shared" ref="O5:O16" si="4">(I5/E5)*100</f>
        <v>-2.6849186168741175E-9</v>
      </c>
      <c r="P5" s="87">
        <f t="shared" ref="P5:P16" si="5">O5/5</f>
        <v>-5.3698372337482345E-10</v>
      </c>
      <c r="Q5" s="87">
        <f t="shared" ref="Q5:Q16" si="6">O5/10</f>
        <v>-2.6849186168741173E-10</v>
      </c>
      <c r="R5" s="91">
        <v>2</v>
      </c>
      <c r="S5" s="90">
        <f t="shared" ref="S5:S16" si="7">(J5/E5)*100</f>
        <v>-3.1313464927511244E-9</v>
      </c>
      <c r="T5" s="90">
        <f t="shared" ref="T5:T16" si="8">S5/5</f>
        <v>-6.2626929855022487E-10</v>
      </c>
      <c r="U5" s="90">
        <f t="shared" ref="U5:U16" si="9">S5/10</f>
        <v>-3.1313464927511244E-10</v>
      </c>
      <c r="V5" s="94">
        <v>2</v>
      </c>
      <c r="W5" s="93">
        <f t="shared" ref="W5:W15" si="10">(K5/E5)*100</f>
        <v>-2.6867739336790076E-8</v>
      </c>
      <c r="X5" s="93">
        <f t="shared" ref="X5:X16" si="11">W5/5</f>
        <v>-5.373547867358015E-9</v>
      </c>
      <c r="Y5" s="93">
        <f t="shared" ref="Y5:Y16" si="12">W5/10</f>
        <v>-2.6867739336790075E-9</v>
      </c>
    </row>
    <row r="6" spans="1:25" x14ac:dyDescent="0.2">
      <c r="A6" s="73" t="s">
        <v>134</v>
      </c>
      <c r="B6" s="74">
        <v>3</v>
      </c>
      <c r="C6" s="76">
        <v>-0.28162500000000001</v>
      </c>
      <c r="D6" s="73">
        <f t="shared" si="3"/>
        <v>-0.56325000000000003</v>
      </c>
      <c r="E6" s="73">
        <f>D6/G27</f>
        <v>-1666763086.9014614</v>
      </c>
      <c r="G6" s="53">
        <v>3</v>
      </c>
      <c r="H6" s="52">
        <v>34.49</v>
      </c>
      <c r="I6" s="83">
        <f t="shared" si="0"/>
        <v>1.4071649206003111E-2</v>
      </c>
      <c r="J6" s="83">
        <f t="shared" si="1"/>
        <v>1.6411376162954995E-2</v>
      </c>
      <c r="K6" s="83">
        <f t="shared" si="2"/>
        <v>0.14081372914975274</v>
      </c>
      <c r="N6" s="86">
        <v>3</v>
      </c>
      <c r="O6" s="87">
        <f t="shared" si="4"/>
        <v>-8.4425011068384813E-10</v>
      </c>
      <c r="P6" s="87">
        <f t="shared" si="5"/>
        <v>-1.6885002213676963E-10</v>
      </c>
      <c r="Q6" s="87">
        <f t="shared" si="6"/>
        <v>-8.4425011068384813E-11</v>
      </c>
      <c r="R6" s="89">
        <v>3</v>
      </c>
      <c r="S6" s="90">
        <f t="shared" si="7"/>
        <v>-9.8462560707796818E-10</v>
      </c>
      <c r="T6" s="90">
        <f t="shared" si="8"/>
        <v>-1.9692512141559364E-10</v>
      </c>
      <c r="U6" s="90">
        <f t="shared" si="9"/>
        <v>-9.846256070779682E-11</v>
      </c>
      <c r="V6" s="92">
        <v>3</v>
      </c>
      <c r="W6" s="93">
        <f t="shared" si="10"/>
        <v>-8.4483349947188752E-9</v>
      </c>
      <c r="X6" s="93">
        <f t="shared" si="11"/>
        <v>-1.689666998943775E-9</v>
      </c>
      <c r="Y6" s="93">
        <f t="shared" si="12"/>
        <v>-8.4483349947188752E-10</v>
      </c>
    </row>
    <row r="7" spans="1:25" x14ac:dyDescent="0.2">
      <c r="A7" s="73" t="s">
        <v>134</v>
      </c>
      <c r="B7" s="74">
        <v>4</v>
      </c>
      <c r="C7" s="76">
        <v>-3.1874999999999987E-2</v>
      </c>
      <c r="D7" s="73">
        <f t="shared" si="3"/>
        <v>-6.3749999999999973E-2</v>
      </c>
      <c r="E7" s="73">
        <f>D7/G27</f>
        <v>-188648285.46820793</v>
      </c>
      <c r="G7" s="53">
        <v>4</v>
      </c>
      <c r="H7" s="52">
        <v>33.81</v>
      </c>
      <c r="I7" s="83">
        <f t="shared" si="0"/>
        <v>2.3944457397800073E-2</v>
      </c>
      <c r="J7" s="83">
        <f t="shared" si="1"/>
        <v>2.7925759917714982E-2</v>
      </c>
      <c r="K7" s="83">
        <f t="shared" si="2"/>
        <v>0.23961003357113295</v>
      </c>
      <c r="N7" s="86">
        <v>4</v>
      </c>
      <c r="O7" s="87">
        <f t="shared" si="4"/>
        <v>-1.269264511912849E-8</v>
      </c>
      <c r="P7" s="87">
        <f t="shared" si="5"/>
        <v>-2.538529023825698E-9</v>
      </c>
      <c r="Q7" s="87">
        <f t="shared" si="6"/>
        <v>-1.269264511912849E-9</v>
      </c>
      <c r="R7" s="89">
        <v>4</v>
      </c>
      <c r="S7" s="90">
        <f t="shared" si="7"/>
        <v>-1.4803081749937868E-8</v>
      </c>
      <c r="T7" s="90">
        <f t="shared" si="8"/>
        <v>-2.9606163499875734E-9</v>
      </c>
      <c r="U7" s="90">
        <f t="shared" si="9"/>
        <v>-1.4803081749937867E-9</v>
      </c>
      <c r="V7" s="92">
        <v>4</v>
      </c>
      <c r="W7" s="93">
        <f t="shared" si="10"/>
        <v>-1.2701415916738527E-7</v>
      </c>
      <c r="X7" s="93">
        <f t="shared" si="11"/>
        <v>-2.5402831833477053E-8</v>
      </c>
      <c r="Y7" s="93">
        <f t="shared" si="12"/>
        <v>-1.2701415916738527E-8</v>
      </c>
    </row>
    <row r="8" spans="1:25" x14ac:dyDescent="0.2">
      <c r="A8" s="73" t="s">
        <v>134</v>
      </c>
      <c r="B8" s="74">
        <v>5</v>
      </c>
      <c r="C8" s="76">
        <v>-0.32527499999999998</v>
      </c>
      <c r="D8" s="73">
        <f t="shared" si="3"/>
        <v>-0.65054999999999996</v>
      </c>
      <c r="E8" s="73">
        <f>D8/G27</f>
        <v>-1925100268.413219</v>
      </c>
      <c r="G8" s="53">
        <v>5</v>
      </c>
      <c r="H8" s="52">
        <v>34.29</v>
      </c>
      <c r="I8" s="83">
        <f t="shared" si="0"/>
        <v>1.6452996298470735E-2</v>
      </c>
      <c r="J8" s="83">
        <f t="shared" si="1"/>
        <v>1.9188675563822158E-2</v>
      </c>
      <c r="K8" s="83">
        <f t="shared" si="2"/>
        <v>0.16464365552023333</v>
      </c>
      <c r="N8" s="86">
        <v>5</v>
      </c>
      <c r="O8" s="87">
        <f t="shared" si="4"/>
        <v>-8.5465658949973878E-10</v>
      </c>
      <c r="P8" s="87">
        <f t="shared" si="5"/>
        <v>-1.7093131789994774E-10</v>
      </c>
      <c r="Q8" s="87">
        <f t="shared" si="6"/>
        <v>-8.5465658949973872E-11</v>
      </c>
      <c r="R8" s="89">
        <v>5</v>
      </c>
      <c r="S8" s="90">
        <f t="shared" si="7"/>
        <v>-9.9676239615501131E-10</v>
      </c>
      <c r="T8" s="90">
        <f t="shared" si="8"/>
        <v>-1.9935247923100226E-10</v>
      </c>
      <c r="U8" s="90">
        <f t="shared" si="9"/>
        <v>-9.9676239615501131E-11</v>
      </c>
      <c r="V8" s="92">
        <v>5</v>
      </c>
      <c r="W8" s="93">
        <f t="shared" si="10"/>
        <v>-8.5524716931208129E-9</v>
      </c>
      <c r="X8" s="93">
        <f t="shared" si="11"/>
        <v>-1.7104943386241625E-9</v>
      </c>
      <c r="Y8" s="93">
        <f t="shared" si="12"/>
        <v>-8.5524716931208127E-10</v>
      </c>
    </row>
    <row r="9" spans="1:25" x14ac:dyDescent="0.2">
      <c r="A9" s="73" t="s">
        <v>134</v>
      </c>
      <c r="B9" s="74">
        <v>6</v>
      </c>
      <c r="C9" s="76">
        <v>-0.28117500000000001</v>
      </c>
      <c r="D9" s="73">
        <f t="shared" si="3"/>
        <v>-0.56235000000000002</v>
      </c>
      <c r="E9" s="73">
        <f>D9/G27</f>
        <v>-1664099816.9889691</v>
      </c>
      <c r="G9" s="52">
        <v>6</v>
      </c>
      <c r="H9" s="52">
        <v>35.340000000000003</v>
      </c>
      <c r="I9" s="83">
        <f t="shared" si="0"/>
        <v>7.2405240429670465E-3</v>
      </c>
      <c r="J9" s="83">
        <f t="shared" si="1"/>
        <v>8.4444233896449825E-3</v>
      </c>
      <c r="K9" s="83">
        <f t="shared" si="2"/>
        <v>7.2455273476663765E-2</v>
      </c>
      <c r="N9" s="88">
        <v>6</v>
      </c>
      <c r="O9" s="87">
        <f t="shared" si="4"/>
        <v>-4.3510154673702736E-10</v>
      </c>
      <c r="P9" s="87">
        <f t="shared" si="5"/>
        <v>-8.702030934740547E-11</v>
      </c>
      <c r="Q9" s="87">
        <f t="shared" si="6"/>
        <v>-4.3510154673702735E-11</v>
      </c>
      <c r="R9" s="91">
        <v>6</v>
      </c>
      <c r="S9" s="90">
        <f t="shared" si="7"/>
        <v>-5.0744692736787667E-10</v>
      </c>
      <c r="T9" s="90">
        <f t="shared" si="8"/>
        <v>-1.0148938547357533E-10</v>
      </c>
      <c r="U9" s="90">
        <f t="shared" si="9"/>
        <v>-5.0744692736787664E-11</v>
      </c>
      <c r="V9" s="94">
        <v>6</v>
      </c>
      <c r="W9" s="93">
        <f t="shared" si="10"/>
        <v>-4.3540220807045531E-9</v>
      </c>
      <c r="X9" s="93">
        <f t="shared" si="11"/>
        <v>-8.7080441614091063E-10</v>
      </c>
      <c r="Y9" s="93">
        <f t="shared" si="12"/>
        <v>-4.3540220807045531E-10</v>
      </c>
    </row>
    <row r="10" spans="1:25" x14ac:dyDescent="0.2">
      <c r="A10" s="73" t="s">
        <v>134</v>
      </c>
      <c r="B10" s="74">
        <v>7</v>
      </c>
      <c r="C10" s="76">
        <v>-0.32797500000000002</v>
      </c>
      <c r="D10" s="73">
        <f t="shared" si="3"/>
        <v>-0.65595000000000003</v>
      </c>
      <c r="E10" s="73">
        <f>D10/G27</f>
        <v>-1941079887.8881733</v>
      </c>
      <c r="G10" s="52">
        <v>7</v>
      </c>
      <c r="H10" s="52">
        <v>39.049999999999997</v>
      </c>
      <c r="I10" s="83">
        <f t="shared" si="0"/>
        <v>3.9831347600859167E-4</v>
      </c>
      <c r="J10" s="83">
        <f t="shared" si="1"/>
        <v>4.6454201564109841E-4</v>
      </c>
      <c r="K10" s="83">
        <f t="shared" si="2"/>
        <v>3.9858871626392333E-3</v>
      </c>
      <c r="N10" s="88">
        <v>7</v>
      </c>
      <c r="O10" s="87">
        <f t="shared" si="4"/>
        <v>-2.0520200044004512E-11</v>
      </c>
      <c r="P10" s="87">
        <f t="shared" si="5"/>
        <v>-4.1040400088009028E-12</v>
      </c>
      <c r="Q10" s="87">
        <f t="shared" si="6"/>
        <v>-2.0520200044004514E-12</v>
      </c>
      <c r="R10" s="91">
        <v>7</v>
      </c>
      <c r="S10" s="90">
        <f t="shared" si="7"/>
        <v>-2.393214305808422E-11</v>
      </c>
      <c r="T10" s="90">
        <f t="shared" si="8"/>
        <v>-4.786428611616844E-12</v>
      </c>
      <c r="U10" s="90">
        <f t="shared" si="9"/>
        <v>-2.393214305808422E-12</v>
      </c>
      <c r="V10" s="94">
        <v>7</v>
      </c>
      <c r="W10" s="93">
        <f t="shared" si="10"/>
        <v>-2.0534379792970492E-10</v>
      </c>
      <c r="X10" s="93">
        <f t="shared" si="11"/>
        <v>-4.1068759585940981E-11</v>
      </c>
      <c r="Y10" s="93">
        <f t="shared" si="12"/>
        <v>-2.0534379792970491E-11</v>
      </c>
    </row>
    <row r="11" spans="1:25" x14ac:dyDescent="0.2">
      <c r="A11" s="73" t="s">
        <v>134</v>
      </c>
      <c r="B11" s="74">
        <v>8</v>
      </c>
      <c r="C11" s="76">
        <v>-0.305925</v>
      </c>
      <c r="D11" s="73">
        <f t="shared" si="3"/>
        <v>-0.61185</v>
      </c>
      <c r="E11" s="73">
        <f>D11/G27</f>
        <v>-1810579662.1760483</v>
      </c>
      <c r="G11" s="78">
        <v>8</v>
      </c>
      <c r="H11" s="79"/>
      <c r="I11" s="80"/>
      <c r="J11" s="80"/>
      <c r="K11" s="80"/>
      <c r="N11" s="78">
        <v>8</v>
      </c>
      <c r="O11" s="95">
        <f t="shared" si="4"/>
        <v>0</v>
      </c>
      <c r="P11" s="95">
        <f t="shared" si="5"/>
        <v>0</v>
      </c>
      <c r="Q11" s="95">
        <f t="shared" si="6"/>
        <v>0</v>
      </c>
      <c r="R11" s="78">
        <v>8</v>
      </c>
      <c r="S11" s="95">
        <f t="shared" si="7"/>
        <v>0</v>
      </c>
      <c r="T11" s="95">
        <f t="shared" si="8"/>
        <v>0</v>
      </c>
      <c r="U11" s="95">
        <f t="shared" si="9"/>
        <v>0</v>
      </c>
      <c r="V11" s="78">
        <v>8</v>
      </c>
      <c r="W11" s="95">
        <f t="shared" si="10"/>
        <v>0</v>
      </c>
      <c r="X11" s="95">
        <f t="shared" si="11"/>
        <v>0</v>
      </c>
      <c r="Y11" s="95">
        <f t="shared" si="12"/>
        <v>0</v>
      </c>
    </row>
    <row r="12" spans="1:25" x14ac:dyDescent="0.2">
      <c r="A12" s="73" t="s">
        <v>134</v>
      </c>
      <c r="B12" s="74">
        <v>9</v>
      </c>
      <c r="C12" s="76">
        <v>-0.217725</v>
      </c>
      <c r="D12" s="73">
        <f t="shared" si="3"/>
        <v>-0.43545</v>
      </c>
      <c r="E12" s="73">
        <f>D12/G27</f>
        <v>-1288578759.327548</v>
      </c>
      <c r="G12" s="52">
        <v>9</v>
      </c>
      <c r="H12" s="52">
        <v>34.549999999999997</v>
      </c>
      <c r="I12" s="83">
        <f>POWER(10,(-0.3395*H12)+9.8577)</f>
        <v>1.3426876675979969E-2</v>
      </c>
      <c r="J12" s="83">
        <f>POWER(10,(-0.3395*H12)+9.9245)</f>
        <v>1.565939575363412E-2</v>
      </c>
      <c r="K12" s="83">
        <f>POWER(10,(-0.3395*H12)+10.858)</f>
        <v>0.13436154837998568</v>
      </c>
      <c r="N12" s="88">
        <v>9</v>
      </c>
      <c r="O12" s="87">
        <f t="shared" si="4"/>
        <v>-1.0419911533375623E-9</v>
      </c>
      <c r="P12" s="87">
        <f t="shared" si="5"/>
        <v>-2.0839823066751247E-10</v>
      </c>
      <c r="Q12" s="87">
        <f t="shared" si="6"/>
        <v>-1.0419911533375624E-10</v>
      </c>
      <c r="R12" s="91">
        <v>9</v>
      </c>
      <c r="S12" s="90">
        <f t="shared" si="7"/>
        <v>-1.2152455284771312E-9</v>
      </c>
      <c r="T12" s="90">
        <f t="shared" si="8"/>
        <v>-2.4304910569542625E-10</v>
      </c>
      <c r="U12" s="90">
        <f t="shared" si="9"/>
        <v>-1.2152455284771312E-10</v>
      </c>
      <c r="V12" s="94">
        <v>9</v>
      </c>
      <c r="W12" s="93">
        <f t="shared" si="10"/>
        <v>-1.0427111839877215E-8</v>
      </c>
      <c r="X12" s="93">
        <f t="shared" si="11"/>
        <v>-2.0854223679754428E-9</v>
      </c>
      <c r="Y12" s="93">
        <f t="shared" si="12"/>
        <v>-1.0427111839877214E-9</v>
      </c>
    </row>
    <row r="13" spans="1:25" x14ac:dyDescent="0.2">
      <c r="A13" s="73" t="s">
        <v>134</v>
      </c>
      <c r="B13" s="74">
        <v>10</v>
      </c>
      <c r="C13" s="76">
        <v>0.23857499999999998</v>
      </c>
      <c r="D13" s="73">
        <f t="shared" si="3"/>
        <v>0.47714999999999996</v>
      </c>
      <c r="E13" s="73">
        <f>D13/G27</f>
        <v>1411976931.9396932</v>
      </c>
      <c r="G13" s="52">
        <v>10</v>
      </c>
      <c r="H13" s="52">
        <v>34.53</v>
      </c>
      <c r="I13" s="83">
        <f>POWER(10,(-0.3395*H13)+9.8577)</f>
        <v>1.3638449501607463E-2</v>
      </c>
      <c r="J13" s="83">
        <f>POWER(10,(-0.3395*H13)+9.9245)</f>
        <v>1.5906147301828683E-2</v>
      </c>
      <c r="K13" s="83">
        <f>POWER(10,(-0.3395*H13)+10.858)</f>
        <v>0.13647873863446194</v>
      </c>
      <c r="N13" s="88">
        <v>10</v>
      </c>
      <c r="O13" s="106">
        <f t="shared" si="4"/>
        <v>9.6591163730074122E-10</v>
      </c>
      <c r="P13" s="106">
        <f t="shared" si="5"/>
        <v>1.9318232746014825E-10</v>
      </c>
      <c r="Q13" s="106">
        <f t="shared" si="6"/>
        <v>9.6591163730074124E-11</v>
      </c>
      <c r="R13" s="91">
        <v>10</v>
      </c>
      <c r="S13" s="106">
        <f t="shared" si="7"/>
        <v>1.1265160883313955E-9</v>
      </c>
      <c r="T13" s="106">
        <f t="shared" si="8"/>
        <v>2.253032176662791E-10</v>
      </c>
      <c r="U13" s="106">
        <f t="shared" si="9"/>
        <v>1.1265160883313955E-10</v>
      </c>
      <c r="V13" s="94">
        <v>10</v>
      </c>
      <c r="W13" s="106">
        <f t="shared" si="10"/>
        <v>9.6657909592740486E-9</v>
      </c>
      <c r="X13" s="106">
        <f t="shared" si="11"/>
        <v>1.9331581918548098E-9</v>
      </c>
      <c r="Y13" s="106">
        <f t="shared" si="12"/>
        <v>9.665790959274049E-10</v>
      </c>
    </row>
    <row r="14" spans="1:25" x14ac:dyDescent="0.2">
      <c r="A14" s="73" t="s">
        <v>134</v>
      </c>
      <c r="B14" s="74">
        <v>11</v>
      </c>
      <c r="C14" s="76">
        <v>-0.31762499999999999</v>
      </c>
      <c r="D14" s="73">
        <f t="shared" si="3"/>
        <v>-0.63524999999999998</v>
      </c>
      <c r="E14" s="73">
        <f>D14/G27</f>
        <v>-1879824679.9008491</v>
      </c>
      <c r="G14" s="53">
        <v>11</v>
      </c>
      <c r="H14" s="52">
        <v>33.799999999999997</v>
      </c>
      <c r="I14" s="83">
        <f>POWER(10,(-0.3395*H14)+9.8577)</f>
        <v>2.41323713700861E-2</v>
      </c>
      <c r="J14" s="83">
        <f>POWER(10,(-0.3395*H14)+9.9245)</f>
        <v>2.8144918798121497E-2</v>
      </c>
      <c r="K14" s="83">
        <f>POWER(10,(-0.3395*H14)+10.858)</f>
        <v>0.24149047180616576</v>
      </c>
      <c r="N14" s="86">
        <v>11</v>
      </c>
      <c r="O14" s="87">
        <f t="shared" si="4"/>
        <v>-1.2837564921936741E-9</v>
      </c>
      <c r="P14" s="87">
        <f t="shared" si="5"/>
        <v>-2.5675129843873482E-10</v>
      </c>
      <c r="Q14" s="87">
        <f t="shared" si="6"/>
        <v>-1.2837564921936741E-10</v>
      </c>
      <c r="R14" s="89">
        <v>11</v>
      </c>
      <c r="S14" s="90">
        <f t="shared" si="7"/>
        <v>-1.4972097716903041E-9</v>
      </c>
      <c r="T14" s="90">
        <f t="shared" si="8"/>
        <v>-2.9944195433806084E-10</v>
      </c>
      <c r="U14" s="90">
        <f t="shared" si="9"/>
        <v>-1.4972097716903042E-10</v>
      </c>
      <c r="V14" s="92">
        <v>11</v>
      </c>
      <c r="W14" s="93">
        <f t="shared" si="10"/>
        <v>-1.2846435861183775E-8</v>
      </c>
      <c r="X14" s="93">
        <f t="shared" si="11"/>
        <v>-2.569287172236755E-9</v>
      </c>
      <c r="Y14" s="93">
        <f t="shared" si="12"/>
        <v>-1.2846435861183775E-9</v>
      </c>
    </row>
    <row r="15" spans="1:25" x14ac:dyDescent="0.2">
      <c r="A15" s="73" t="s">
        <v>134</v>
      </c>
      <c r="B15" s="74">
        <v>12</v>
      </c>
      <c r="C15" s="76">
        <v>-0.31267499999999998</v>
      </c>
      <c r="D15" s="73">
        <f t="shared" si="3"/>
        <v>-0.62534999999999996</v>
      </c>
      <c r="E15" s="73">
        <f>D15/G27</f>
        <v>-1850528710.8634334</v>
      </c>
      <c r="G15" s="53">
        <v>12</v>
      </c>
      <c r="H15" s="52">
        <v>33.72</v>
      </c>
      <c r="I15" s="83">
        <f>POWER(10,(-0.3395*H15)+9.8577)</f>
        <v>2.5689757219792907E-2</v>
      </c>
      <c r="J15" s="83">
        <f>POWER(10,(-0.3395*H15)+9.9245)</f>
        <v>2.9961254938699691E-2</v>
      </c>
      <c r="K15" s="83">
        <f>POWER(10,(-0.3395*H15)+10.858)</f>
        <v>0.25707509206010987</v>
      </c>
      <c r="N15" s="86">
        <v>12</v>
      </c>
      <c r="O15" s="87">
        <f t="shared" si="4"/>
        <v>-1.3882387811106367E-9</v>
      </c>
      <c r="P15" s="87">
        <f t="shared" si="5"/>
        <v>-2.7764775622212735E-10</v>
      </c>
      <c r="Q15" s="87">
        <f t="shared" si="6"/>
        <v>-1.3882387811106367E-10</v>
      </c>
      <c r="R15" s="89">
        <v>12</v>
      </c>
      <c r="S15" s="90">
        <f t="shared" si="7"/>
        <v>-1.6190645820739601E-9</v>
      </c>
      <c r="T15" s="90">
        <f t="shared" si="8"/>
        <v>-3.2381291641479204E-10</v>
      </c>
      <c r="U15" s="90">
        <f t="shared" si="9"/>
        <v>-1.6190645820739602E-10</v>
      </c>
      <c r="V15" s="92">
        <v>12</v>
      </c>
      <c r="W15" s="93">
        <f t="shared" si="10"/>
        <v>-1.3891980737773145E-8</v>
      </c>
      <c r="X15" s="93">
        <f t="shared" si="11"/>
        <v>-2.778396147554629E-9</v>
      </c>
      <c r="Y15" s="93">
        <f t="shared" si="12"/>
        <v>-1.3891980737773145E-9</v>
      </c>
    </row>
    <row r="16" spans="1:25" x14ac:dyDescent="0.2">
      <c r="A16" s="73" t="s">
        <v>134</v>
      </c>
      <c r="B16" s="74" t="s">
        <v>107</v>
      </c>
      <c r="C16" s="76">
        <v>2.6389999999999998</v>
      </c>
      <c r="D16" s="73">
        <f t="shared" si="3"/>
        <v>5.2779999999999996</v>
      </c>
      <c r="E16" s="73">
        <f>D16/G27</f>
        <v>15618598442.371794</v>
      </c>
      <c r="G16" s="53" t="s">
        <v>107</v>
      </c>
      <c r="H16" s="52">
        <v>26.84</v>
      </c>
      <c r="I16" s="83">
        <f>POWER(10,(-0.3395*H16)+9.8577)</f>
        <v>5.5657026467598305</v>
      </c>
      <c r="J16" s="83">
        <f>POWER(10,(-0.3395*H16)+9.9245)</f>
        <v>6.4911254118076531</v>
      </c>
      <c r="K16" s="83">
        <f>POWER(10,(-0.3395*H16)+10.858)</f>
        <v>55.695486261450732</v>
      </c>
      <c r="N16" s="86" t="s">
        <v>107</v>
      </c>
      <c r="O16" s="106">
        <f t="shared" si="4"/>
        <v>3.5635096627240257E-8</v>
      </c>
      <c r="P16" s="106">
        <f t="shared" si="5"/>
        <v>7.1270193254480513E-9</v>
      </c>
      <c r="Q16" s="106">
        <f t="shared" si="6"/>
        <v>3.5635096627240257E-9</v>
      </c>
      <c r="R16" s="89" t="s">
        <v>107</v>
      </c>
      <c r="S16" s="106">
        <f t="shared" si="7"/>
        <v>4.1560229848779761E-8</v>
      </c>
      <c r="T16" s="106">
        <f t="shared" si="8"/>
        <v>8.3120459697559524E-9</v>
      </c>
      <c r="U16" s="106">
        <f t="shared" si="9"/>
        <v>4.1560229848779762E-9</v>
      </c>
      <c r="V16" s="92" t="s">
        <v>107</v>
      </c>
      <c r="W16" s="106">
        <f>(K16/E16)*100</f>
        <v>3.5659720983897056E-7</v>
      </c>
      <c r="X16" s="106">
        <f t="shared" si="11"/>
        <v>7.1319441967794107E-8</v>
      </c>
      <c r="Y16" s="106">
        <f t="shared" si="12"/>
        <v>3.5659720983897053E-8</v>
      </c>
    </row>
    <row r="19" spans="1:7" s="102" customFormat="1" x14ac:dyDescent="0.2">
      <c r="A19" s="102" t="s">
        <v>153</v>
      </c>
    </row>
    <row r="20" spans="1:7" ht="16" thickBot="1" x14ac:dyDescent="0.25">
      <c r="F20" s="103" t="s">
        <v>154</v>
      </c>
      <c r="G20" s="103"/>
    </row>
    <row r="21" spans="1:7" x14ac:dyDescent="0.2">
      <c r="A21" s="77" t="s">
        <v>147</v>
      </c>
      <c r="B21" s="66"/>
      <c r="F21" s="84" t="s">
        <v>158</v>
      </c>
      <c r="G21" s="84">
        <v>650</v>
      </c>
    </row>
    <row r="22" spans="1:7" x14ac:dyDescent="0.2">
      <c r="A22" s="67" t="s">
        <v>146</v>
      </c>
      <c r="B22" s="68"/>
      <c r="F22" s="84" t="s">
        <v>155</v>
      </c>
      <c r="G22" s="84">
        <f>1.661*(POWER(10,-27))</f>
        <v>1.6610000000000001E-27</v>
      </c>
    </row>
    <row r="23" spans="1:7" x14ac:dyDescent="0.2">
      <c r="A23" s="67" t="s">
        <v>141</v>
      </c>
      <c r="B23" s="68"/>
      <c r="F23" s="84" t="s">
        <v>159</v>
      </c>
      <c r="G23" s="84">
        <f>POWER(10,12)</f>
        <v>1000000000000</v>
      </c>
    </row>
    <row r="24" spans="1:7" ht="16" thickBot="1" x14ac:dyDescent="0.25">
      <c r="A24" s="69" t="s">
        <v>142</v>
      </c>
      <c r="B24" s="70"/>
    </row>
    <row r="25" spans="1:7" x14ac:dyDescent="0.2">
      <c r="F25" s="103" t="s">
        <v>156</v>
      </c>
      <c r="G25" s="103"/>
    </row>
    <row r="26" spans="1:7" ht="16" thickBot="1" x14ac:dyDescent="0.25">
      <c r="F26" s="104" t="s">
        <v>157</v>
      </c>
      <c r="G26" s="84">
        <v>313</v>
      </c>
    </row>
    <row r="27" spans="1:7" x14ac:dyDescent="0.2">
      <c r="A27" s="77" t="s">
        <v>139</v>
      </c>
      <c r="B27" s="66"/>
      <c r="F27" s="104" t="s">
        <v>160</v>
      </c>
      <c r="G27" s="84">
        <f>G26*G21*G22*G23</f>
        <v>3.3793045000000003E-10</v>
      </c>
    </row>
    <row r="28" spans="1:7" x14ac:dyDescent="0.2">
      <c r="A28" s="67" t="s">
        <v>140</v>
      </c>
      <c r="B28" s="68"/>
    </row>
    <row r="29" spans="1:7" x14ac:dyDescent="0.2">
      <c r="A29" s="67" t="s">
        <v>141</v>
      </c>
      <c r="B29" s="68"/>
    </row>
    <row r="30" spans="1:7" ht="16" thickBot="1" x14ac:dyDescent="0.25">
      <c r="A30" s="69" t="s">
        <v>142</v>
      </c>
      <c r="B30" s="70"/>
    </row>
    <row r="32" spans="1:7" ht="16" thickBot="1" x14ac:dyDescent="0.25"/>
    <row r="33" spans="1:2" x14ac:dyDescent="0.2">
      <c r="A33" s="77" t="s">
        <v>149</v>
      </c>
      <c r="B33" s="66"/>
    </row>
    <row r="34" spans="1:2" x14ac:dyDescent="0.2">
      <c r="A34" s="67" t="s">
        <v>148</v>
      </c>
      <c r="B34" s="68"/>
    </row>
    <row r="35" spans="1:2" x14ac:dyDescent="0.2">
      <c r="A35" s="67" t="s">
        <v>141</v>
      </c>
      <c r="B35" s="68"/>
    </row>
    <row r="36" spans="1:2" ht="16" thickBot="1" x14ac:dyDescent="0.25">
      <c r="A36" s="69" t="s">
        <v>142</v>
      </c>
      <c r="B36" s="70"/>
    </row>
  </sheetData>
  <mergeCells count="6">
    <mergeCell ref="V2:Y2"/>
    <mergeCell ref="G1:K1"/>
    <mergeCell ref="A1:E1"/>
    <mergeCell ref="N1:Y1"/>
    <mergeCell ref="N2:Q2"/>
    <mergeCell ref="R2:U2"/>
  </mergeCells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Samples</vt:lpstr>
      <vt:lpstr>DosageUVDatabrutes</vt:lpstr>
      <vt:lpstr>Dosage-Picogreen</vt:lpstr>
      <vt:lpstr>ADNDataSS</vt:lpstr>
      <vt:lpstr>qPCR</vt:lpstr>
      <vt:lpstr>Calcul pourcentage</vt:lpstr>
      <vt:lpstr>qPCR!Print_Area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SANTONI</dc:creator>
  <cp:lastModifiedBy>Stella Megy</cp:lastModifiedBy>
  <cp:lastPrinted>2023-11-20T13:51:53Z</cp:lastPrinted>
  <dcterms:created xsi:type="dcterms:W3CDTF">2023-11-20T13:12:05Z</dcterms:created>
  <dcterms:modified xsi:type="dcterms:W3CDTF">2023-12-18T07:56:13Z</dcterms:modified>
</cp:coreProperties>
</file>