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7\Desktop\보험 &amp; 금융 정리\"/>
    </mc:Choice>
  </mc:AlternateContent>
  <bookViews>
    <workbookView xWindow="38280" yWindow="-120" windowWidth="29040" windowHeight="15840" tabRatio="810" activeTab="4"/>
  </bookViews>
  <sheets>
    <sheet name="매뉴얼(알고리즘)" sheetId="2" r:id="rId1"/>
    <sheet name="체크리스트" sheetId="15" r:id="rId2"/>
    <sheet name="기업비교분석" sheetId="17" r:id="rId3"/>
    <sheet name="네이버금융복붙" sheetId="16" r:id="rId4"/>
    <sheet name="적정주가 계산-국내주식" sheetId="7" r:id="rId5"/>
    <sheet name="적정주가 계산-해외주식" sheetId="8" r:id="rId6"/>
    <sheet name="적정주가 계산식" sheetId="6" r:id="rId7"/>
    <sheet name="부자가 되기위한 조건" sheetId="10" r:id="rId8"/>
    <sheet name="투자일지 포폴 1" sheetId="3" r:id="rId9"/>
    <sheet name="투자일지 포폴 2" sheetId="5" r:id="rId10"/>
    <sheet name="주식분석기준표" sheetId="9" r:id="rId11"/>
    <sheet name="투자용어총정리" sheetId="11" r:id="rId12"/>
    <sheet name="투자기법" sheetId="12" r:id="rId13"/>
    <sheet name="손절가 구하기" sheetId="13" r:id="rId14"/>
    <sheet name="PER" sheetId="14" r:id="rId15"/>
  </sheets>
  <definedNames>
    <definedName name="_xlnm._FilterDatabase" localSheetId="4" hidden="1">'적정주가 계산-국내주식'!$A$21:$Q$21</definedName>
    <definedName name="_xlnm._FilterDatabase" localSheetId="5" hidden="1">'적정주가 계산-해외주식'!$A$21:$Q$21</definedName>
    <definedName name="_xlnm._FilterDatabase" localSheetId="12" hidden="1">투자기법!$A$1:$M$39</definedName>
    <definedName name="_xlnm.Print_Area" localSheetId="0">'매뉴얼(알고리즘)'!$A$1:$O$42</definedName>
    <definedName name="_xlnm.Print_Area" localSheetId="1">체크리스트!$A$2:$E$56</definedName>
  </definedNames>
  <calcPr calcId="162913"/>
</workbook>
</file>

<file path=xl/calcChain.xml><?xml version="1.0" encoding="utf-8"?>
<calcChain xmlns="http://schemas.openxmlformats.org/spreadsheetml/2006/main">
  <c r="P9" i="7" l="1"/>
  <c r="P12" i="7"/>
  <c r="M7" i="7"/>
  <c r="M5" i="7"/>
  <c r="P8" i="7"/>
  <c r="F8" i="7"/>
  <c r="F13" i="7"/>
  <c r="F19" i="7"/>
  <c r="C22" i="7" l="1"/>
  <c r="L58" i="7"/>
  <c r="L57" i="7"/>
  <c r="C56" i="7"/>
  <c r="C55" i="7"/>
  <c r="C54" i="7"/>
  <c r="L52" i="7"/>
  <c r="L51" i="7"/>
  <c r="L50" i="7"/>
  <c r="C50" i="7"/>
  <c r="L45" i="7" s="1"/>
  <c r="L49" i="7"/>
  <c r="E49" i="7"/>
  <c r="D49" i="7"/>
  <c r="C49" i="7"/>
  <c r="L48" i="7"/>
  <c r="L47" i="7"/>
  <c r="C47" i="7"/>
  <c r="L46" i="7"/>
  <c r="E45" i="7"/>
  <c r="D45" i="7"/>
  <c r="C45" i="7"/>
  <c r="H45" i="7" s="1"/>
  <c r="L44" i="7"/>
  <c r="G44" i="7"/>
  <c r="F44" i="7"/>
  <c r="E44" i="7"/>
  <c r="D44" i="7"/>
  <c r="C44" i="7"/>
  <c r="Q6" i="16"/>
  <c r="D21" i="15" s="1"/>
  <c r="J40" i="16"/>
  <c r="K40" i="16"/>
  <c r="L40" i="16"/>
  <c r="M40" i="16"/>
  <c r="I40" i="16"/>
  <c r="I120" i="16"/>
  <c r="D19" i="15"/>
  <c r="W28" i="16"/>
  <c r="D17" i="15" s="1"/>
  <c r="D16" i="15"/>
  <c r="D15" i="15"/>
  <c r="D14" i="15"/>
  <c r="D12" i="15"/>
  <c r="U28" i="16"/>
  <c r="D11" i="15" s="1"/>
  <c r="Q28" i="16"/>
  <c r="D8" i="15" s="1"/>
  <c r="D3" i="15"/>
  <c r="O34" i="16"/>
  <c r="N34" i="16"/>
  <c r="M34" i="16"/>
  <c r="L34" i="16"/>
  <c r="O33" i="16"/>
  <c r="N33" i="16"/>
  <c r="M33" i="16"/>
  <c r="L33" i="16"/>
  <c r="O32" i="16"/>
  <c r="N32" i="16"/>
  <c r="M32" i="16"/>
  <c r="L32" i="16"/>
  <c r="O31" i="16"/>
  <c r="N31" i="16"/>
  <c r="M31" i="16"/>
  <c r="L31" i="16"/>
  <c r="O30" i="16"/>
  <c r="N30" i="16"/>
  <c r="M30" i="16"/>
  <c r="L30" i="16"/>
  <c r="O29" i="16"/>
  <c r="N29" i="16"/>
  <c r="M29" i="16"/>
  <c r="L29" i="16"/>
  <c r="S28" i="16"/>
  <c r="D9" i="15" s="1"/>
  <c r="O28" i="16"/>
  <c r="N28" i="16"/>
  <c r="M28" i="16"/>
  <c r="L28" i="16"/>
  <c r="O27" i="16"/>
  <c r="N27" i="16"/>
  <c r="M27" i="16"/>
  <c r="L27" i="16"/>
  <c r="O26" i="16"/>
  <c r="N26" i="16"/>
  <c r="M26" i="16"/>
  <c r="L26" i="16"/>
  <c r="O25" i="16"/>
  <c r="N25" i="16"/>
  <c r="M25" i="16"/>
  <c r="L25" i="16"/>
  <c r="O24" i="16"/>
  <c r="N24" i="16"/>
  <c r="M24" i="16"/>
  <c r="L24" i="16"/>
  <c r="Q23" i="16"/>
  <c r="D20" i="15" s="1"/>
  <c r="O23" i="16"/>
  <c r="N23" i="16"/>
  <c r="M23" i="16"/>
  <c r="L23" i="16"/>
  <c r="O22" i="16"/>
  <c r="N22" i="16"/>
  <c r="M22" i="16"/>
  <c r="L22" i="16"/>
  <c r="P21" i="16"/>
  <c r="D5" i="15" s="1"/>
  <c r="O21" i="16"/>
  <c r="N21" i="16"/>
  <c r="M21" i="16"/>
  <c r="L21" i="16"/>
  <c r="O20" i="16"/>
  <c r="N20" i="16"/>
  <c r="M20" i="16"/>
  <c r="L20" i="16"/>
  <c r="R19" i="16"/>
  <c r="O19" i="16"/>
  <c r="N19" i="16"/>
  <c r="M19" i="16"/>
  <c r="L19" i="16"/>
  <c r="O18" i="16"/>
  <c r="N18" i="16"/>
  <c r="M18" i="16"/>
  <c r="L18" i="16"/>
  <c r="O17" i="16"/>
  <c r="N17" i="16"/>
  <c r="M17" i="16"/>
  <c r="L17" i="16"/>
  <c r="O16" i="16"/>
  <c r="N16" i="16"/>
  <c r="M16" i="16"/>
  <c r="L16" i="16"/>
  <c r="O15" i="16"/>
  <c r="N15" i="16"/>
  <c r="M15" i="16"/>
  <c r="L15" i="16"/>
  <c r="O14" i="16"/>
  <c r="N14" i="16"/>
  <c r="M14" i="16"/>
  <c r="L14" i="16"/>
  <c r="O13" i="16"/>
  <c r="N13" i="16"/>
  <c r="M13" i="16"/>
  <c r="L13" i="16"/>
  <c r="O12" i="16"/>
  <c r="N12" i="16"/>
  <c r="M12" i="16"/>
  <c r="L12" i="16"/>
  <c r="O11" i="16"/>
  <c r="N11" i="16"/>
  <c r="M11" i="16"/>
  <c r="L11" i="16"/>
  <c r="O10" i="16"/>
  <c r="N10" i="16"/>
  <c r="M10" i="16"/>
  <c r="L10" i="16"/>
  <c r="O9" i="16"/>
  <c r="N9" i="16"/>
  <c r="M9" i="16"/>
  <c r="L9" i="16"/>
  <c r="O8" i="16"/>
  <c r="N8" i="16"/>
  <c r="M8" i="16"/>
  <c r="L8" i="16"/>
  <c r="R7" i="16"/>
  <c r="O7" i="16"/>
  <c r="N7" i="16"/>
  <c r="M7" i="16"/>
  <c r="L7" i="16"/>
  <c r="O6" i="16"/>
  <c r="N6" i="16"/>
  <c r="M6" i="16"/>
  <c r="L6" i="16"/>
  <c r="O5" i="16"/>
  <c r="N5" i="16"/>
  <c r="M5" i="16"/>
  <c r="L5" i="16"/>
  <c r="O4" i="16"/>
  <c r="N4" i="16"/>
  <c r="M4" i="16"/>
  <c r="L4" i="16"/>
  <c r="O3" i="16"/>
  <c r="N3" i="16"/>
  <c r="M3" i="16"/>
  <c r="L3" i="16"/>
  <c r="O2" i="16"/>
  <c r="N2" i="16"/>
  <c r="M2" i="16"/>
  <c r="L2" i="16"/>
  <c r="P1" i="16"/>
  <c r="H44" i="7" l="1"/>
  <c r="L43" i="7" s="1"/>
  <c r="P26" i="16"/>
  <c r="N40" i="16"/>
  <c r="D23" i="15" s="1"/>
  <c r="P24" i="16"/>
  <c r="P7" i="16"/>
  <c r="P8" i="16"/>
  <c r="P16" i="16"/>
  <c r="P27" i="16"/>
  <c r="D6" i="15" s="1"/>
  <c r="P5" i="16"/>
  <c r="P10" i="16"/>
  <c r="P12" i="16"/>
  <c r="P18" i="16"/>
  <c r="P19" i="16"/>
  <c r="D24" i="15" s="1"/>
  <c r="P20" i="16"/>
  <c r="P23" i="16"/>
  <c r="P28" i="16"/>
  <c r="P6" i="16"/>
  <c r="D7" i="15" s="1"/>
  <c r="P17" i="16"/>
  <c r="P25" i="16"/>
  <c r="P2" i="16"/>
  <c r="D4" i="15" s="1"/>
  <c r="P4" i="16"/>
  <c r="P13" i="16"/>
  <c r="P15" i="16"/>
  <c r="P29" i="16"/>
  <c r="D13" i="15" s="1"/>
  <c r="P31" i="16"/>
  <c r="P33" i="16"/>
  <c r="P3" i="16"/>
  <c r="P9" i="16"/>
  <c r="P11" i="16"/>
  <c r="P14" i="16"/>
  <c r="P22" i="16"/>
  <c r="P30" i="16"/>
  <c r="P32" i="16"/>
  <c r="D18" i="15" s="1"/>
  <c r="P34" i="16"/>
  <c r="F5" i="13"/>
  <c r="F6" i="13"/>
  <c r="F7" i="13"/>
  <c r="F8" i="13"/>
  <c r="F9" i="13"/>
  <c r="F4" i="13"/>
  <c r="K10" i="11"/>
  <c r="J3" i="11"/>
  <c r="G4" i="13" l="1"/>
  <c r="L37" i="7"/>
  <c r="L36" i="7"/>
  <c r="M39" i="7" l="1"/>
  <c r="L25" i="8"/>
  <c r="M25" i="8" s="1"/>
  <c r="L24" i="8"/>
  <c r="M24" i="8" s="1"/>
  <c r="H24" i="8"/>
  <c r="H23" i="8"/>
  <c r="M3" i="8" s="1"/>
  <c r="F17" i="8"/>
  <c r="F15" i="8"/>
  <c r="F12" i="8"/>
  <c r="P11" i="8"/>
  <c r="F11" i="8"/>
  <c r="P10" i="8"/>
  <c r="F10" i="8"/>
  <c r="J8" i="8"/>
  <c r="C8" i="8"/>
  <c r="C9" i="8" s="1"/>
  <c r="P7" i="8"/>
  <c r="J7" i="8"/>
  <c r="F7" i="8"/>
  <c r="P6" i="8"/>
  <c r="M6" i="8"/>
  <c r="J6" i="8"/>
  <c r="P5" i="8"/>
  <c r="M4" i="8"/>
  <c r="F4" i="8"/>
  <c r="P3" i="8"/>
  <c r="F3" i="8"/>
  <c r="P2" i="8"/>
  <c r="M2" i="8"/>
  <c r="F2" i="8"/>
  <c r="M2" i="7"/>
  <c r="M4" i="7"/>
  <c r="M6" i="7"/>
  <c r="P11" i="7"/>
  <c r="P10" i="7"/>
  <c r="P7" i="7"/>
  <c r="P6" i="7"/>
  <c r="P5" i="7"/>
  <c r="P3" i="7"/>
  <c r="P2" i="7"/>
  <c r="L24" i="7"/>
  <c r="D29" i="15" s="1"/>
  <c r="F15" i="7"/>
  <c r="F12" i="7"/>
  <c r="F11" i="7"/>
  <c r="F10" i="7"/>
  <c r="F17" i="7"/>
  <c r="F7" i="7"/>
  <c r="F4" i="7"/>
  <c r="F3" i="7"/>
  <c r="F2" i="7"/>
  <c r="J8" i="7"/>
  <c r="L25" i="7"/>
  <c r="D30" i="15" s="1"/>
  <c r="H24" i="7"/>
  <c r="H23" i="7"/>
  <c r="L22" i="7" s="1"/>
  <c r="C8" i="7"/>
  <c r="C9" i="7" s="1"/>
  <c r="J7" i="7"/>
  <c r="J6" i="7"/>
  <c r="D27" i="15" l="1"/>
  <c r="M7" i="8"/>
  <c r="M3" i="7"/>
  <c r="F13" i="8"/>
  <c r="M5" i="8"/>
  <c r="L27" i="8" s="1"/>
  <c r="M27" i="8" s="1"/>
  <c r="P8" i="8"/>
  <c r="F5" i="8"/>
  <c r="F8" i="8" s="1"/>
  <c r="F19" i="8" s="1"/>
  <c r="L23" i="8" s="1"/>
  <c r="M23" i="8" s="1"/>
  <c r="L22" i="8"/>
  <c r="M22" i="8" s="1"/>
  <c r="L28" i="8"/>
  <c r="M28" i="8" s="1"/>
  <c r="L26" i="7"/>
  <c r="D31" i="15" s="1"/>
  <c r="F5" i="7"/>
  <c r="O8" i="6"/>
  <c r="O15" i="6" s="1"/>
  <c r="L27" i="7" l="1"/>
  <c r="D32" i="15" s="1"/>
  <c r="P15" i="8"/>
  <c r="L31" i="8" s="1"/>
  <c r="M31" i="8" s="1"/>
  <c r="P9" i="8"/>
  <c r="P12" i="8" s="1"/>
  <c r="L29" i="8" s="1"/>
  <c r="M29" i="8" s="1"/>
  <c r="P14" i="8"/>
  <c r="L30" i="8" s="1"/>
  <c r="M30" i="8" s="1"/>
  <c r="L26" i="8"/>
  <c r="M26" i="8" s="1"/>
  <c r="P15" i="7"/>
  <c r="L31" i="7" s="1"/>
  <c r="D36" i="15" s="1"/>
  <c r="P14" i="7"/>
  <c r="L30" i="7" s="1"/>
  <c r="D35" i="15" s="1"/>
  <c r="L29" i="7"/>
  <c r="D34" i="15" s="1"/>
  <c r="L23" i="7"/>
  <c r="D28" i="15" s="1"/>
  <c r="L28" i="7"/>
  <c r="D33" i="15" s="1"/>
  <c r="O9" i="6"/>
  <c r="O12" i="6" s="1"/>
  <c r="O14" i="6"/>
  <c r="I6" i="6"/>
  <c r="L4" i="6"/>
  <c r="I8" i="6"/>
  <c r="I7" i="6"/>
  <c r="F13" i="6"/>
  <c r="F5" i="6" l="1"/>
  <c r="F8" i="6" s="1"/>
  <c r="F19" i="6" s="1"/>
  <c r="C8" i="6" l="1"/>
  <c r="C9" i="6" l="1"/>
  <c r="L3" i="6"/>
  <c r="E6" i="3"/>
  <c r="E5" i="3"/>
  <c r="E7" i="3"/>
  <c r="E8" i="3"/>
  <c r="L7" i="6" l="1"/>
  <c r="L5" i="6"/>
  <c r="D3" i="3"/>
  <c r="B3" i="3"/>
  <c r="V45" i="2"/>
  <c r="R42" i="2"/>
  <c r="R43" i="2"/>
  <c r="R44" i="2"/>
  <c r="R45" i="2"/>
  <c r="R46" i="2"/>
  <c r="F6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E4" i="5"/>
  <c r="F5" i="3"/>
</calcChain>
</file>

<file path=xl/sharedStrings.xml><?xml version="1.0" encoding="utf-8"?>
<sst xmlns="http://schemas.openxmlformats.org/spreadsheetml/2006/main" count="1040" uniqueCount="706">
  <si>
    <t xml:space="preserve">     </t>
    <phoneticPr fontId="1" type="noConversion"/>
  </si>
  <si>
    <t>해당주식은 매도했다면 한계가격 이하에서 매수주수 만큼 꼭 매수하셔야 합니다. 한계가격 이상에서 매수할</t>
    <phoneticPr fontId="1" type="noConversion"/>
  </si>
  <si>
    <t>매수날짜</t>
    <phoneticPr fontId="1" type="noConversion"/>
  </si>
  <si>
    <t>매수주수</t>
    <phoneticPr fontId="1" type="noConversion"/>
  </si>
  <si>
    <t>매수가격</t>
    <phoneticPr fontId="1" type="noConversion"/>
  </si>
  <si>
    <t>매도가격</t>
    <phoneticPr fontId="1" type="noConversion"/>
  </si>
  <si>
    <t>한계가격</t>
    <phoneticPr fontId="1" type="noConversion"/>
  </si>
  <si>
    <t>부자회사원 투자 일지</t>
    <phoneticPr fontId="1" type="noConversion"/>
  </si>
  <si>
    <t>느낀점</t>
    <phoneticPr fontId="1" type="noConversion"/>
  </si>
  <si>
    <t>하락장이 예상된다고 하는데? 과연 주가는?</t>
    <phoneticPr fontId="1" type="noConversion"/>
  </si>
  <si>
    <t>부자회사원 매뉴얼</t>
    <phoneticPr fontId="1" type="noConversion"/>
  </si>
  <si>
    <t xml:space="preserve">대전제 1 </t>
    <phoneticPr fontId="1" type="noConversion"/>
  </si>
  <si>
    <t>주가는 우상항햔다</t>
    <phoneticPr fontId="1" type="noConversion"/>
  </si>
  <si>
    <t>대전제 2</t>
    <phoneticPr fontId="1" type="noConversion"/>
  </si>
  <si>
    <t>손해를 보지 않는다</t>
    <phoneticPr fontId="1" type="noConversion"/>
  </si>
  <si>
    <t xml:space="preserve">대전제 3 </t>
    <phoneticPr fontId="1" type="noConversion"/>
  </si>
  <si>
    <t>예측은 불가능하며 대응밖에 할 수 없다</t>
    <phoneticPr fontId="1" type="noConversion"/>
  </si>
  <si>
    <t>매뉴얼 1</t>
    <phoneticPr fontId="1" type="noConversion"/>
  </si>
  <si>
    <t>주가는 하락할 수도 있고 상승할 수도 있다</t>
    <phoneticPr fontId="1" type="noConversion"/>
  </si>
  <si>
    <t>주가상승 시 보유함으로써 수익 창출, 주가 하락시 매수함으로써 수익 창출</t>
    <phoneticPr fontId="1" type="noConversion"/>
  </si>
  <si>
    <t>주가의 상승과 하락은 예측 불가능의 영역이므로 고려대상이 되지 않는다</t>
    <phoneticPr fontId="1" type="noConversion"/>
  </si>
  <si>
    <t>주가의 상승하는 것과 하락하는 것, 그 사실 자체는 전혀 중요한 문제가 아니다</t>
    <phoneticPr fontId="1" type="noConversion"/>
  </si>
  <si>
    <t>주가가 상승하든 하락하든 언제든지 이익을 낼 수 있다</t>
    <phoneticPr fontId="1" type="noConversion"/>
  </si>
  <si>
    <t>매뉴얼 2</t>
    <phoneticPr fontId="1" type="noConversion"/>
  </si>
  <si>
    <t>수익의 창출은 "보유" 와 "매수"로 가능하며 "매도"는 정말 신중에 신중을 기한다</t>
    <phoneticPr fontId="1" type="noConversion"/>
  </si>
  <si>
    <t>매뉴얼 3</t>
    <phoneticPr fontId="1" type="noConversion"/>
  </si>
  <si>
    <t>"보유"는 분할매수를 통해서 진행하며 레버리지는 쓰지 않는다.</t>
    <phoneticPr fontId="1" type="noConversion"/>
  </si>
  <si>
    <t>분할매수는 월급날에 비싸든 싸든 일정금액(절약, 저축으로 모은돈)을 투자한다.</t>
    <phoneticPr fontId="1" type="noConversion"/>
  </si>
  <si>
    <t>분할매수법으로 레버리지를 쓰는 것은 손해를 볼 수 있으므로 배제한다.</t>
    <phoneticPr fontId="1" type="noConversion"/>
  </si>
  <si>
    <t>매뉴얼 4</t>
    <phoneticPr fontId="1" type="noConversion"/>
  </si>
  <si>
    <t>"위기"시에 적극 매수한다.</t>
    <phoneticPr fontId="1" type="noConversion"/>
  </si>
  <si>
    <t xml:space="preserve">위기는 주가가 하락하는 경우이다. </t>
    <phoneticPr fontId="1" type="noConversion"/>
  </si>
  <si>
    <t>위기 = 주가하락 시에 고려할 것은 2가지이다.</t>
    <phoneticPr fontId="1" type="noConversion"/>
  </si>
  <si>
    <t>1. 신규자금이 있는가?</t>
    <phoneticPr fontId="1" type="noConversion"/>
  </si>
  <si>
    <t>일정한 날! 일정한 금액! 은 반드시 준수한다. 그것이 분할매수의 강점이다</t>
    <phoneticPr fontId="1" type="noConversion"/>
  </si>
  <si>
    <t xml:space="preserve">만약 월 30만원씩 투자하는데 해당 주가의 가격이 20만원이라고 한다면 </t>
    <phoneticPr fontId="1" type="noConversion"/>
  </si>
  <si>
    <t>남는돈 10만원은 현금으로 보유하고 있다가 가끔 오는 폭락시(=위기시)에 투자한다.</t>
    <phoneticPr fontId="1" type="noConversion"/>
  </si>
  <si>
    <t>2. 매도하고 보유하고 있는 자금이 있는가? 이다.</t>
    <phoneticPr fontId="1" type="noConversion"/>
  </si>
  <si>
    <t>신규자금은 바로 투입하면되고</t>
    <phoneticPr fontId="1" type="noConversion"/>
  </si>
  <si>
    <t>매도하고 보유하고 있는 자금은 한계가격까지 현금보유 or 매수 가능하다</t>
    <phoneticPr fontId="1" type="noConversion"/>
  </si>
  <si>
    <t>한계가격까지는 어떻게 하든 이익보는 구간이기 때문이다.</t>
    <phoneticPr fontId="1" type="noConversion"/>
  </si>
  <si>
    <t>매뉴얼 5</t>
    <phoneticPr fontId="1" type="noConversion"/>
  </si>
  <si>
    <t>섀넌의도끼비</t>
    <phoneticPr fontId="1" type="noConversion"/>
  </si>
  <si>
    <t>주식과 자산의 비중, 주식과 주식의 비중을 일정하게 리밸런싱 하는 행위 자체가 변동성을 수익으로 만들어 낸다</t>
    <phoneticPr fontId="1" type="noConversion"/>
  </si>
  <si>
    <t>무조건 50:50이 아니라 폭락장에서는 현금비중을, 상승장에서는 주식비중을 높게 가져가는 것이 이익이다.</t>
    <phoneticPr fontId="1" type="noConversion"/>
  </si>
  <si>
    <t>결국 내가 산 가겨보다 비싸지면 팔고, 내가 산 가격보다 싸지면 더 매수하는 것으로 이익이 만들어진다.</t>
    <phoneticPr fontId="1" type="noConversion"/>
  </si>
  <si>
    <t>켈리의공식</t>
    <phoneticPr fontId="1" type="noConversion"/>
  </si>
  <si>
    <t>승리확률</t>
    <phoneticPr fontId="1" type="noConversion"/>
  </si>
  <si>
    <t>투자규모</t>
    <phoneticPr fontId="1" type="noConversion"/>
  </si>
  <si>
    <t>자신이 판단한 승리확률을 넘어서는 베팅은 절대 하지 마라.</t>
    <phoneticPr fontId="1" type="noConversion"/>
  </si>
  <si>
    <t>투자규모 = 2 * 성공(승리)확률 - 1 [간략공식]</t>
    <phoneticPr fontId="1" type="noConversion"/>
  </si>
  <si>
    <t>켈리의 공식으로 과도한 레버리지투자는 적절치 않음을 증명가능하다.</t>
    <phoneticPr fontId="1" type="noConversion"/>
  </si>
  <si>
    <t>상승할것이라는 확신이 없다면 투자하지 마라</t>
    <phoneticPr fontId="1" type="noConversion"/>
  </si>
  <si>
    <t>하지만 우리는 상승할지 하락할지 예측할 수 없다</t>
    <phoneticPr fontId="1" type="noConversion"/>
  </si>
  <si>
    <t>켈리의 공식</t>
    <phoneticPr fontId="1" type="noConversion"/>
  </si>
  <si>
    <t>투자규모 = 상승확률-(1-상승확률)/(수익률/손실률)</t>
    <phoneticPr fontId="1" type="noConversion"/>
  </si>
  <si>
    <t>수익률</t>
    <phoneticPr fontId="1" type="noConversion"/>
  </si>
  <si>
    <t>손실률</t>
    <phoneticPr fontId="1" type="noConversion"/>
  </si>
  <si>
    <t>상승확률</t>
    <phoneticPr fontId="1" type="noConversion"/>
  </si>
  <si>
    <t>투자 금물</t>
    <phoneticPr fontId="1" type="noConversion"/>
  </si>
  <si>
    <t>매도가격
현재가</t>
    <phoneticPr fontId="1" type="noConversion"/>
  </si>
  <si>
    <t>매도자산
총자산</t>
    <phoneticPr fontId="1" type="noConversion"/>
  </si>
  <si>
    <t>현금</t>
    <phoneticPr fontId="1" type="noConversion"/>
  </si>
  <si>
    <t>주식</t>
    <phoneticPr fontId="1" type="noConversion"/>
  </si>
  <si>
    <t>부자회사원 투자 일지(마이크로소프트)</t>
    <phoneticPr fontId="1" type="noConversion"/>
  </si>
  <si>
    <t>쭉쭉 올라가고 있는데 샀음 월급날이라서 MS를 보유했다는 것에 일단 뿌듯 나도 MS같은 회사에서 일하고 싶은데 내 돈이라도 가서 일하렴</t>
    <phoneticPr fontId="1" type="noConversion"/>
  </si>
  <si>
    <t>PER 5년치</t>
    <phoneticPr fontId="1" type="noConversion"/>
  </si>
  <si>
    <t>적정주가 1</t>
    <phoneticPr fontId="1" type="noConversion"/>
  </si>
  <si>
    <t>평균 PER</t>
    <phoneticPr fontId="1" type="noConversion"/>
  </si>
  <si>
    <t>예상 EPS</t>
    <phoneticPr fontId="1" type="noConversion"/>
  </si>
  <si>
    <t>영업이익 3년치</t>
    <phoneticPr fontId="1" type="noConversion"/>
  </si>
  <si>
    <t>사업가치</t>
    <phoneticPr fontId="1" type="noConversion"/>
  </si>
  <si>
    <t>법인세율(%)</t>
    <phoneticPr fontId="1" type="noConversion"/>
  </si>
  <si>
    <t>기대수익률(%)</t>
    <phoneticPr fontId="1" type="noConversion"/>
  </si>
  <si>
    <t>유동자산</t>
    <phoneticPr fontId="1" type="noConversion"/>
  </si>
  <si>
    <t>유동부채</t>
    <phoneticPr fontId="1" type="noConversion"/>
  </si>
  <si>
    <t>투자자산</t>
    <phoneticPr fontId="1" type="noConversion"/>
  </si>
  <si>
    <t>재산가치</t>
    <phoneticPr fontId="1" type="noConversion"/>
  </si>
  <si>
    <t>고정부채</t>
    <phoneticPr fontId="1" type="noConversion"/>
  </si>
  <si>
    <t>발행주식수</t>
    <phoneticPr fontId="1" type="noConversion"/>
  </si>
  <si>
    <t>적정주가</t>
    <phoneticPr fontId="1" type="noConversion"/>
  </si>
  <si>
    <t>영업이익 3년 평균</t>
    <phoneticPr fontId="1" type="noConversion"/>
  </si>
  <si>
    <t>BPS</t>
    <phoneticPr fontId="1" type="noConversion"/>
  </si>
  <si>
    <t>EPS</t>
    <phoneticPr fontId="1" type="noConversion"/>
  </si>
  <si>
    <t>ROE</t>
    <phoneticPr fontId="1" type="noConversion"/>
  </si>
  <si>
    <t>지배주주순이익</t>
    <phoneticPr fontId="1" type="noConversion"/>
  </si>
  <si>
    <t>평균 PER</t>
    <phoneticPr fontId="1" type="noConversion"/>
  </si>
  <si>
    <t>당기순이익</t>
    <phoneticPr fontId="1" type="noConversion"/>
  </si>
  <si>
    <t>기대수익률</t>
    <phoneticPr fontId="1" type="noConversion"/>
  </si>
  <si>
    <t>자기자본</t>
    <phoneticPr fontId="1" type="noConversion"/>
  </si>
  <si>
    <t>ROE(추정치)</t>
    <phoneticPr fontId="1" type="noConversion"/>
  </si>
  <si>
    <t>전년도 자본총계(지배주주지분)</t>
    <phoneticPr fontId="1" type="noConversion"/>
  </si>
  <si>
    <t>추정년도 ROE 컨센서스 활용
추정 ROE가 없을때 : 
증가추세: 전년도실적 (최고치)
감소추세: 전년도실적 (최저치)
증감연속: 가중평균 =3×(n-1년)+2×(n-2년)+1×(n-3년) / 6</t>
    <phoneticPr fontId="1" type="noConversion"/>
  </si>
  <si>
    <t>기업가치</t>
    <phoneticPr fontId="1" type="noConversion"/>
  </si>
  <si>
    <t>ROE(n-3년)</t>
    <phoneticPr fontId="1" type="noConversion"/>
  </si>
  <si>
    <t>ROE(n-1년)</t>
    <phoneticPr fontId="1" type="noConversion"/>
  </si>
  <si>
    <t>ROE(n-2년)</t>
    <phoneticPr fontId="1" type="noConversion"/>
  </si>
  <si>
    <t>증감연속</t>
    <phoneticPr fontId="1" type="noConversion"/>
  </si>
  <si>
    <t>유통주식수</t>
    <phoneticPr fontId="1" type="noConversion"/>
  </si>
  <si>
    <t>자기주식수(자사주)</t>
    <phoneticPr fontId="1" type="noConversion"/>
  </si>
  <si>
    <t>매수가(ROE -20%)</t>
    <phoneticPr fontId="1" type="noConversion"/>
  </si>
  <si>
    <t>1차 매도가(ROE -10%)</t>
    <phoneticPr fontId="1" type="noConversion"/>
  </si>
  <si>
    <t>예상 EPS</t>
    <phoneticPr fontId="1" type="noConversion"/>
  </si>
  <si>
    <t>PER n년</t>
    <phoneticPr fontId="1" type="noConversion"/>
  </si>
  <si>
    <t>PER n-1년</t>
    <phoneticPr fontId="1" type="noConversion"/>
  </si>
  <si>
    <t>PER n-2년</t>
  </si>
  <si>
    <t>PER n-3년</t>
  </si>
  <si>
    <t>PER n-4년</t>
  </si>
  <si>
    <t>영업이익 n년</t>
    <phoneticPr fontId="1" type="noConversion"/>
  </si>
  <si>
    <t>영업이익 n-1년</t>
    <phoneticPr fontId="1" type="noConversion"/>
  </si>
  <si>
    <t>영업이익 n-2년</t>
    <phoneticPr fontId="1" type="noConversion"/>
  </si>
  <si>
    <t>기대수익률</t>
    <phoneticPr fontId="1" type="noConversion"/>
  </si>
  <si>
    <t>BPS</t>
    <phoneticPr fontId="1" type="noConversion"/>
  </si>
  <si>
    <t>ROE n년</t>
    <phoneticPr fontId="1" type="noConversion"/>
  </si>
  <si>
    <t>ROE n-1년</t>
    <phoneticPr fontId="1" type="noConversion"/>
  </si>
  <si>
    <t>ROE n-2년</t>
  </si>
  <si>
    <t>자기자본</t>
    <phoneticPr fontId="1" type="noConversion"/>
  </si>
  <si>
    <t>유통주식수</t>
    <phoneticPr fontId="1" type="noConversion"/>
  </si>
  <si>
    <t>자사주</t>
    <phoneticPr fontId="1" type="noConversion"/>
  </si>
  <si>
    <t>지배주주 순이익</t>
    <phoneticPr fontId="1" type="noConversion"/>
  </si>
  <si>
    <t>당기순이익</t>
    <phoneticPr fontId="1" type="noConversion"/>
  </si>
  <si>
    <t xml:space="preserve">PER </t>
    <phoneticPr fontId="1" type="noConversion"/>
  </si>
  <si>
    <t>영업이익</t>
    <phoneticPr fontId="1" type="noConversion"/>
  </si>
  <si>
    <t>EPS * PER</t>
    <phoneticPr fontId="1" type="noConversion"/>
  </si>
  <si>
    <t>적정주가 3</t>
  </si>
  <si>
    <t>EPS * 10</t>
    <phoneticPr fontId="1" type="noConversion"/>
  </si>
  <si>
    <t>EPS * ROE</t>
    <phoneticPr fontId="1" type="noConversion"/>
  </si>
  <si>
    <t>현명한투자자</t>
    <phoneticPr fontId="1" type="noConversion"/>
  </si>
  <si>
    <t>적정주가 2</t>
    <phoneticPr fontId="1" type="noConversion"/>
  </si>
  <si>
    <t>적정주가 4</t>
    <phoneticPr fontId="1" type="noConversion"/>
  </si>
  <si>
    <t>지배주주순이익 * PER</t>
    <phoneticPr fontId="1" type="noConversion"/>
  </si>
  <si>
    <t>당기순이익 * PER</t>
    <phoneticPr fontId="1" type="noConversion"/>
  </si>
  <si>
    <t>S-rim</t>
    <phoneticPr fontId="1" type="noConversion"/>
  </si>
  <si>
    <t>매수가</t>
    <phoneticPr fontId="1" type="noConversion"/>
  </si>
  <si>
    <t>1차 매도가</t>
    <phoneticPr fontId="1" type="noConversion"/>
  </si>
  <si>
    <t>내용</t>
    <phoneticPr fontId="1" type="noConversion"/>
  </si>
  <si>
    <t>값(원)</t>
    <phoneticPr fontId="1" type="noConversion"/>
  </si>
  <si>
    <t>적정주가 3</t>
    <phoneticPr fontId="1" type="noConversion"/>
  </si>
  <si>
    <t xml:space="preserve">적정주가 5 </t>
    <phoneticPr fontId="1" type="noConversion"/>
  </si>
  <si>
    <t>단위 환산</t>
    <phoneticPr fontId="1" type="noConversion"/>
  </si>
  <si>
    <t>할인율 = 한국 신용평가 홈페이지(https://www.kisrating.com/ratingsStatistics/statics_spread.do)</t>
    <phoneticPr fontId="1" type="noConversion"/>
  </si>
  <si>
    <t>현재가</t>
    <phoneticPr fontId="1" type="noConversion"/>
  </si>
  <si>
    <t>손실률</t>
    <phoneticPr fontId="1" type="noConversion"/>
  </si>
  <si>
    <t>이익률</t>
    <phoneticPr fontId="1" type="noConversion"/>
  </si>
  <si>
    <t>내가 생각하는 최소 적정주가</t>
    <phoneticPr fontId="1" type="noConversion"/>
  </si>
  <si>
    <t>내가 생각하는 최대 적정주가</t>
    <phoneticPr fontId="1" type="noConversion"/>
  </si>
  <si>
    <t>켈리 공식 적용 투자규모</t>
    <phoneticPr fontId="1" type="noConversion"/>
  </si>
  <si>
    <t>시트 1에 적용</t>
    <phoneticPr fontId="1" type="noConversion"/>
  </si>
  <si>
    <t>연번</t>
    <phoneticPr fontId="1" type="noConversion"/>
  </si>
  <si>
    <t>기준</t>
    <phoneticPr fontId="1" type="noConversion"/>
  </si>
  <si>
    <t>현재가와 적정주가를 비교한다.</t>
    <phoneticPr fontId="1" type="noConversion"/>
  </si>
  <si>
    <t>적정주가/현재가 값을 구하고 값이 높을수록 좋은 주식</t>
    <phoneticPr fontId="1" type="noConversion"/>
  </si>
  <si>
    <t>당좌비율</t>
    <phoneticPr fontId="1" type="noConversion"/>
  </si>
  <si>
    <t>2이상</t>
    <phoneticPr fontId="1" type="noConversion"/>
  </si>
  <si>
    <t>유동비율</t>
    <phoneticPr fontId="1" type="noConversion"/>
  </si>
  <si>
    <t>이자보상배율</t>
    <phoneticPr fontId="1" type="noConversion"/>
  </si>
  <si>
    <t>5이상</t>
    <phoneticPr fontId="1" type="noConversion"/>
  </si>
  <si>
    <t>부채비율</t>
    <phoneticPr fontId="1" type="noConversion"/>
  </si>
  <si>
    <t>1이하</t>
    <phoneticPr fontId="1" type="noConversion"/>
  </si>
  <si>
    <t>시장점유율</t>
    <phoneticPr fontId="1" type="noConversion"/>
  </si>
  <si>
    <t>PBR</t>
    <phoneticPr fontId="1" type="noConversion"/>
  </si>
  <si>
    <t>5이하</t>
    <phoneticPr fontId="1" type="noConversion"/>
  </si>
  <si>
    <t>PCR</t>
    <phoneticPr fontId="1" type="noConversion"/>
  </si>
  <si>
    <t>PER</t>
    <phoneticPr fontId="1" type="noConversion"/>
  </si>
  <si>
    <t>PE/EPS</t>
    <phoneticPr fontId="1" type="noConversion"/>
  </si>
  <si>
    <t>PSR</t>
    <phoneticPr fontId="1" type="noConversion"/>
  </si>
  <si>
    <t>10이하(업종 PER 고려)</t>
    <phoneticPr fontId="1" type="noConversion"/>
  </si>
  <si>
    <t>매출액</t>
    <phoneticPr fontId="1" type="noConversion"/>
  </si>
  <si>
    <t>순이익</t>
    <phoneticPr fontId="1" type="noConversion"/>
  </si>
  <si>
    <t>3년평균 5% 이상 상승</t>
    <phoneticPr fontId="1" type="noConversion"/>
  </si>
  <si>
    <t>상장률은 최근 성장률이 좋은것을 더 좋게 평가한다</t>
    <phoneticPr fontId="1" type="noConversion"/>
  </si>
  <si>
    <t>ROA</t>
    <phoneticPr fontId="1" type="noConversion"/>
  </si>
  <si>
    <t>당기순이익률</t>
    <phoneticPr fontId="1" type="noConversion"/>
  </si>
  <si>
    <t>10% 이상</t>
    <phoneticPr fontId="1" type="noConversion"/>
  </si>
  <si>
    <t>15% 이상</t>
    <phoneticPr fontId="1" type="noConversion"/>
  </si>
  <si>
    <t>30% 이상</t>
    <phoneticPr fontId="1" type="noConversion"/>
  </si>
  <si>
    <t>배당</t>
    <phoneticPr fontId="1" type="noConversion"/>
  </si>
  <si>
    <t>배당률</t>
    <phoneticPr fontId="1" type="noConversion"/>
  </si>
  <si>
    <t>배당성향</t>
    <phoneticPr fontId="1" type="noConversion"/>
  </si>
  <si>
    <t>배당성장</t>
    <phoneticPr fontId="1" type="noConversion"/>
  </si>
  <si>
    <t>배당증가</t>
    <phoneticPr fontId="1" type="noConversion"/>
  </si>
  <si>
    <t>배당컷</t>
    <phoneticPr fontId="1" type="noConversion"/>
  </si>
  <si>
    <t>2% 이상</t>
    <phoneticPr fontId="1" type="noConversion"/>
  </si>
  <si>
    <t>60% 이하</t>
    <phoneticPr fontId="1" type="noConversion"/>
  </si>
  <si>
    <t>5년 평균 5% 이상</t>
    <phoneticPr fontId="1" type="noConversion"/>
  </si>
  <si>
    <t>향후 성장성</t>
    <phoneticPr fontId="1" type="noConversion"/>
  </si>
  <si>
    <t>포기하지 않는다.</t>
    <phoneticPr fontId="1" type="noConversion"/>
  </si>
  <si>
    <t>포기하는 순간 끝 / 우수함보다 뛰어난것이 꾸준함이다.</t>
    <phoneticPr fontId="1" type="noConversion"/>
  </si>
  <si>
    <t>현실세계에서 무엇인가 현실화, 변화하게 하는 가장 큰 힘 = 실천</t>
    <phoneticPr fontId="1" type="noConversion"/>
  </si>
  <si>
    <t>조 건</t>
    <phoneticPr fontId="1" type="noConversion"/>
  </si>
  <si>
    <t>내 용</t>
    <phoneticPr fontId="1" type="noConversion"/>
  </si>
  <si>
    <t>근 거</t>
    <phoneticPr fontId="1" type="noConversion"/>
  </si>
  <si>
    <t>양자역학(관측하는 순간 입자로 변함)</t>
    <phoneticPr fontId="1" type="noConversion"/>
  </si>
  <si>
    <r>
      <t xml:space="preserve">"부자가 된 나"와 계속 </t>
    </r>
    <r>
      <rPr>
        <b/>
        <sz val="14"/>
        <color rgb="FF0070C0"/>
        <rFont val="맑은 고딕"/>
        <family val="3"/>
        <charset val="129"/>
        <scheme val="minor"/>
      </rPr>
      <t>상호작용(상상, 이미지화, 기도, 믿음</t>
    </r>
    <r>
      <rPr>
        <b/>
        <sz val="14"/>
        <color theme="1"/>
        <rFont val="맑은 고딕"/>
        <family val="3"/>
        <charset val="129"/>
        <scheme val="minor"/>
      </rPr>
      <t>)한다.</t>
    </r>
  </si>
  <si>
    <r>
      <rPr>
        <b/>
        <sz val="14"/>
        <color rgb="FF0070C0"/>
        <rFont val="맑은 고딕"/>
        <family val="3"/>
        <charset val="129"/>
        <scheme val="minor"/>
      </rPr>
      <t>실천한다</t>
    </r>
    <r>
      <rPr>
        <b/>
        <sz val="14"/>
        <color theme="1"/>
        <rFont val="맑은 고딕"/>
        <family val="3"/>
        <charset val="129"/>
        <scheme val="minor"/>
      </rPr>
      <t>(끊임없이 부자가 되기 위해 무엇이든지 한다)</t>
    </r>
    <phoneticPr fontId="1" type="noConversion"/>
  </si>
  <si>
    <t>100% 부자가 되는 방법</t>
    <phoneticPr fontId="1" type="noConversion"/>
  </si>
  <si>
    <t>매뉴얼 6</t>
    <phoneticPr fontId="1" type="noConversion"/>
  </si>
  <si>
    <r>
      <t xml:space="preserve">적정주가 구하는 공식 (국내주식, 해외주식) </t>
    </r>
    <r>
      <rPr>
        <sz val="11"/>
        <color theme="1"/>
        <rFont val="맑은 고딕"/>
        <family val="3"/>
        <charset val="129"/>
      </rPr>
      <t>→</t>
    </r>
    <r>
      <rPr>
        <sz val="11"/>
        <color theme="1"/>
        <rFont val="맑은 고딕"/>
        <family val="2"/>
        <charset val="129"/>
      </rPr>
      <t xml:space="preserve"> Sheet 2, 3</t>
    </r>
    <phoneticPr fontId="1" type="noConversion"/>
  </si>
  <si>
    <t>값 입력(네이버 금융 financial summary 참조)</t>
    <phoneticPr fontId="1" type="noConversion"/>
  </si>
  <si>
    <t>자동계산된 적정주가(해외주식)</t>
    <phoneticPr fontId="1" type="noConversion"/>
  </si>
  <si>
    <t>자동계산된 적정주가(국내주식)</t>
    <phoneticPr fontId="1" type="noConversion"/>
  </si>
  <si>
    <t>매뉴얼 7</t>
    <phoneticPr fontId="1" type="noConversion"/>
  </si>
  <si>
    <t>100% 부자가 되는 방법 → Sheet 4</t>
    <phoneticPr fontId="1" type="noConversion"/>
  </si>
  <si>
    <t>연평균 수익률</t>
    <phoneticPr fontId="1" type="noConversion"/>
  </si>
  <si>
    <t>CARG</t>
    <phoneticPr fontId="1" type="noConversion"/>
  </si>
  <si>
    <t>연복리수익률</t>
    <phoneticPr fontId="1" type="noConversion"/>
  </si>
  <si>
    <t>최종자산</t>
    <phoneticPr fontId="1" type="noConversion"/>
  </si>
  <si>
    <t>최초자산</t>
    <phoneticPr fontId="1" type="noConversion"/>
  </si>
  <si>
    <t>햇수</t>
    <phoneticPr fontId="1" type="noConversion"/>
  </si>
  <si>
    <t>CARG</t>
    <phoneticPr fontId="1" type="noConversion"/>
  </si>
  <si>
    <t>용어</t>
    <phoneticPr fontId="1" type="noConversion"/>
  </si>
  <si>
    <t>계산식</t>
    <phoneticPr fontId="1" type="noConversion"/>
  </si>
  <si>
    <t>비고</t>
    <phoneticPr fontId="1" type="noConversion"/>
  </si>
  <si>
    <t>연번</t>
    <phoneticPr fontId="1" type="noConversion"/>
  </si>
  <si>
    <t>MDD</t>
    <phoneticPr fontId="1" type="noConversion"/>
  </si>
  <si>
    <t>최대낙폭</t>
    <phoneticPr fontId="1" type="noConversion"/>
  </si>
  <si>
    <t>(고점값-저점값)/고점값</t>
    <phoneticPr fontId="1" type="noConversion"/>
  </si>
  <si>
    <t>알파</t>
    <phoneticPr fontId="1" type="noConversion"/>
  </si>
  <si>
    <t>연평균수익률 25%는 10년간 재산이 10배 증가</t>
    <phoneticPr fontId="1" type="noConversion"/>
  </si>
  <si>
    <t>투자자의 최대 고통</t>
    <phoneticPr fontId="1" type="noConversion"/>
  </si>
  <si>
    <t>개념</t>
    <phoneticPr fontId="1" type="noConversion"/>
  </si>
  <si>
    <t>내용</t>
    <phoneticPr fontId="1" type="noConversion"/>
  </si>
  <si>
    <t>벤치마크보다 높은 초과수익</t>
    <phoneticPr fontId="1" type="noConversion"/>
  </si>
  <si>
    <t>초과수익</t>
    <phoneticPr fontId="1" type="noConversion"/>
  </si>
  <si>
    <t>밸류전략</t>
    <phoneticPr fontId="1" type="noConversion"/>
  </si>
  <si>
    <t>풀이</t>
    <phoneticPr fontId="1" type="noConversion"/>
  </si>
  <si>
    <t>MDD가 높으면 멘탈이 나간다, 멘탈관리 지표</t>
    <phoneticPr fontId="1" type="noConversion"/>
  </si>
  <si>
    <t>알파가 높다 = 초과수익이 높다</t>
    <phoneticPr fontId="1" type="noConversion"/>
  </si>
  <si>
    <t>밸류가 높다 = 저평가됨, 싸다</t>
    <phoneticPr fontId="1" type="noConversion"/>
  </si>
  <si>
    <t>퀄리티전략</t>
    <phoneticPr fontId="1" type="noConversion"/>
  </si>
  <si>
    <t>우량기업지표</t>
    <phoneticPr fontId="1" type="noConversion"/>
  </si>
  <si>
    <t>수익, 배당, 증자, GP/A, F-스코어, 부채비율, 유동비율 등</t>
    <phoneticPr fontId="1" type="noConversion"/>
  </si>
  <si>
    <t>모멘텀 전략</t>
    <phoneticPr fontId="1" type="noConversion"/>
  </si>
  <si>
    <t>주가상승지표</t>
    <phoneticPr fontId="1" type="noConversion"/>
  </si>
  <si>
    <t>모멘텀 전략이다 = 최근 주가 상승률이 높은 주식에 투자</t>
    <phoneticPr fontId="1" type="noConversion"/>
  </si>
  <si>
    <t>세타전략</t>
    <phoneticPr fontId="1" type="noConversion"/>
  </si>
  <si>
    <t>복리의 마법, CARG 1%차이는 어마어마 하다</t>
    <phoneticPr fontId="1" type="noConversion"/>
  </si>
  <si>
    <t>투자규모계산</t>
    <phoneticPr fontId="1" type="noConversion"/>
  </si>
  <si>
    <t>은퇴자금계산</t>
    <phoneticPr fontId="1" type="noConversion"/>
  </si>
  <si>
    <r>
      <t>(최종자산/최초자산)</t>
    </r>
    <r>
      <rPr>
        <sz val="11"/>
        <color theme="1"/>
        <rFont val="맑은 고딕"/>
        <family val="3"/>
        <charset val="129"/>
      </rPr>
      <t>∧</t>
    </r>
    <r>
      <rPr>
        <sz val="11"/>
        <color theme="1"/>
        <rFont val="맑은 고딕"/>
        <family val="2"/>
        <charset val="129"/>
      </rPr>
      <t>(1/햇수)-1</t>
    </r>
    <phoneticPr fontId="1" type="noConversion"/>
  </si>
  <si>
    <t>I, 물가상승률</t>
    <phoneticPr fontId="1" type="noConversion"/>
  </si>
  <si>
    <t>R, 은퇴후 
기대 CARG</t>
    <phoneticPr fontId="1" type="noConversion"/>
  </si>
  <si>
    <t>n, 은퇴까지 
남은 연수</t>
    <phoneticPr fontId="1" type="noConversion"/>
  </si>
  <si>
    <r>
      <t xml:space="preserve">은퇴자금
</t>
    </r>
    <r>
      <rPr>
        <sz val="8"/>
        <color theme="1"/>
        <rFont val="맑은 고딕"/>
        <family val="3"/>
        <charset val="129"/>
        <scheme val="minor"/>
      </rPr>
      <t>(단위 : 만원))</t>
    </r>
    <phoneticPr fontId="1" type="noConversion"/>
  </si>
  <si>
    <t>((은퇴후 월 필요 지출액*12)*(1+i)∧n)/(R-i)</t>
    <phoneticPr fontId="1" type="noConversion"/>
  </si>
  <si>
    <r>
      <t xml:space="preserve">월 지출액
</t>
    </r>
    <r>
      <rPr>
        <sz val="8"/>
        <color theme="1"/>
        <rFont val="맑은 고딕"/>
        <family val="3"/>
        <charset val="129"/>
        <scheme val="minor"/>
      </rPr>
      <t>(단위 : 만원)</t>
    </r>
    <phoneticPr fontId="1" type="noConversion"/>
  </si>
  <si>
    <t>만약 회사원이라면 은퇴자금을 모을때까지는 절대 퇴사하지 마라</t>
    <phoneticPr fontId="1" type="noConversion"/>
  </si>
  <si>
    <t>베타전략</t>
    <phoneticPr fontId="1" type="noConversion"/>
  </si>
  <si>
    <t>고위험 고수익률</t>
    <phoneticPr fontId="1" type="noConversion"/>
  </si>
  <si>
    <t>위험성이 높을수록 수익률이 높다</t>
    <phoneticPr fontId="1" type="noConversion"/>
  </si>
  <si>
    <t>베타전략 = 위험한 자산에 투자한다!</t>
    <phoneticPr fontId="1" type="noConversion"/>
  </si>
  <si>
    <t>매수전략</t>
    <phoneticPr fontId="1" type="noConversion"/>
  </si>
  <si>
    <t>매도전략</t>
    <phoneticPr fontId="1" type="noConversion"/>
  </si>
  <si>
    <t>총자산 50% 코스피 지수 투자, 50% 국채 3년물</t>
    <phoneticPr fontId="1" type="noConversion"/>
  </si>
  <si>
    <t>월 1회 리밸런싱</t>
    <phoneticPr fontId="1" type="noConversion"/>
  </si>
  <si>
    <t>총자산 100% 국채 3년물 투자, 국채에서 나오는 수익으로 코스피 지수 투자</t>
    <phoneticPr fontId="1" type="noConversion"/>
  </si>
  <si>
    <t>없음</t>
    <phoneticPr fontId="1" type="noConversion"/>
  </si>
  <si>
    <t>3개월 이동평균선이 상승반전하면 코스피지수 매수</t>
    <phoneticPr fontId="1" type="noConversion"/>
  </si>
  <si>
    <t>3개월 이동평균선이 하락반전하면 전량 매도 후 현금보유</t>
    <phoneticPr fontId="1" type="noConversion"/>
  </si>
  <si>
    <t>자산배분</t>
    <phoneticPr fontId="1" type="noConversion"/>
  </si>
  <si>
    <t>개념</t>
    <phoneticPr fontId="1" type="noConversion"/>
  </si>
  <si>
    <t>자산배분, 모멘텀</t>
    <phoneticPr fontId="1" type="noConversion"/>
  </si>
  <si>
    <t>자산배분</t>
    <phoneticPr fontId="1" type="noConversion"/>
  </si>
  <si>
    <t>정액(매월 일정금액), 점증(주식평가액이 전월대비 일정토록)</t>
    <phoneticPr fontId="1" type="noConversion"/>
  </si>
  <si>
    <t>없음</t>
    <phoneticPr fontId="1" type="noConversion"/>
  </si>
  <si>
    <t>점증법설명, 매월 100만원 투자하기로 함, 첫달에 100만원 투자 그리고 두번째 달에 투자하려고 했는데 첫달에 투자했던 주식의 평가액이 90만원이 되었음, 그럼 110만원을 투자, 첫달에 투자했던 주식의 평가액이 120만원이 되었다면 80만원만 투자)</t>
    <phoneticPr fontId="1" type="noConversion"/>
  </si>
  <si>
    <t>투자액 = 매월투자액*n월-총 주식평가액</t>
    <phoneticPr fontId="1" type="noConversion"/>
  </si>
  <si>
    <t>자산배분</t>
    <phoneticPr fontId="1" type="noConversion"/>
  </si>
  <si>
    <t>자산배분</t>
    <phoneticPr fontId="1" type="noConversion"/>
  </si>
  <si>
    <t>특정주식비중 = (주식의 V/P) / (전체 포트폴리오의 V/P)
V, 내재가치 = BPS+EPS*10
P = 시가총액</t>
    <phoneticPr fontId="1" type="noConversion"/>
  </si>
  <si>
    <t>포트폴리오</t>
    <phoneticPr fontId="1" type="noConversion"/>
  </si>
  <si>
    <t>분산투자</t>
    <phoneticPr fontId="1" type="noConversion"/>
  </si>
  <si>
    <t>상관관계가 낮을수록 리스크 감소
상관관계가 낮을수록 리밸런싱
 할때 수익 증가</t>
    <phoneticPr fontId="1" type="noConversion"/>
  </si>
  <si>
    <t>금, 달러 = 안전자산
주식 = 위험자산
금과 주식에 투자, 금과 주식의 가격은 반대로 움직임(상관관계 낮음)
금이 오르면 팔아서 주식을 사고, 주식이 오르면 팔아서 금을 삼</t>
    <phoneticPr fontId="1" type="noConversion"/>
  </si>
  <si>
    <t>미국리츠ETF(부동산), 미국 달러화 장기 국채 ETF, 코스피 ETF 각 자산의 1/3씩 투자</t>
    <phoneticPr fontId="1" type="noConversion"/>
  </si>
  <si>
    <t>년 1회 리밸런싱</t>
    <phoneticPr fontId="1" type="noConversion"/>
  </si>
  <si>
    <t>유대인의 투자방법 : 투자를 할때는 돈을 셋으로 나눠 토지, 사업, 여유자금에 투자하라</t>
    <phoneticPr fontId="1" type="noConversion"/>
  </si>
  <si>
    <t>토지, 사업(주식), 여유자금 = 분산해라
(유대인의 투자방법)</t>
    <phoneticPr fontId="1" type="noConversion"/>
  </si>
  <si>
    <t>20~30개가 적당
국가별, 산업별, 시가총액별, 시간별(분할)로 분산
부동산, 채권, 원자재, 금, 주식 등 다양하게 투자</t>
    <phoneticPr fontId="1" type="noConversion"/>
  </si>
  <si>
    <t>손절매</t>
    <phoneticPr fontId="1" type="noConversion"/>
  </si>
  <si>
    <t>매월 첫 거래일 시가에 코스피 ETF 매수</t>
    <phoneticPr fontId="1" type="noConversion"/>
  </si>
  <si>
    <t>월초 매수한 ETF가 손절선에 걸러지 않음 : 보유
손절선에 걸림 : 현금보유 후 다음달 첫날 ETF 매수</t>
    <phoneticPr fontId="1" type="noConversion"/>
  </si>
  <si>
    <t>월</t>
    <phoneticPr fontId="1" type="noConversion"/>
  </si>
  <si>
    <t>n-4</t>
    <phoneticPr fontId="1" type="noConversion"/>
  </si>
  <si>
    <t>n-3</t>
    <phoneticPr fontId="1" type="noConversion"/>
  </si>
  <si>
    <t>n-2</t>
    <phoneticPr fontId="1" type="noConversion"/>
  </si>
  <si>
    <t>n-1</t>
    <phoneticPr fontId="1" type="noConversion"/>
  </si>
  <si>
    <t>n-5</t>
    <phoneticPr fontId="1" type="noConversion"/>
  </si>
  <si>
    <t>n</t>
    <phoneticPr fontId="1" type="noConversion"/>
  </si>
  <si>
    <t>고가</t>
    <phoneticPr fontId="1" type="noConversion"/>
  </si>
  <si>
    <t>저가</t>
    <phoneticPr fontId="1" type="noConversion"/>
  </si>
  <si>
    <t>시가</t>
    <phoneticPr fontId="1" type="noConversion"/>
  </si>
  <si>
    <t>주가구간</t>
    <phoneticPr fontId="1" type="noConversion"/>
  </si>
  <si>
    <t>손절가</t>
    <phoneticPr fontId="1" type="noConversion"/>
  </si>
  <si>
    <t>손절가 구하기</t>
    <phoneticPr fontId="1" type="noConversion"/>
  </si>
  <si>
    <t>효율적시장가설</t>
    <phoneticPr fontId="1" type="noConversion"/>
  </si>
  <si>
    <t>주식시장은 효율적이라 모든것이 이미 반영되어 있다</t>
    <phoneticPr fontId="1" type="noConversion"/>
  </si>
  <si>
    <t>알파는 없다</t>
    <phoneticPr fontId="1" type="noConversion"/>
  </si>
  <si>
    <t>TIGER미국S&amp;P500, TIGER유로스탁스(합성H), TIGER일본니케이225, KODEX200 중 
최근 6개월간 가장 많이 상승한 지수에 투자</t>
    <phoneticPr fontId="1" type="noConversion"/>
  </si>
  <si>
    <t>4개의 지수의 6개월 수익률이 미국 예금금리 이하이면
전량 매도 후 BIL(미국 단기채권 ETF) 보유
월 1회 리밸런싱</t>
    <phoneticPr fontId="1" type="noConversion"/>
  </si>
  <si>
    <t>가치지표, 저평가지표</t>
    <phoneticPr fontId="1" type="noConversion"/>
  </si>
  <si>
    <t>퀄리티가 높다 = 수익성, 현금흐름, 재무구조가 좋다</t>
    <phoneticPr fontId="1" type="noConversion"/>
  </si>
  <si>
    <t>최대 CARG</t>
    <phoneticPr fontId="1" type="noConversion"/>
  </si>
  <si>
    <t>듀얼모멘텀</t>
    <phoneticPr fontId="1" type="noConversion"/>
  </si>
  <si>
    <t>듀얼모멘텀(미국)</t>
    <phoneticPr fontId="1" type="noConversion"/>
  </si>
  <si>
    <t>VTI(미국), VEA(선진국, 미국제외), VWO(중국 등 신흥국) 중 
최근 6개월간 가장 많이 상승한 지수에 투자</t>
    <phoneticPr fontId="1" type="noConversion"/>
  </si>
  <si>
    <t>kindex 스마트베타 퀄리티, 밸류, 모멘텀, 로우보 중
최근 6개월간 가장 많이 상승한 지수에 투자</t>
    <phoneticPr fontId="1" type="noConversion"/>
  </si>
  <si>
    <t>4개의 지수의 6개월 수익률이 예금금리 이하로 떨어지면 
보유 ETF 매도, 현금보유
월 1회 리밸런싱</t>
    <phoneticPr fontId="1" type="noConversion"/>
  </si>
  <si>
    <t>이익지표</t>
    <phoneticPr fontId="1" type="noConversion"/>
  </si>
  <si>
    <t>한기업이 얻는 순이익을 시장은 얼마의 가격으로 평가하는가</t>
    <phoneticPr fontId="1" type="noConversion"/>
  </si>
  <si>
    <t>per가 높다 = 현 이익은 적지만 미래 수익전망이 높다
per가 낮다 = 현 이익은 높지만 미래 수익전망이 낮다</t>
    <phoneticPr fontId="1" type="noConversion"/>
  </si>
  <si>
    <t>시가총액 / 당기순이익</t>
    <phoneticPr fontId="1" type="noConversion"/>
  </si>
  <si>
    <t>밸류+퀄리티</t>
    <phoneticPr fontId="1" type="noConversion"/>
  </si>
  <si>
    <t>per 10이하(종목이 너무 많으면 per 5이하), 부채비율 50%이하
위 조건을 충족하는 20~30개 종목 매수</t>
    <phoneticPr fontId="1" type="noConversion"/>
  </si>
  <si>
    <t>50% 이익을 실현하면 매도
50%이익을 실현 못하는 경우 매수 후 2년이 지나면 매도</t>
    <phoneticPr fontId="1" type="noConversion"/>
  </si>
  <si>
    <t>부채비율이 낮다 = 파산의 위험이 낮다</t>
    <phoneticPr fontId="1" type="noConversion"/>
  </si>
  <si>
    <t>자산이 100, 자기자본 50, 부채 50인 경우 부채비율은 100%</t>
    <phoneticPr fontId="1" type="noConversion"/>
  </si>
  <si>
    <t>총부채 / 자기자본</t>
    <phoneticPr fontId="1" type="noConversion"/>
  </si>
  <si>
    <t>재무지표, 파산위험지표</t>
    <phoneticPr fontId="1" type="noConversion"/>
  </si>
  <si>
    <t>이익지표</t>
    <phoneticPr fontId="1" type="noConversion"/>
  </si>
  <si>
    <t>자본과 부채를 활용해 얼마의 이익을 내었는가</t>
    <phoneticPr fontId="1" type="noConversion"/>
  </si>
  <si>
    <t>ROA가 높다 = 기업을 잘 운영한다</t>
    <phoneticPr fontId="1" type="noConversion"/>
  </si>
  <si>
    <t>순이익 / 총자산</t>
    <phoneticPr fontId="1" type="noConversion"/>
  </si>
  <si>
    <t>밸류+퀄리티</t>
    <phoneticPr fontId="1" type="noConversion"/>
  </si>
  <si>
    <t>ROA 5% 이상, 부채비율 50%이하 인 기업중에서
PBR 낮은 기업부터 20~30개 종목 매수</t>
    <phoneticPr fontId="1" type="noConversion"/>
  </si>
  <si>
    <t>연 1회 리밸런싱</t>
    <phoneticPr fontId="1" type="noConversion"/>
  </si>
  <si>
    <t>PBR</t>
    <phoneticPr fontId="1" type="noConversion"/>
  </si>
  <si>
    <t>자산지표</t>
    <phoneticPr fontId="1" type="noConversion"/>
  </si>
  <si>
    <t>한 기업의 순자산을 시장은 얼마의 가격으로 평가하는가</t>
    <phoneticPr fontId="1" type="noConversion"/>
  </si>
  <si>
    <t>PBR이 높다 = 현 자본은 적지만 미래 수익전망이 높다
PBR이 낮다 = 현 자본은 많지만 미래 수익전망이 낮다</t>
    <phoneticPr fontId="1" type="noConversion"/>
  </si>
  <si>
    <t>시가총액 / 자기자본</t>
    <phoneticPr fontId="1" type="noConversion"/>
  </si>
  <si>
    <t>밸류</t>
    <phoneticPr fontId="1" type="noConversion"/>
  </si>
  <si>
    <t>연 1회 리밸런싱</t>
    <phoneticPr fontId="1" type="noConversion"/>
  </si>
  <si>
    <t>유동자산 - 총부채 &gt; 시가총액 * 1.5(or 1), 세후이익 &gt; 0
위 조건을 충족하는 20~30개 종목 매수</t>
    <phoneticPr fontId="1" type="noConversion"/>
  </si>
  <si>
    <t>4시간 투자해 4억달러 벌었다 워렌버핏</t>
    <phoneticPr fontId="1" type="noConversion"/>
  </si>
  <si>
    <t>20% 이상</t>
    <phoneticPr fontId="1" type="noConversion"/>
  </si>
  <si>
    <t>소형주(시가총액 하위 20%)만 매수
PBR이 가장 낮은 주식 20~30개 매수 (단 PBR &lt; 0.2 제외)</t>
    <phoneticPr fontId="1" type="noConversion"/>
  </si>
  <si>
    <t>연 1회 리밸런싱</t>
    <phoneticPr fontId="1" type="noConversion"/>
  </si>
  <si>
    <t>한국의 저PBR전략은 더욱 효과가 좋음</t>
    <phoneticPr fontId="1" type="noConversion"/>
  </si>
  <si>
    <t>PCR</t>
    <phoneticPr fontId="1" type="noConversion"/>
  </si>
  <si>
    <t>이익지표</t>
    <phoneticPr fontId="1" type="noConversion"/>
  </si>
  <si>
    <t>유동성지표</t>
    <phoneticPr fontId="1" type="noConversion"/>
  </si>
  <si>
    <t>한 기업의 영업현금흐름을 시장은 얼마의 가격으로 평가하는가</t>
    <phoneticPr fontId="1" type="noConversion"/>
  </si>
  <si>
    <t>시가총액 / 영업현금흐름</t>
    <phoneticPr fontId="1" type="noConversion"/>
  </si>
  <si>
    <t>순이익은 조작 가능, 영업현금흐름은 조작 덜 됨</t>
    <phoneticPr fontId="1" type="noConversion"/>
  </si>
  <si>
    <t>25% 이상</t>
    <phoneticPr fontId="1" type="noConversion"/>
  </si>
  <si>
    <t>밸류</t>
    <phoneticPr fontId="1" type="noConversion"/>
  </si>
  <si>
    <t>한국에서 시가총액이 가장 작은 기업 500개 중
PER, PBR, PCR별로 각 각 순위를 매긴후
세개의 지표의 순위를 더해서 통합순위를 작성
통합순위가 높은 50개 종목 매수</t>
    <phoneticPr fontId="1" type="noConversion"/>
  </si>
  <si>
    <t>밸류가 좋다 = 싸다, 저평가
떨어지면 올라가고, 올라가면 떨어진다</t>
    <phoneticPr fontId="1" type="noConversion"/>
  </si>
  <si>
    <t>PSR</t>
    <phoneticPr fontId="1" type="noConversion"/>
  </si>
  <si>
    <t>매출액지표</t>
    <phoneticPr fontId="1" type="noConversion"/>
  </si>
  <si>
    <t>한 기업의…</t>
    <phoneticPr fontId="1" type="noConversion"/>
  </si>
  <si>
    <t>매출액은 조작이 매우 어려움, 주식의 인기도를 나타내는 완벽한 지표</t>
    <phoneticPr fontId="1" type="noConversion"/>
  </si>
  <si>
    <t>시가총액 / 매출액</t>
    <phoneticPr fontId="1" type="noConversion"/>
  </si>
  <si>
    <t>PSR 0.35 이하의 기업에 투자, 
3.2가 넘으면 매리트 없음, 
7.7넘으면 무조건 피하자</t>
    <phoneticPr fontId="1" type="noConversion"/>
  </si>
  <si>
    <t>한국 시가총액 하위 20% 주식 대상
PBR,PCR,PER,PSR 4지표 각 순위를 더해 통합순위 작성
통합순위가 높은 순 50개 종목 매수</t>
    <phoneticPr fontId="1" type="noConversion"/>
  </si>
  <si>
    <t>연 1회 리밸런싱</t>
    <phoneticPr fontId="1" type="noConversion"/>
  </si>
  <si>
    <t>ROE</t>
    <phoneticPr fontId="1" type="noConversion"/>
  </si>
  <si>
    <t>이익지표</t>
    <phoneticPr fontId="1" type="noConversion"/>
  </si>
  <si>
    <t>자본을 활용해 얼마의 이익을 내었는가</t>
    <phoneticPr fontId="1" type="noConversion"/>
  </si>
  <si>
    <t>ROE가 높다 = 기업을 잘 운영한다</t>
    <phoneticPr fontId="1" type="noConversion"/>
  </si>
  <si>
    <t>순이익 / 자기자본</t>
    <phoneticPr fontId="1" type="noConversion"/>
  </si>
  <si>
    <t>GP/A</t>
    <phoneticPr fontId="1" type="noConversion"/>
  </si>
  <si>
    <t>매출액지표</t>
    <phoneticPr fontId="1" type="noConversion"/>
  </si>
  <si>
    <t>자본과 부채를 활용해 얼마의 매출을 만들어 냈는가</t>
    <phoneticPr fontId="1" type="noConversion"/>
  </si>
  <si>
    <t>GP = 매출액 - 매출원가 = 매출총이익 
A = 총자산</t>
    <phoneticPr fontId="1" type="noConversion"/>
  </si>
  <si>
    <t>기업의 수익성을 대표하는 우수한 지표</t>
    <phoneticPr fontId="1" type="noConversion"/>
  </si>
  <si>
    <t>밸류+퀄리티</t>
    <phoneticPr fontId="1" type="noConversion"/>
  </si>
  <si>
    <t>EV/EBIT와 GP/A의 순위를 각 각 매긴 후 더하여 통합순위 만듬
순위 높은순으로 20~30개 종목 매수</t>
    <phoneticPr fontId="1" type="noConversion"/>
  </si>
  <si>
    <t>연 1회 리밸런싱</t>
    <phoneticPr fontId="1" type="noConversion"/>
  </si>
  <si>
    <t>EV/EBIT</t>
    <phoneticPr fontId="1" type="noConversion"/>
  </si>
  <si>
    <t>이익지표</t>
    <phoneticPr fontId="1" type="noConversion"/>
  </si>
  <si>
    <t>몇년만에 내가 투자한 비용을 회수할 수 있는가</t>
    <phoneticPr fontId="1" type="noConversion"/>
  </si>
  <si>
    <t>PER를 약간 변형한 지표</t>
    <phoneticPr fontId="1" type="noConversion"/>
  </si>
  <si>
    <t>EV</t>
    <phoneticPr fontId="1" type="noConversion"/>
  </si>
  <si>
    <t>종합지표</t>
    <phoneticPr fontId="1" type="noConversion"/>
  </si>
  <si>
    <t>실제로 얼마를 투입하면 기업을 완전히 지배하는지</t>
    <phoneticPr fontId="1" type="noConversion"/>
  </si>
  <si>
    <t>EV = 시가총액 + 부채 - 현금 - 비영업자산</t>
    <phoneticPr fontId="1" type="noConversion"/>
  </si>
  <si>
    <t>EBIT</t>
    <phoneticPr fontId="1" type="noConversion"/>
  </si>
  <si>
    <t>이익지표</t>
    <phoneticPr fontId="1" type="noConversion"/>
  </si>
  <si>
    <t>영업이익</t>
    <phoneticPr fontId="1" type="noConversion"/>
  </si>
  <si>
    <t>매출액 - 매출원가 - 판매비 및 관리비</t>
    <phoneticPr fontId="1" type="noConversion"/>
  </si>
  <si>
    <t>EBITDA</t>
    <phoneticPr fontId="1" type="noConversion"/>
  </si>
  <si>
    <t>영업이익 + 감가상각비 + 감모상각비(무형자산의 감가상각)</t>
    <phoneticPr fontId="1" type="noConversion"/>
  </si>
  <si>
    <t>EV/EBITDA</t>
    <phoneticPr fontId="1" type="noConversion"/>
  </si>
  <si>
    <t>EV/EBIT와 비슷</t>
    <phoneticPr fontId="1" type="noConversion"/>
  </si>
  <si>
    <t>PER와는 다르게 부채까지 고려</t>
    <phoneticPr fontId="1" type="noConversion"/>
  </si>
  <si>
    <t>ROC</t>
    <phoneticPr fontId="1" type="noConversion"/>
  </si>
  <si>
    <t>이익지표</t>
    <phoneticPr fontId="1" type="noConversion"/>
  </si>
  <si>
    <t>EBIT/투자자본 = 영업이익/투자자본</t>
    <phoneticPr fontId="1" type="noConversion"/>
  </si>
  <si>
    <t>투자자본 = 고정자산 + 유동자산 - 유동부채</t>
    <phoneticPr fontId="1" type="noConversion"/>
  </si>
  <si>
    <t>ROA와 비슷</t>
    <phoneticPr fontId="1" type="noConversion"/>
  </si>
  <si>
    <t>모든주식의 PBR, GP/A 순위를 더한 후 통합순위 상위 20~30개 종목 투자</t>
    <phoneticPr fontId="1" type="noConversion"/>
  </si>
  <si>
    <t>연 1회 리밸런싱</t>
    <phoneticPr fontId="1" type="noConversion"/>
  </si>
  <si>
    <t>20% 이상</t>
    <phoneticPr fontId="1" type="noConversion"/>
  </si>
  <si>
    <t>밸류+퀄리티+소형주</t>
    <phoneticPr fontId="1" type="noConversion"/>
  </si>
  <si>
    <t>모든주식의 PBR, GP/A 순위를 더한 후 통합순위 상위 20~30개 종목 투자
소형주(시가총액 하위 20%) 기업만 매수</t>
    <phoneticPr fontId="1" type="noConversion"/>
  </si>
  <si>
    <t>연 1회 리밸런싱</t>
    <phoneticPr fontId="1" type="noConversion"/>
  </si>
  <si>
    <t>퀄리티</t>
    <phoneticPr fontId="1" type="noConversion"/>
  </si>
  <si>
    <t>연 1회 리밸런싱</t>
    <phoneticPr fontId="1" type="noConversion"/>
  </si>
  <si>
    <t>퀄리티</t>
    <phoneticPr fontId="1" type="noConversion"/>
  </si>
  <si>
    <t>PBR 최저 20% 기업에만 매수
수익, 영업현금흐름이 0보다 크고 전년 신규주식발행 없음 조건 충족 하는 기업 매수</t>
    <phoneticPr fontId="1" type="noConversion"/>
  </si>
  <si>
    <t>수익, 영업현금흐름이 0보다 크고 전년 신규주식발행 없음 조건 충족 하는 기업 매수
위 조건을 충족하는 종목 중 GP/A로 순위를 매겨 상위 20~30개 종목 매수</t>
    <phoneticPr fontId="1" type="noConversion"/>
  </si>
  <si>
    <t>연 1회 리밸런싱</t>
    <phoneticPr fontId="1" type="noConversion"/>
  </si>
  <si>
    <t>수익, 영업현금흐름이 0보다 크고 전년 신규주식발행 없음 조건 충족 하는 기업 매수
위 조건을 충족하는 종목 중 GP/A로 순위를 매겨 상위 20~30개 종목 매수
소형주(시가총액 하위 20%)만 매수</t>
    <phoneticPr fontId="1" type="noConversion"/>
  </si>
  <si>
    <t>모멘텀</t>
    <phoneticPr fontId="1" type="noConversion"/>
  </si>
  <si>
    <t>최근 3~12개월 가장 많이 오른 주식은 추가로 3~12개월 보유후 매도하면 수익률 좋음</t>
    <phoneticPr fontId="1" type="noConversion"/>
  </si>
  <si>
    <t>상대적으로 가장 많이 오른 주식을 사고
가장 덜 오른 주식을 팜</t>
    <phoneticPr fontId="1" type="noConversion"/>
  </si>
  <si>
    <t>한국에서는 대형주에만 모멘텀 전략이 통용</t>
    <phoneticPr fontId="1" type="noConversion"/>
  </si>
  <si>
    <t>PER, PBR ,PCR, PSR, EV/EBIT, EV/EBITDA, 배당수익률, 자사주 매입 수익률 등</t>
    <phoneticPr fontId="1" type="noConversion"/>
  </si>
  <si>
    <t>상대적모멘텀(최근 가장 주가가 많이 오른 종목 매수
절대적모멘텀(강세장에서는 주식 투자, 약세장에서는 현금보유)
3, 6, 12개월 과거 수익률</t>
    <phoneticPr fontId="1" type="noConversion"/>
  </si>
  <si>
    <t>밸류</t>
    <phoneticPr fontId="1" type="noConversion"/>
  </si>
  <si>
    <t>저PER 최고 10분위 매수</t>
    <phoneticPr fontId="1" type="noConversion"/>
  </si>
  <si>
    <t>고EV/EBITDA 최고 10분위 매수</t>
    <phoneticPr fontId="1" type="noConversion"/>
  </si>
  <si>
    <t>저PCR 최고 10분위 매수</t>
    <phoneticPr fontId="1" type="noConversion"/>
  </si>
  <si>
    <t>발생액 = (순이익 - 영업현금흐름)/총자산</t>
    <phoneticPr fontId="1" type="noConversion"/>
  </si>
  <si>
    <t>저 발생액 / 총자산
저 순영업자산 증가율
저 발생액 / 평균자산
고 감가상각 / 자본투자
위 4가지 지표 통합순위 최고 10분위 매수</t>
    <phoneticPr fontId="1" type="noConversion"/>
  </si>
  <si>
    <t>10분위 = 상위 10%</t>
    <phoneticPr fontId="1" type="noConversion"/>
  </si>
  <si>
    <t>퀄리티(콤보)</t>
    <phoneticPr fontId="1" type="noConversion"/>
  </si>
  <si>
    <t>밸류(콤보)</t>
    <phoneticPr fontId="1" type="noConversion"/>
  </si>
  <si>
    <t>저 PBR, 저 PER, 저 PSR, 고 EV/EBITDA, 저 PCR
위 총 5개 지표 통합순위 계산 최고 10분위 매수</t>
    <phoneticPr fontId="1" type="noConversion"/>
  </si>
  <si>
    <t>밸류+퀄리티_모멘텀</t>
    <phoneticPr fontId="1" type="noConversion"/>
  </si>
  <si>
    <t>순이익증가율 &gt; 0
과거 3개월 수익, 과거 6개월 수익 &gt; 시장평균
밸류 콤보, 퀄리티 콤보 순위를 합한 통합순위 상위 50% 중 
6개월 수익률이 가장 높은 25개 주식 매수</t>
    <phoneticPr fontId="1" type="noConversion"/>
  </si>
  <si>
    <t>순이익증가율 &gt; 0
과거 3개월 수익, 과거 6개월 수익 &gt; 시장평균
밸류 콤보, 퀄리티 콤보 순위를 합한 통합순위 상위 50% 중 
밸류 콤보 순위가 가장 높은 25개 주식 매수</t>
    <phoneticPr fontId="1" type="noConversion"/>
  </si>
  <si>
    <t>밸류+ 모멘텀</t>
    <phoneticPr fontId="1" type="noConversion"/>
  </si>
  <si>
    <t>밸류 콤보 순위 최고 10분위
6개월 과거 수익률 가장 높은 25개 매수</t>
    <phoneticPr fontId="1" type="noConversion"/>
  </si>
  <si>
    <t>미국보다 한국에서 더 수익률 높음</t>
    <phoneticPr fontId="1" type="noConversion"/>
  </si>
  <si>
    <t>대형주 + 모멘텀</t>
    <phoneticPr fontId="1" type="noConversion"/>
  </si>
  <si>
    <t>국내 시가총액 상위 200개 중 밸류콤보가 가장 높은 75개 발굴
위 종목중 12개월 과거 수익률이 가장 높은 25개 매수</t>
    <phoneticPr fontId="1" type="noConversion"/>
  </si>
  <si>
    <t>한국형</t>
    <phoneticPr fontId="1" type="noConversion"/>
  </si>
  <si>
    <t>사업구조가 간단하고 = 저 PBR
경영진이 훌륭하며 = 저베타
미래 몇 년간 이이과 현금흐름이 예측가능하고 = 고퀄리티
가격이 매력적인 기업에 투자 = 고밸류
레버리지 60%를 추가로 투입하여 수익률 극대화</t>
    <phoneticPr fontId="1" type="noConversion"/>
  </si>
  <si>
    <t>워렌버핏형</t>
    <phoneticPr fontId="1" type="noConversion"/>
  </si>
  <si>
    <t>워렌버핏의 투자방법을 계량화</t>
    <phoneticPr fontId="1" type="noConversion"/>
  </si>
  <si>
    <t>밸류+퀄리티+
모멘텀+ 대형주</t>
    <phoneticPr fontId="1" type="noConversion"/>
  </si>
  <si>
    <t>순이익, 자본, 영업현금흐름, EBITDA, 배당 &gt; 0 중 증자 는 기업만 대상
퀄리티 순위 계산 (GP/A)
밸류콤보순위계산(PER+PBR+PCR+PSR+EV/EBITDA+배당수익률)
모멘텀 순위 계산(12개월 과거 수익률 순위)
순위비중 밸류, 퀄리티, 모멘텀 각 33%, 통합순위 가장 높은 주식 매수</t>
    <phoneticPr fontId="1" type="noConversion"/>
  </si>
  <si>
    <t>밸류+모멘텀</t>
    <phoneticPr fontId="1" type="noConversion"/>
  </si>
  <si>
    <t>소형주(시가총액 하위 20%)만 매수
PBR, PSR, PER, GP/A 통합순위 가장높은 50개 종목 매수</t>
    <phoneticPr fontId="1" type="noConversion"/>
  </si>
  <si>
    <t>50개 종목 중 12개월 과거수익이 0이상인 종목 만 보유
50개 종목 중 12개월 과거수익이 0미만인 종목은 매도하고
과거 수익 0 이상인 종목에 재투자
12개월 과거 수익이 0이상인 종목이 1/4 이하이면
전 종목 매도, 현금보유
월 1회 리밸런싱</t>
    <phoneticPr fontId="1" type="noConversion"/>
  </si>
  <si>
    <t>20% 이상</t>
    <phoneticPr fontId="1" type="noConversion"/>
  </si>
  <si>
    <t>50개 종목 중 12개월 과거수익이 0이상인 종목 만 보유
50개 종목 중 12개월 과거수익이 0미만인 종목은 매도(현금화)
12개월 과거수익이 0 이상일때 다시 매수
12개월 과거 수익이 0이상인 종목이 1/4 이하이면
전 종목 매도, 현금보유
월 1회 리밸런싱</t>
    <phoneticPr fontId="1" type="noConversion"/>
  </si>
  <si>
    <t>소형주 전략은 매우 우수
밸류 콤보는 국내에서 큰 위력
절대적 모멘텀 전략으로 안전성 확보</t>
    <phoneticPr fontId="1" type="noConversion"/>
  </si>
  <si>
    <t>밸류+모멘텀</t>
    <phoneticPr fontId="1" type="noConversion"/>
  </si>
  <si>
    <t>유동비율이 100% 이상인 종목만 포함
PBR, PSR, PER, PCR의 통합순위 가장 높은 30개 종목 매수
소형주(시가총액 하위 20%)만 매수
개별 종목 비중을 평균 모멘텀 스코어로 결정</t>
    <phoneticPr fontId="1" type="noConversion"/>
  </si>
  <si>
    <t>월 1회 리밸런싱</t>
    <phoneticPr fontId="1" type="noConversion"/>
  </si>
  <si>
    <t>소형주, PBR 0.6 이하 매수, PBR 4이상 주식 피함</t>
    <phoneticPr fontId="1" type="noConversion"/>
  </si>
  <si>
    <t>부자</t>
    <phoneticPr fontId="1" type="noConversion"/>
  </si>
  <si>
    <t>밸류+소형주</t>
    <phoneticPr fontId="1" type="noConversion"/>
  </si>
  <si>
    <t xml:space="preserve">평균모멘텀스코어
예시가 더 편하게 설명됨
3개월전 주가 95
2개월전 주가 97
1개월 전 주가 95
현재 주가 100
1개월 과거 수익 100-95 &gt; 0 = 1점
2개월 과거 수익 95-97 &lt;0 = 0점
3개월 과거수익 97-95 &gt; 0 = 1점
총합/개월수 = 투자비중
2/3 = 66%투자(34%는 현금화)
</t>
    <phoneticPr fontId="1" type="noConversion"/>
  </si>
  <si>
    <t>사용지표</t>
    <phoneticPr fontId="1" type="noConversion"/>
  </si>
  <si>
    <t>비고</t>
    <phoneticPr fontId="1" type="noConversion"/>
  </si>
  <si>
    <t>추가설명</t>
    <phoneticPr fontId="1" type="noConversion"/>
  </si>
  <si>
    <t>PER, 주가수익비율, Price Earning Ratio</t>
    <phoneticPr fontId="1" type="noConversion"/>
  </si>
  <si>
    <t>PER = 시가총액 / 당기순이익 = 주가 / 주당순이익</t>
    <phoneticPr fontId="1" type="noConversion"/>
  </si>
  <si>
    <t>연평균수익률</t>
    <phoneticPr fontId="1" type="noConversion"/>
  </si>
  <si>
    <t>기대가치</t>
    <phoneticPr fontId="1" type="noConversion"/>
  </si>
  <si>
    <t>투자금회수햇수</t>
  </si>
  <si>
    <t>PER, 주가수익비율이 가지는 5가지 의미</t>
    <phoneticPr fontId="1" type="noConversion"/>
  </si>
  <si>
    <t>PER이 10이란 말은 이 회사의 연평균성잘률이 10%일 것이다! 라고 예상하는 것과 같은 것</t>
  </si>
  <si>
    <t>PER이 10이란 말은 이 회사의 수익 10은 현재 100의 가치를 가지고 있는 것</t>
  </si>
  <si>
    <t>PER이 10이란 말은 이 회사의 수익이 현재 10이지만 난 100을 기꺼이 지불할 의사가 있다(지불했다)</t>
    <phoneticPr fontId="1" type="noConversion"/>
  </si>
  <si>
    <t>PER이 10이란 말은 이 회사의 수익이 10 그대로인 경우, 내가 투자한 100을 회수하는데 걸리는 시간은 10년</t>
  </si>
  <si>
    <t>PER이 20인 기업이 PER이 10인 기업보다 훨씬 좋다.</t>
    <phoneticPr fontId="1" type="noConversion"/>
  </si>
  <si>
    <t>PER을 20으로 계속 유지하는 기업이 있다면 이 기업은 대박 기업</t>
  </si>
  <si>
    <t>PER의 과거 데이터를 보고 높은 PER을 계속 유지하고 있다면 그것도한 좋은 신호</t>
  </si>
  <si>
    <t>당신이 PER에 대해서 단 한 가지 기억해야 한다며 PER이 지나치게 높은 종목은 피해야 한다는 것이다. -피터린치-</t>
    <phoneticPr fontId="1" type="noConversion"/>
  </si>
  <si>
    <t>PER이 높은 기업은 이익증가율이 엄청나게 높아야만 높은 주가를 지탱할 수 있습니다</t>
  </si>
  <si>
    <t>만약 이런 기대를 충족하지 못하는 이익이 발생했을 때 주가의 폭락은 피할 수 없는 것</t>
  </si>
  <si>
    <t>나는 PER이 높은 주식을 사는 사람을 이해할 수 없다
 찾아보면 PER이 낮으면서 좋은 기업이 널리고 널렸는데 말이다
-피터린치-</t>
    <phoneticPr fontId="1" type="noConversion"/>
  </si>
  <si>
    <t>해당 기업의 이익을 사람들이
 지불하고 하는 돈, 인기도, 기업의기대치</t>
    <phoneticPr fontId="1" type="noConversion"/>
  </si>
  <si>
    <t>PER이 10이란 말은 이 회사의 수익률이 10배 늘어날 것이다! 라는 말과 같은 것</t>
    <phoneticPr fontId="1" type="noConversion"/>
  </si>
  <si>
    <r>
      <rPr>
        <u/>
        <sz val="12"/>
        <color theme="1"/>
        <rFont val="Adobe Myungjo Std M"/>
        <family val="1"/>
        <charset val="129"/>
      </rPr>
      <t>※</t>
    </r>
    <r>
      <rPr>
        <u/>
        <sz val="12"/>
        <color theme="1"/>
        <rFont val="맑은 고딕"/>
        <family val="3"/>
        <charset val="129"/>
      </rPr>
      <t xml:space="preserve"> </t>
    </r>
    <r>
      <rPr>
        <u/>
        <sz val="12"/>
        <color theme="1"/>
        <rFont val="맑은 고딕"/>
        <family val="2"/>
        <charset val="129"/>
        <scheme val="minor"/>
      </rPr>
      <t>PER에서의</t>
    </r>
    <r>
      <rPr>
        <u/>
        <sz val="12"/>
        <color rgb="FF0070C0"/>
        <rFont val="맑은 고딕"/>
        <family val="3"/>
        <charset val="129"/>
        <scheme val="minor"/>
      </rPr>
      <t xml:space="preserve"> </t>
    </r>
    <r>
      <rPr>
        <b/>
        <u/>
        <sz val="12"/>
        <color rgb="FF0070C0"/>
        <rFont val="맑은 고딕"/>
        <family val="3"/>
        <charset val="129"/>
        <scheme val="minor"/>
      </rPr>
      <t>시가총액은 미래시점</t>
    </r>
    <r>
      <rPr>
        <b/>
        <u/>
        <sz val="12"/>
        <color theme="1"/>
        <rFont val="맑은 고딕"/>
        <family val="3"/>
        <charset val="129"/>
        <scheme val="minor"/>
      </rPr>
      <t xml:space="preserve">! </t>
    </r>
    <r>
      <rPr>
        <b/>
        <u/>
        <sz val="12"/>
        <color rgb="FFFF0000"/>
        <rFont val="맑은 고딕"/>
        <family val="3"/>
        <charset val="129"/>
        <scheme val="minor"/>
      </rPr>
      <t>당기순이익은 현재(또는 과거시점)</t>
    </r>
    <r>
      <rPr>
        <u/>
        <sz val="12"/>
        <color theme="1"/>
        <rFont val="맑은 고딕"/>
        <family val="2"/>
        <charset val="129"/>
        <scheme val="minor"/>
      </rPr>
      <t xml:space="preserve"> 임에 유의!</t>
    </r>
    <phoneticPr fontId="1" type="noConversion"/>
  </si>
  <si>
    <t>고성장주, 고PER은 빠른 이익증가와 주가를 빠르게 위로 올린다</t>
    <phoneticPr fontId="1" type="noConversion"/>
  </si>
  <si>
    <t>종목명</t>
  </si>
  <si>
    <t xml:space="preserve">종합평가 : </t>
  </si>
  <si>
    <t>체크순서</t>
  </si>
  <si>
    <t>조건값</t>
  </si>
  <si>
    <t>조건값 범위</t>
  </si>
  <si>
    <t>체크</t>
  </si>
  <si>
    <t>내용</t>
  </si>
  <si>
    <t>PER
(★★★)</t>
  </si>
  <si>
    <t>0.5 &lt; PER &lt; 15
(자동계산)</t>
  </si>
  <si>
    <t>투자의 대가들은 PER 몇이상 몇이하 이런식의 조건값으로 기업을 평가하진 않았다.
PER을 5년평균과 비교하거나 업종과 비교하는 방법으로 기업을 평가하였다.
정채진투자자님의 경우 PER 10 이하, 최대 15이하 를 벗어나지 않는 범위내에서 종목을 발굴하셨다.
피터린치의 경우 PER이 낮으면 좋겠지만 고성장 산업의 경우 최대 20~30까지도 범위를 넓혔다. 
경기순환주의 경우 PER의 값으로 정확한 평가를 할 수 없는 경우도 발생한다.
따라서 초기 PER 값은 일단 0.5~15까지로 범위를 잡는게 좋을 듯하고, 
조건값의 범위는 각자의 취향에 맞춰서 다양하게 스크리닝 해보도록 하자</t>
  </si>
  <si>
    <t>매출액
(★★★★★)</t>
  </si>
  <si>
    <t>3년간 매출액 성장률 &gt; 10%
(자동계산)</t>
  </si>
  <si>
    <t>꾸준하다는 것은 어디에서나 강력한 힘을 가지고 있다.
매출액을 꾸준히 상승시켰다는 것은 회사가 성장성이 있다는 반증이기도 하다
매출액이 꾸준히 상승한 기업인지 살피고 매출액성장률이 매년 10% 이상이라면 좋은 기업!
참고로 매출액은 영업이익이나 순이익보다 더 좋은 평가 기준이다. 왜냐하면 영업이익, 순이익은 회계처리 방식에 따라 조정이 가능하기 때문이다.</t>
  </si>
  <si>
    <t>영업이익
(★★★★)</t>
  </si>
  <si>
    <t>5년 평균 영업이익률 &gt; 10%
(자동계산)</t>
  </si>
  <si>
    <t>회사는 이익으로 모든것을 말해야한다. 아무리 매출을 많이 올리더라도 이익을 뽑아내지 못한다면 헛수고이다.
따라서 영업이익이 꾸준히 증가하고 영업이익률을 10% 이상 뽑아내는 기업이라면 좋은기업이라고 할 수 있겠다.</t>
  </si>
  <si>
    <t>순이익
(★★★★)</t>
  </si>
  <si>
    <t>주당순이익(EPS) 성장률 &gt; 10%
(자동계산)</t>
  </si>
  <si>
    <t>순이익은 정말 모든 비용을 제한 수익을 말한다.
역시 꾸준히 증가하는 기업이 좋은 기업이며,
EPS 성장률이 10% 이상, 5년간 순이익 증가율이 20~50% 범위내이면 좋은 기업이다.</t>
  </si>
  <si>
    <t>20% &lt; 5년간 순이익 증가율 &lt; 50%
(20~25%를 선호)(자동계산)</t>
  </si>
  <si>
    <t>지표 검토(세부)
(★★★☆)</t>
  </si>
  <si>
    <t>현재 PER &lt; 5년 최고 PER * 0.4(자동계산)</t>
  </si>
  <si>
    <t>PER &lt; 5년 평균 PER(or 3년 평균)(자동계산)</t>
  </si>
  <si>
    <t>PBR &lt;1(or 1.2)(자동계산)</t>
  </si>
  <si>
    <t>네이버금융</t>
  </si>
  <si>
    <t>5년간 BPS(주당순자산가치) 성장률 &gt; 7.2%
(자동계산)</t>
  </si>
  <si>
    <t>부채비율 &lt; 100%(or 50%)(자동계산)</t>
  </si>
  <si>
    <t>부채자본비율, 부채총액/자기자본, 즉 타인자본의 의존도를 표시하며, 기업의 건전성의 정도를 나타내는 지표
기업의 부채액은 적어도 자기자본액 이하인 것이 바람직하므로 부채비율은 100% 이하가 이상적, 네이버금융</t>
  </si>
  <si>
    <t>유동비율 &gt; 150%(자동계산)</t>
  </si>
  <si>
    <t>유동자산/유동부채, 1년이내 현금화 할 수 있는 자산/1년이내 갚아야 하는 부채
너무 맹신하지 않도록, 왜냐하면 유동자산에 재고자산도 포함되는데 재고자산이 많으면 유동자산이 늘어남
네이버금융</t>
  </si>
  <si>
    <t>이자보상배율(배) &gt; 2(자동계산)</t>
  </si>
  <si>
    <t>이자보상배율이란, 기업이 수입에서 얼마를 이자비용으로 쓰고 있는지를 나타내는 수치
영업이익/이자비용, 지난해 영업이익으로 이자비용조차 내지 못하는 기업이 10곳 중 3곳 네이버금융</t>
  </si>
  <si>
    <t>PER/배당수익률&lt; 4(자동계산)</t>
  </si>
  <si>
    <t>배당수익률을 조금씩 올리는지(자동계산)</t>
  </si>
  <si>
    <t>시가 배당률 &gt; 5년 국채금리(자동계산)</t>
  </si>
  <si>
    <t>5년 평균 ROE &gt; 15%(자동계산)</t>
  </si>
  <si>
    <t>자기자본이익률, 자본으로 얼마나 이익을 내는지, 당기순이익/자본총계, 네이버금융
여기서 ROA(자산총이익률)에 주의, ROA와 ROE가 차이가 크면 ROE값의 신뢰도가 떨어짐</t>
  </si>
  <si>
    <t>현금회전일수가 120일 이하(수동확인)</t>
  </si>
  <si>
    <t>현금이 얼마나 빨리 회수되는지 지표, 현금전환주기, 원재료 및 재고를 구입해서 판매를 통해 다시 현금이 기업으로 돌아오는 기간, 재고자산 + 외상매출금회전일수 - 외상매입금회전일수, 네이버금융</t>
  </si>
  <si>
    <t>이익잉여금, 회사에 쌓인 그야말로 잉여재산, 많아도 문제, 적어도 문제지만 일단 많으면 굿
유동자산 중에서 판매과정을 거치지 않고 1년 이내에 현금화가 가능한 자산, 제고자산 제외, 네이버금융</t>
  </si>
  <si>
    <t>5년 평균 매출액잉여현금흐름(FCF) 비율이
7% 이상(자동계산)</t>
  </si>
  <si>
    <t>기업이 사업으로 벌어들인 돈 중 세금과 영업비용, 설비투자액 등을 제외하고 남은 현금. 
돈이 회사에 얼마 남았는지 설명, 왜 중요하냐면, 실제로 회사 역량을 측정 가능, 위기시 생존 지표
투자와 연구개발 등 회사 성장에 영향을 미치는 활동에 쓸 수 있는 돈 네이버금융</t>
  </si>
  <si>
    <t>매출총이익률이 40% 이상(수동확인)</t>
  </si>
  <si>
    <t>매출총이익/매출액, 기업의 원가관리능력을 보여줌, 다른기업에 비해 경쟁우위가 있음, 네이버금융</t>
  </si>
  <si>
    <t>대주주 지분 30% 이상(수동확인)</t>
  </si>
  <si>
    <t>회사의 성장이 오너의 성장이라면 지분률이 높을 것! 오너가 주인의식을 가지고 있는가?</t>
  </si>
  <si>
    <t>부자회사원 매뉴얼 활용, 적정주가 보다 현재가가 낮다면 싸다는 시그널!</t>
  </si>
  <si>
    <t>사업보고서
(사업의 내용)
(★★★★★)</t>
  </si>
  <si>
    <t>1. 사업이 이해가 잘되는가?</t>
  </si>
  <si>
    <t>매출구조, 사업의 내용 등이 상식선에서 이해가 잘 되면 좋음, 사업이 다각화 되어 있음 이해도 어려움</t>
  </si>
  <si>
    <t>2. 성장가능성이 있는가?, 수요가 충분한가?</t>
  </si>
  <si>
    <t>시장의 성장성, 규모, 공장 신설 계획, 공장 가동률 등 확인</t>
  </si>
  <si>
    <t>3. 진입장벽이 높은가?</t>
  </si>
  <si>
    <t>시장 점유율, 경쟁력 등을 적극 어필하므로 사업의 내용 읽어보면 이해됨</t>
  </si>
  <si>
    <t>4. 독점력을 가지고 있는가? 제품에 매력도</t>
  </si>
  <si>
    <t>이것 역시 다 나옴, 특허가 많다. 우리가 과점하고 있다 등등 표현이 있음</t>
  </si>
  <si>
    <t>5. 경기에 민감한가?</t>
  </si>
  <si>
    <t>우리 제품은 경기에 비탄력적이다. 안정적 매출을 가지고 있다 등으로 적극 어필함</t>
  </si>
  <si>
    <t>6. 10년뒤에도 건재할 사업인가?</t>
  </si>
  <si>
    <t>사업보고서를 읽고 본인이 판단(영상을 보면 안약만드는 회사 예시)</t>
  </si>
  <si>
    <t>7. 1~3개 정도 투자 아이디어가 떠오르는가?
(★중요★)</t>
  </si>
  <si>
    <t>사업의 내용을 어느정도 읽어보고 나만의 아이디어를 정립!, 아이디어 훼손 = 매도 타이밍</t>
  </si>
  <si>
    <t>7-1. 경재적 혜자를 가지고 있는가?</t>
  </si>
  <si>
    <t>이것도 역시 사업보고서 읽다보면 나옴, 하지만 이것을 우째 파악함? 파악할 수 있는 능력있음 부자되게?</t>
  </si>
  <si>
    <t>8. 연구개발 비용은 꾸준히 투자하고 있는가?</t>
  </si>
  <si>
    <t>9. 세금, 정부 정책에 영향을 받는가?</t>
  </si>
  <si>
    <t>보험약가!</t>
  </si>
  <si>
    <t>10. 반복적 설비투자/연구가 필요한 산업인가?</t>
  </si>
  <si>
    <t>즉 매출액이 높아지면 또 그만큼 쏟아 부어야 하는 별로 남는게 없는 산업인가?</t>
  </si>
  <si>
    <t>DART 공시
내용확인
(★★★★)</t>
  </si>
  <si>
    <t>1. CB, BW 확인</t>
  </si>
  <si>
    <t>공시에 보면 다 나옴</t>
  </si>
  <si>
    <t>2. 당해연도 내부 주식 매수/매도 &gt; 1.5</t>
  </si>
  <si>
    <t>3. 특정 이슈 등이 있는가?</t>
  </si>
  <si>
    <t>대량 거래, 특별한 이슈, 특이한 내용 확인</t>
  </si>
  <si>
    <t>사업보고서
(재무재표 확인)
(★★★★)</t>
  </si>
  <si>
    <t>1. 고정비와 변동비를 고려하였는가?</t>
  </si>
  <si>
    <t>고정비는 어느정도 투자가 되면 매출이 증가해도 크게 늘어나지 않는데 그 시점이 영업이익이 크게 증가하는 시점이다. 그 순간을 파악해내는게 관건이다.</t>
  </si>
  <si>
    <t>영업이익과 순이익의 괴리가 크지 않은가?</t>
  </si>
  <si>
    <t>순이익과 지배주주순이익의 괴리가 크지 않은가?</t>
  </si>
  <si>
    <t>원재료 가격 변동에 의한 악재는 없는가?</t>
  </si>
  <si>
    <t>뉴스확인
(★★★)</t>
  </si>
  <si>
    <t>오너일가(승계여부 등)</t>
  </si>
  <si>
    <t xml:space="preserve">승계를 하였다면 주가 상승, 승계를 하기 전이라면 주가 하락, 승계가 경영전무한 사람에게 되었다 = 하락 </t>
  </si>
  <si>
    <t>정치적 이슈, 계약체결 등 회사이름으로 검색해보기</t>
  </si>
  <si>
    <t>매출액</t>
  </si>
  <si>
    <t>영업이익</t>
  </si>
  <si>
    <t>영업이익(발표기준)</t>
  </si>
  <si>
    <t>세전계속사업이익</t>
  </si>
  <si>
    <t>당기순이익</t>
  </si>
  <si>
    <t>  당기순이익(지배)</t>
  </si>
  <si>
    <t>5년평균</t>
  </si>
  <si>
    <t>5년성장률</t>
  </si>
  <si>
    <t>  당기순이익(비지배)</t>
  </si>
  <si>
    <t>자산총계</t>
  </si>
  <si>
    <t>부채총계</t>
  </si>
  <si>
    <t>자본총계</t>
  </si>
  <si>
    <t>  자본총계(지배)</t>
  </si>
  <si>
    <t>  자본총계(비지배)</t>
  </si>
  <si>
    <t>자본금</t>
  </si>
  <si>
    <t>영업활동현금흐름</t>
  </si>
  <si>
    <t>투자활동현금흐름</t>
  </si>
  <si>
    <t>재무활동현금흐름</t>
  </si>
  <si>
    <t>CAPEX</t>
  </si>
  <si>
    <t>FCF</t>
  </si>
  <si>
    <r>
      <rPr>
        <sz val="11"/>
        <color rgb="FF000000"/>
        <rFont val="맑은 고딕"/>
        <family val="3"/>
        <charset val="129"/>
      </rPr>
      <t>5년</t>
    </r>
    <r>
      <rPr>
        <sz val="11"/>
        <color rgb="FF000000"/>
        <rFont val="맑은 고딕"/>
        <family val="3"/>
        <charset val="129"/>
      </rPr>
      <t xml:space="preserve"> 성장률</t>
    </r>
  </si>
  <si>
    <t>이자발생부채</t>
  </si>
  <si>
    <t>영업이익률</t>
  </si>
  <si>
    <t>순이익률</t>
  </si>
  <si>
    <t>ROE(%)</t>
  </si>
  <si>
    <t>ROA(%)</t>
  </si>
  <si>
    <t>부채비율</t>
  </si>
  <si>
    <t>자본유보율</t>
  </si>
  <si>
    <t>EPS(원)</t>
  </si>
  <si>
    <t>PER(배)</t>
  </si>
  <si>
    <t>5년 평균</t>
  </si>
  <si>
    <t>BPS(원)</t>
  </si>
  <si>
    <t>PBR(배)</t>
  </si>
  <si>
    <t>현금DPS(원)</t>
  </si>
  <si>
    <t>현금배당수익률</t>
  </si>
  <si>
    <t>현금배당성향(%)</t>
  </si>
  <si>
    <t>발행주식수(보통주)</t>
  </si>
  <si>
    <t>  유동자산</t>
  </si>
  <si>
    <t>아래 한국 신용평가 홈페이지 BBB- 할인률 적용</t>
    <phoneticPr fontId="1" type="noConversion"/>
  </si>
  <si>
    <t>오른쪽 칸 클릭 후 붙여넣기</t>
    <phoneticPr fontId="1" type="noConversion"/>
  </si>
  <si>
    <r>
      <t>펼치기</t>
    </r>
    <r>
      <rPr>
        <sz val="9"/>
        <color rgb="FF3C3C3C"/>
        <rFont val="Dotum"/>
        <family val="3"/>
      </rPr>
      <t> 재고자산</t>
    </r>
  </si>
  <si>
    <t>  유동생물자산</t>
  </si>
  <si>
    <t>  당기손익-공정가치측정금융자산</t>
  </si>
  <si>
    <t>  기타포괄손익-공정가치측정금융자산</t>
  </si>
  <si>
    <t>  상각후원가측정유가증권</t>
  </si>
  <si>
    <t>  상각후원가측정금융자산</t>
  </si>
  <si>
    <r>
      <t>펼치기</t>
    </r>
    <r>
      <rPr>
        <sz val="9"/>
        <color rgb="FF3C3C3C"/>
        <rFont val="Dotum"/>
        <family val="3"/>
      </rPr>
      <t> 단기금융자산</t>
    </r>
  </si>
  <si>
    <r>
      <t>펼치기</t>
    </r>
    <r>
      <rPr>
        <sz val="9"/>
        <color rgb="FF3C3C3C"/>
        <rFont val="Dotum"/>
        <family val="3"/>
      </rPr>
      <t> 매출채권및기타채권</t>
    </r>
  </si>
  <si>
    <t>  당기법인세자산(선급법인세)</t>
  </si>
  <si>
    <t>  계약자산</t>
  </si>
  <si>
    <t>  반품(환불)자산</t>
  </si>
  <si>
    <t>  배출권</t>
  </si>
  <si>
    <r>
      <t>펼치기</t>
    </r>
    <r>
      <rPr>
        <sz val="9"/>
        <color rgb="FF3C3C3C"/>
        <rFont val="Dotum"/>
        <family val="3"/>
      </rPr>
      <t> 기타유동자산</t>
    </r>
  </si>
  <si>
    <t>  현금및현금성자산</t>
  </si>
  <si>
    <r>
      <t>펼치기</t>
    </r>
    <r>
      <rPr>
        <sz val="9"/>
        <color rgb="FF3C3C3C"/>
        <rFont val="Dotum"/>
        <family val="3"/>
      </rPr>
      <t> 매각예정비유동자산및처분자산</t>
    </r>
  </si>
  <si>
    <t>  비유동자산</t>
  </si>
  <si>
    <r>
      <t>펼치기</t>
    </r>
    <r>
      <rPr>
        <sz val="9"/>
        <color rgb="FF3C3C3C"/>
        <rFont val="Dotum"/>
        <family val="3"/>
      </rPr>
      <t> 유형자산</t>
    </r>
  </si>
  <si>
    <r>
      <t>펼치기</t>
    </r>
    <r>
      <rPr>
        <sz val="9"/>
        <color rgb="FF3C3C3C"/>
        <rFont val="Dotum"/>
        <family val="3"/>
      </rPr>
      <t> 무형자산</t>
    </r>
  </si>
  <si>
    <t>  비유동생물자산</t>
  </si>
  <si>
    <r>
      <t>펼치기</t>
    </r>
    <r>
      <rPr>
        <sz val="9"/>
        <color rgb="FF3C3C3C"/>
        <rFont val="Dotum"/>
        <family val="3"/>
      </rPr>
      <t> 투자부동산</t>
    </r>
  </si>
  <si>
    <r>
      <t>펼치기</t>
    </r>
    <r>
      <rPr>
        <sz val="9"/>
        <color rgb="FF3C3C3C"/>
        <rFont val="Dotum"/>
        <family val="3"/>
      </rPr>
      <t> 투자자산</t>
    </r>
  </si>
  <si>
    <r>
      <t>펼치기</t>
    </r>
    <r>
      <rPr>
        <sz val="9"/>
        <color rgb="FF3C3C3C"/>
        <rFont val="Dotum"/>
        <family val="3"/>
      </rPr>
      <t> 장기매출채권및기타채권</t>
    </r>
  </si>
  <si>
    <t>  이연법인세자산</t>
  </si>
  <si>
    <t>  장기당기법인세자산</t>
  </si>
  <si>
    <r>
      <t>펼치기</t>
    </r>
    <r>
      <rPr>
        <sz val="9"/>
        <color rgb="FF3C3C3C"/>
        <rFont val="Dotum"/>
        <family val="3"/>
      </rPr>
      <t> 기타비유동자산</t>
    </r>
  </si>
  <si>
    <t>  기타금융업자산</t>
  </si>
  <si>
    <t>  *순자산1</t>
  </si>
  <si>
    <t>  *순자산2</t>
  </si>
  <si>
    <t>  부채총계</t>
  </si>
  <si>
    <t>  유동부채</t>
  </si>
  <si>
    <t>  단기사채</t>
  </si>
  <si>
    <t>  단기차입금</t>
  </si>
  <si>
    <r>
      <t>펼치기</t>
    </r>
    <r>
      <rPr>
        <sz val="9"/>
        <color rgb="FF3C3C3C"/>
        <rFont val="Dotum"/>
        <family val="3"/>
      </rPr>
      <t> 유동성장기부채</t>
    </r>
  </si>
  <si>
    <t>  당기손익-공정가치측정금융부채</t>
  </si>
  <si>
    <t>  상각후원가측정금융부채</t>
  </si>
  <si>
    <r>
      <t>펼치기</t>
    </r>
    <r>
      <rPr>
        <sz val="9"/>
        <color rgb="FF3C3C3C"/>
        <rFont val="Dotum"/>
        <family val="3"/>
      </rPr>
      <t> 유동금융부채</t>
    </r>
  </si>
  <si>
    <r>
      <t>펼치기</t>
    </r>
    <r>
      <rPr>
        <sz val="9"/>
        <color rgb="FF3C3C3C"/>
        <rFont val="Dotum"/>
        <family val="3"/>
      </rPr>
      <t> 매입채무및기타채무</t>
    </r>
  </si>
  <si>
    <t>  유동종업원급여충당부채</t>
  </si>
  <si>
    <t>  단기충당부채</t>
  </si>
  <si>
    <t>  당기법인세부채(미지급법인세)</t>
  </si>
  <si>
    <t>  계약부채</t>
  </si>
  <si>
    <t>  반품(환불)부채</t>
  </si>
  <si>
    <t>  배출부채</t>
  </si>
  <si>
    <r>
      <t>펼치기</t>
    </r>
    <r>
      <rPr>
        <sz val="9"/>
        <color rgb="FF3C3C3C"/>
        <rFont val="Dotum"/>
        <family val="3"/>
      </rPr>
      <t> 기타유동부채</t>
    </r>
  </si>
  <si>
    <r>
      <t>펼치기</t>
    </r>
    <r>
      <rPr>
        <sz val="9"/>
        <color rgb="FF3C3C3C"/>
        <rFont val="Dotum"/>
        <family val="3"/>
      </rPr>
      <t> 매각예정으로분류된처분자산에포함된부채</t>
    </r>
  </si>
  <si>
    <t>  비유동부채</t>
  </si>
  <si>
    <r>
      <t>펼치기</t>
    </r>
    <r>
      <rPr>
        <sz val="9"/>
        <color rgb="FF3C3C3C"/>
        <rFont val="Dotum"/>
        <family val="3"/>
      </rPr>
      <t> 사채</t>
    </r>
  </si>
  <si>
    <t>  장기차입금</t>
  </si>
  <si>
    <r>
      <t>펼치기</t>
    </r>
    <r>
      <rPr>
        <sz val="9"/>
        <color rgb="FF3C3C3C"/>
        <rFont val="Dotum"/>
        <family val="3"/>
      </rPr>
      <t> 비유동금융부채</t>
    </r>
  </si>
  <si>
    <r>
      <t>펼치기</t>
    </r>
    <r>
      <rPr>
        <sz val="9"/>
        <color rgb="FF3C3C3C"/>
        <rFont val="Dotum"/>
        <family val="3"/>
      </rPr>
      <t> 장기매입채무및기타채무</t>
    </r>
  </si>
  <si>
    <t>  비유동종업원급여충당부채</t>
  </si>
  <si>
    <t>  장기충당부채</t>
  </si>
  <si>
    <t>  이연법인세부채</t>
  </si>
  <si>
    <t>  장기당기법인세부채(미지급법인세)</t>
  </si>
  <si>
    <r>
      <t>펼치기</t>
    </r>
    <r>
      <rPr>
        <sz val="9"/>
        <color rgb="FF3C3C3C"/>
        <rFont val="Dotum"/>
        <family val="3"/>
      </rPr>
      <t> 기타비유동부채</t>
    </r>
  </si>
  <si>
    <t>  기타금융업부채</t>
  </si>
  <si>
    <t>  *이자발생부채</t>
  </si>
  <si>
    <t>  *순부채</t>
  </si>
  <si>
    <t>  *CAPEX</t>
  </si>
  <si>
    <t>  자본총계</t>
  </si>
  <si>
    <t>  지배주주지분</t>
  </si>
  <si>
    <r>
      <t>펼치기</t>
    </r>
    <r>
      <rPr>
        <sz val="9"/>
        <color rgb="FF3C3C3C"/>
        <rFont val="Dotum"/>
        <family val="3"/>
      </rPr>
      <t> 자본금</t>
    </r>
  </si>
  <si>
    <t>  신종자본증권</t>
  </si>
  <si>
    <r>
      <t>펼치기</t>
    </r>
    <r>
      <rPr>
        <sz val="9"/>
        <color rgb="FF3C3C3C"/>
        <rFont val="Dotum"/>
        <family val="3"/>
      </rPr>
      <t> 자본잉여금</t>
    </r>
  </si>
  <si>
    <r>
      <t>펼치기</t>
    </r>
    <r>
      <rPr>
        <sz val="9"/>
        <color rgb="FF3C3C3C"/>
        <rFont val="Dotum"/>
        <family val="3"/>
      </rPr>
      <t> 기타자본</t>
    </r>
  </si>
  <si>
    <r>
      <t>펼치기</t>
    </r>
    <r>
      <rPr>
        <sz val="9"/>
        <color rgb="FF3C3C3C"/>
        <rFont val="Dotum"/>
        <family val="3"/>
      </rPr>
      <t> 기타포괄이익누계액</t>
    </r>
  </si>
  <si>
    <t>  이익잉여금</t>
  </si>
  <si>
    <t>  *(지배)당기순이익</t>
  </si>
  <si>
    <t>  비지배주주지분</t>
  </si>
  <si>
    <t>  *(비지배)당기순이익</t>
  </si>
  <si>
    <t>  수권주식수</t>
  </si>
  <si>
    <t>  1주당금액</t>
  </si>
  <si>
    <t>  발행주식수</t>
  </si>
  <si>
    <t>  보통주</t>
  </si>
  <si>
    <t>  우선주</t>
  </si>
  <si>
    <r>
      <t>펼치기</t>
    </r>
    <r>
      <rPr>
        <sz val="9"/>
        <color rgb="FF3C3C3C"/>
        <rFont val="Dotum"/>
        <family val="3"/>
      </rPr>
      <t> 유동부채비율</t>
    </r>
  </si>
  <si>
    <r>
      <t>펼치기</t>
    </r>
    <r>
      <rPr>
        <sz val="9"/>
        <color rgb="FF3C3C3C"/>
        <rFont val="Dotum"/>
        <family val="3"/>
      </rPr>
      <t> 비유동부채비율</t>
    </r>
  </si>
  <si>
    <r>
      <t>펼치기</t>
    </r>
    <r>
      <rPr>
        <sz val="9"/>
        <color rgb="FF3C3C3C"/>
        <rFont val="Dotum"/>
        <family val="3"/>
      </rPr>
      <t> 순부채비율</t>
    </r>
  </si>
  <si>
    <r>
      <t>펼치기</t>
    </r>
    <r>
      <rPr>
        <sz val="9"/>
        <color rgb="FF3C3C3C"/>
        <rFont val="Dotum"/>
        <family val="3"/>
      </rPr>
      <t> 유동비율</t>
    </r>
  </si>
  <si>
    <r>
      <t>펼치기</t>
    </r>
    <r>
      <rPr>
        <sz val="9"/>
        <color rgb="FF3C3C3C"/>
        <rFont val="Dotum"/>
        <family val="3"/>
      </rPr>
      <t> 당좌비율</t>
    </r>
  </si>
  <si>
    <r>
      <t>펼치기</t>
    </r>
    <r>
      <rPr>
        <sz val="9"/>
        <color rgb="FF3C3C3C"/>
        <rFont val="Dotum"/>
        <family val="3"/>
      </rPr>
      <t> 이자보상배율</t>
    </r>
  </si>
  <si>
    <r>
      <t>펼치기</t>
    </r>
    <r>
      <rPr>
        <sz val="9"/>
        <color rgb="FF3C3C3C"/>
        <rFont val="Dotum"/>
        <family val="3"/>
      </rPr>
      <t> 금융비용부담률</t>
    </r>
  </si>
  <si>
    <r>
      <t>펼치기</t>
    </r>
    <r>
      <rPr>
        <sz val="9"/>
        <color rgb="FF3C3C3C"/>
        <rFont val="Dotum"/>
        <family val="3"/>
      </rPr>
      <t> 자본유보율</t>
    </r>
  </si>
  <si>
    <t>5년 최고값*0.4</t>
    <phoneticPr fontId="1" type="noConversion"/>
  </si>
  <si>
    <t>PER &lt; 업종평균 PER(수동계산)</t>
    <phoneticPr fontId="1" type="noConversion"/>
  </si>
  <si>
    <t>1/per</t>
    <phoneticPr fontId="1" type="noConversion"/>
  </si>
  <si>
    <t>per/배당</t>
    <phoneticPr fontId="1" type="noConversion"/>
  </si>
  <si>
    <t>5년간 성장률*0.5</t>
    <phoneticPr fontId="1" type="noConversion"/>
  </si>
  <si>
    <t>5년간 이익잉여금 성장률 *0.5 
&lt; 5년간 당좌자산 증가율(자동, 0이상이면 ok)</t>
    <phoneticPr fontId="1" type="noConversion"/>
  </si>
  <si>
    <t>장기부채가 4분기 합산 순이익의 3배 이하
(0 이상이면 ok)</t>
    <phoneticPr fontId="1" type="noConversion"/>
  </si>
  <si>
    <t>4분기 합산 3배</t>
    <phoneticPr fontId="1" type="noConversion"/>
  </si>
  <si>
    <t>1/현재 PER &gt; 5년 국채금리 *2(자동계산)</t>
    <phoneticPr fontId="1" type="noConversion"/>
  </si>
  <si>
    <t>지표 검토(세부)
(★★★☆)</t>
    <phoneticPr fontId="1" type="noConversion"/>
  </si>
  <si>
    <t>순이익
(★★★★)</t>
    <phoneticPr fontId="1" type="noConversion"/>
  </si>
  <si>
    <t>삼성전자</t>
    <phoneticPr fontId="1" type="noConversion"/>
  </si>
  <si>
    <t>종목분석→기업현황→연간</t>
    <phoneticPr fontId="1" type="noConversion"/>
  </si>
  <si>
    <t>종목분석→투자지표→안정성</t>
    <phoneticPr fontId="1" type="noConversion"/>
  </si>
  <si>
    <t>종목분석→재무분석
→재무상태표</t>
    <phoneticPr fontId="1" type="noConversion"/>
  </si>
  <si>
    <t>주당순자산가치, 청산가치, 기업이 모든 활동을 중단하고 자산을 주주에게 나눠줄때 
한주당 얼마씩 돌아가는지 나타내는 지표,
해당 기업의 순자산이 10억인데 발행주수가 1만주이면 한주당 돌아가는 돈은 10만원인 것이죠
네이버금융</t>
    <phoneticPr fontId="1" type="noConversion"/>
  </si>
  <si>
    <t>저평가 되어 있는지 확인, 주식 고수들의 per 활용법, 네이버금융
5년 국채금리는 구글에 2020 국고채금리 라고 검색하면 나옴
(2020.12. 기준 1.2)
(1.2*2=2.4)</t>
    <phoneticPr fontId="1" type="noConversion"/>
  </si>
  <si>
    <t>씨젠</t>
    <phoneticPr fontId="1" type="noConversion"/>
  </si>
  <si>
    <t>슈코</t>
    <phoneticPr fontId="1" type="noConversion"/>
  </si>
  <si>
    <t>원일특강</t>
    <phoneticPr fontId="1" type="noConversion"/>
  </si>
  <si>
    <t>N/A</t>
  </si>
  <si>
    <t>전년도&amp;현재년도 EPS의 AVG</t>
    <phoneticPr fontId="1" type="noConversion"/>
  </si>
  <si>
    <t>당기순이익(지배)</t>
    <phoneticPr fontId="1" type="noConversion"/>
  </si>
  <si>
    <t>자본총계(지배)</t>
  </si>
  <si>
    <t>자기주식(재무상태표-&gt;기타자본-&gt;자기주식)</t>
    <phoneticPr fontId="1" type="noConversion"/>
  </si>
  <si>
    <t>부채총계-유동부채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</si>
</sst>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yyyy&quot;년&quot;\ m&quot;월&quot;\ d&quot;일&quot;;@"/>
    <numFmt numFmtId="177" formatCode="0.0%"/>
    <numFmt numFmtId="178" formatCode="#,##0.0_);[Red]\(#,##0.0\)"/>
    <numFmt numFmtId="179" formatCode="#,##0_);[Red]\(#,##0\)"/>
    <numFmt numFmtId="180" formatCode="#,##0_ "/>
    <numFmt numFmtId="181" formatCode="#,##0.00_ "/>
    <numFmt numFmtId="182" formatCode="0.00_ "/>
  </numFmts>
  <fonts count="5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rgb="FF3C3C3C"/>
      <name val="Tahoma"/>
      <family val="2"/>
    </font>
    <font>
      <i/>
      <sz val="8"/>
      <color rgb="FF464646"/>
      <name val="Tahoma"/>
      <family val="2"/>
    </font>
    <font>
      <sz val="8"/>
      <color rgb="FF000000"/>
      <name val="Tahoma"/>
      <family val="2"/>
    </font>
    <font>
      <sz val="11"/>
      <color rgb="FF000000"/>
      <name val="맑은 고딕"/>
      <family val="3"/>
      <charset val="129"/>
      <scheme val="minor"/>
    </font>
    <font>
      <sz val="11"/>
      <color rgb="FF3C3C3C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sz val="28"/>
      <color theme="1"/>
      <name val="Jalnan OTF"/>
      <family val="2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333333"/>
      <name val="Malgun Gothic"/>
      <family val="3"/>
      <charset val="129"/>
    </font>
    <font>
      <sz val="12"/>
      <color theme="1"/>
      <name val="맑은 고딕"/>
      <family val="1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b/>
      <sz val="14"/>
      <color rgb="FF333333"/>
      <name val="Malgun Gothic"/>
      <family val="3"/>
      <charset val="129"/>
    </font>
    <font>
      <b/>
      <u/>
      <sz val="12"/>
      <color rgb="FF0070C0"/>
      <name val="Malgun Gothic"/>
      <family val="3"/>
      <charset val="129"/>
    </font>
    <font>
      <u/>
      <sz val="12"/>
      <color theme="1"/>
      <name val="맑은 고딕"/>
      <family val="1"/>
      <charset val="129"/>
      <scheme val="minor"/>
    </font>
    <font>
      <u/>
      <sz val="12"/>
      <color theme="1"/>
      <name val="Adobe Myungjo Std M"/>
      <family val="1"/>
      <charset val="129"/>
    </font>
    <font>
      <u/>
      <sz val="12"/>
      <color theme="1"/>
      <name val="맑은 고딕"/>
      <family val="3"/>
      <charset val="129"/>
    </font>
    <font>
      <u/>
      <sz val="12"/>
      <color theme="1"/>
      <name val="맑은 고딕"/>
      <family val="2"/>
      <charset val="129"/>
      <scheme val="minor"/>
    </font>
    <font>
      <u/>
      <sz val="12"/>
      <color rgb="FF0070C0"/>
      <name val="맑은 고딕"/>
      <family val="3"/>
      <charset val="129"/>
      <scheme val="minor"/>
    </font>
    <font>
      <b/>
      <u/>
      <sz val="12"/>
      <color rgb="FF0070C0"/>
      <name val="맑은 고딕"/>
      <family val="3"/>
      <charset val="129"/>
      <scheme val="minor"/>
    </font>
    <font>
      <b/>
      <u/>
      <sz val="12"/>
      <color theme="1"/>
      <name val="맑은 고딕"/>
      <family val="3"/>
      <charset val="129"/>
      <scheme val="minor"/>
    </font>
    <font>
      <b/>
      <u/>
      <sz val="12"/>
      <color rgb="FFFF0000"/>
      <name val="맑은 고딕"/>
      <family val="3"/>
      <charset val="129"/>
      <scheme val="minor"/>
    </font>
    <font>
      <sz val="12"/>
      <color rgb="FFFF0000"/>
      <name val="Malgun Gothic"/>
      <family val="3"/>
      <charset val="129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15"/>
      <color rgb="FF000000"/>
      <name val="맑은 고딕"/>
      <family val="3"/>
      <charset val="129"/>
    </font>
    <font>
      <sz val="8"/>
      <color rgb="FFD40400"/>
      <name val="Tahoma"/>
      <family val="2"/>
    </font>
    <font>
      <sz val="12"/>
      <color rgb="FF000000"/>
      <name val="맑은 고딕"/>
      <family val="3"/>
      <charset val="129"/>
    </font>
    <font>
      <sz val="9"/>
      <color rgb="FF3C3C3C"/>
      <name val="Dotum"/>
      <family val="3"/>
    </font>
    <font>
      <sz val="11"/>
      <color rgb="FFFFFF00"/>
      <name val="맑은 고딕"/>
      <family val="3"/>
      <charset val="129"/>
      <scheme val="minor"/>
    </font>
    <font>
      <sz val="11"/>
      <color theme="0"/>
      <name val="맑은 고딕"/>
      <family val="3"/>
      <charset val="129"/>
    </font>
    <font>
      <sz val="9"/>
      <color rgb="FF000000"/>
      <name val="Dotum"/>
      <family val="3"/>
    </font>
    <font>
      <sz val="14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7"/>
      <color rgb="FF3C3C3C"/>
      <name val="Tahoma"/>
      <family val="2"/>
    </font>
    <font>
      <sz val="7"/>
      <color rgb="FF000000"/>
      <name val="Tahoma"/>
      <family val="2"/>
    </font>
    <font>
      <sz val="7"/>
      <color rgb="FFD40400"/>
      <name val="Tahoma"/>
      <family val="2"/>
    </font>
    <font>
      <sz val="7"/>
      <color rgb="FF0057D3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DF8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rgb="FFC5C5C5"/>
      </right>
      <top style="thick">
        <color rgb="FF353535"/>
      </top>
      <bottom/>
      <diagonal/>
    </border>
    <border>
      <left/>
      <right style="medium">
        <color rgb="FFC5C5C5"/>
      </right>
      <top style="medium">
        <color rgb="FFC5C5C5"/>
      </top>
      <bottom style="thick">
        <color rgb="FFC5C5C5"/>
      </bottom>
      <diagonal/>
    </border>
    <border>
      <left/>
      <right style="medium">
        <color rgb="FFC5C5C5"/>
      </right>
      <top style="medium">
        <color rgb="FFC5C5C5"/>
      </top>
      <bottom/>
      <diagonal/>
    </border>
    <border>
      <left/>
      <right/>
      <top style="thick">
        <color rgb="FF353535"/>
      </top>
      <bottom/>
      <diagonal/>
    </border>
    <border>
      <left/>
      <right/>
      <top/>
      <bottom style="thick">
        <color rgb="FFC5C5C5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C5C5C5"/>
      </right>
      <top style="medium">
        <color rgb="FF353535"/>
      </top>
      <bottom style="medium">
        <color rgb="FFC5C5C5"/>
      </bottom>
      <diagonal/>
    </border>
  </borders>
  <cellStyleXfs count="2">
    <xf numFmtId="0" fontId="0" fillId="0" borderId="0">
      <alignment vertical="center"/>
    </xf>
    <xf numFmtId="0" fontId="42" fillId="0" borderId="0">
      <alignment vertical="center"/>
    </xf>
  </cellStyleXfs>
  <cellXfs count="292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Border="1">
      <alignment vertical="center"/>
    </xf>
    <xf numFmtId="9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9" fontId="0" fillId="7" borderId="3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4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0" xfId="0" applyFill="1">
      <alignment vertical="center"/>
    </xf>
    <xf numFmtId="4" fontId="10" fillId="0" borderId="0" xfId="0" applyNumberFormat="1" applyFont="1">
      <alignment vertical="center"/>
    </xf>
    <xf numFmtId="178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3" fontId="0" fillId="0" borderId="0" xfId="0" applyNumberFormat="1">
      <alignment vertical="center"/>
    </xf>
    <xf numFmtId="3" fontId="11" fillId="0" borderId="0" xfId="0" applyNumberFormat="1" applyFont="1">
      <alignment vertical="center"/>
    </xf>
    <xf numFmtId="3" fontId="12" fillId="0" borderId="0" xfId="0" applyNumberFormat="1" applyFont="1">
      <alignment vertical="center"/>
    </xf>
    <xf numFmtId="3" fontId="11" fillId="10" borderId="0" xfId="0" applyNumberFormat="1" applyFont="1" applyFill="1" applyAlignment="1">
      <alignment horizontal="right" vertical="center"/>
    </xf>
    <xf numFmtId="0" fontId="12" fillId="0" borderId="0" xfId="0" applyFo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80" fontId="0" fillId="8" borderId="8" xfId="0" applyNumberFormat="1" applyFill="1" applyBorder="1" applyAlignment="1">
      <alignment horizontal="right" vertical="center"/>
    </xf>
    <xf numFmtId="180" fontId="0" fillId="8" borderId="10" xfId="0" applyNumberFormat="1" applyFill="1" applyBorder="1" applyAlignment="1">
      <alignment horizontal="right" vertical="center"/>
    </xf>
    <xf numFmtId="179" fontId="0" fillId="4" borderId="8" xfId="0" applyNumberFormat="1" applyFill="1" applyBorder="1" applyAlignment="1">
      <alignment horizontal="right" vertical="center"/>
    </xf>
    <xf numFmtId="180" fontId="0" fillId="4" borderId="8" xfId="0" applyNumberFormat="1" applyFill="1" applyBorder="1" applyAlignment="1">
      <alignment horizontal="right"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0" fontId="13" fillId="3" borderId="1" xfId="0" applyFont="1" applyFill="1" applyBorder="1" applyAlignment="1">
      <alignment horizontal="right" vertical="center" wrapText="1"/>
    </xf>
    <xf numFmtId="3" fontId="13" fillId="3" borderId="1" xfId="0" applyNumberFormat="1" applyFont="1" applyFill="1" applyBorder="1" applyAlignment="1">
      <alignment horizontal="right" vertical="center" wrapText="1"/>
    </xf>
    <xf numFmtId="3" fontId="13" fillId="3" borderId="1" xfId="0" applyNumberFormat="1" applyFont="1" applyFill="1" applyBorder="1">
      <alignment vertical="center"/>
    </xf>
    <xf numFmtId="4" fontId="14" fillId="3" borderId="1" xfId="0" applyNumberFormat="1" applyFont="1" applyFill="1" applyBorder="1">
      <alignment vertical="center"/>
    </xf>
    <xf numFmtId="3" fontId="15" fillId="3" borderId="1" xfId="0" applyNumberFormat="1" applyFont="1" applyFill="1" applyBorder="1">
      <alignment vertical="center"/>
    </xf>
    <xf numFmtId="0" fontId="0" fillId="5" borderId="17" xfId="0" applyFill="1" applyBorder="1" applyAlignment="1">
      <alignment horizontal="center"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right" vertical="center"/>
    </xf>
    <xf numFmtId="0" fontId="0" fillId="3" borderId="13" xfId="0" applyFill="1" applyBorder="1">
      <alignment vertical="center"/>
    </xf>
    <xf numFmtId="0" fontId="8" fillId="3" borderId="7" xfId="0" applyFont="1" applyFill="1" applyBorder="1">
      <alignment vertical="center"/>
    </xf>
    <xf numFmtId="0" fontId="8" fillId="3" borderId="8" xfId="0" applyFont="1" applyFill="1" applyBorder="1">
      <alignment vertical="center"/>
    </xf>
    <xf numFmtId="0" fontId="13" fillId="3" borderId="8" xfId="0" applyFont="1" applyFill="1" applyBorder="1" applyAlignment="1">
      <alignment horizontal="right" vertical="center" wrapText="1"/>
    </xf>
    <xf numFmtId="0" fontId="8" fillId="3" borderId="18" xfId="0" applyFont="1" applyFill="1" applyBorder="1">
      <alignment vertical="center"/>
    </xf>
    <xf numFmtId="4" fontId="14" fillId="3" borderId="9" xfId="0" applyNumberFormat="1" applyFont="1" applyFill="1" applyBorder="1">
      <alignment vertical="center"/>
    </xf>
    <xf numFmtId="0" fontId="8" fillId="3" borderId="9" xfId="0" applyFont="1" applyFill="1" applyBorder="1">
      <alignment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right" vertical="center"/>
    </xf>
    <xf numFmtId="0" fontId="8" fillId="3" borderId="10" xfId="0" applyFont="1" applyFill="1" applyBorder="1">
      <alignment vertical="center"/>
    </xf>
    <xf numFmtId="3" fontId="16" fillId="0" borderId="0" xfId="0" applyNumberFormat="1" applyFont="1" applyBorder="1" applyAlignment="1">
      <alignment horizontal="center" vertical="center"/>
    </xf>
    <xf numFmtId="0" fontId="8" fillId="3" borderId="0" xfId="0" applyFont="1" applyFill="1" applyBorder="1">
      <alignment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3" borderId="19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right" vertical="center"/>
    </xf>
    <xf numFmtId="0" fontId="0" fillId="3" borderId="20" xfId="0" applyFill="1" applyBorder="1">
      <alignment vertical="center"/>
    </xf>
    <xf numFmtId="0" fontId="0" fillId="5" borderId="19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16" fillId="0" borderId="0" xfId="0" applyFont="1" applyAlignment="1">
      <alignment horizontal="center" vertical="center" wrapText="1"/>
    </xf>
    <xf numFmtId="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 wrapText="1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41" fillId="0" borderId="0" xfId="0" applyFont="1">
      <alignment vertical="center"/>
    </xf>
    <xf numFmtId="0" fontId="43" fillId="12" borderId="11" xfId="1" applyNumberFormat="1" applyFont="1" applyFill="1" applyBorder="1" applyAlignment="1">
      <alignment horizontal="center" vertical="center"/>
    </xf>
    <xf numFmtId="0" fontId="43" fillId="0" borderId="23" xfId="1" applyNumberFormat="1" applyFont="1" applyBorder="1" applyAlignment="1">
      <alignment horizontal="center" vertical="center"/>
    </xf>
    <xf numFmtId="0" fontId="42" fillId="0" borderId="0" xfId="1" applyNumberFormat="1">
      <alignment vertical="center"/>
    </xf>
    <xf numFmtId="0" fontId="43" fillId="13" borderId="7" xfId="1" applyNumberFormat="1" applyFont="1" applyFill="1" applyBorder="1" applyAlignment="1">
      <alignment horizontal="center" vertical="center"/>
    </xf>
    <xf numFmtId="0" fontId="43" fillId="13" borderId="1" xfId="1" applyNumberFormat="1" applyFont="1" applyFill="1" applyBorder="1" applyAlignment="1">
      <alignment horizontal="center" vertical="center"/>
    </xf>
    <xf numFmtId="0" fontId="43" fillId="13" borderId="8" xfId="1" applyNumberFormat="1" applyFont="1" applyFill="1" applyBorder="1" applyAlignment="1">
      <alignment horizontal="center" vertical="center" wrapText="1"/>
    </xf>
    <xf numFmtId="0" fontId="42" fillId="0" borderId="1" xfId="1" applyNumberFormat="1" applyBorder="1" applyAlignment="1">
      <alignment horizontal="center" vertical="center"/>
    </xf>
    <xf numFmtId="0" fontId="42" fillId="0" borderId="8" xfId="1" applyNumberFormat="1" applyBorder="1" applyAlignment="1">
      <alignment vertical="center" wrapText="1"/>
    </xf>
    <xf numFmtId="181" fontId="42" fillId="0" borderId="1" xfId="1" applyNumberFormat="1" applyBorder="1" applyAlignment="1">
      <alignment horizontal="center" vertical="center"/>
    </xf>
    <xf numFmtId="0" fontId="45" fillId="0" borderId="9" xfId="1" applyNumberFormat="1" applyFont="1" applyBorder="1" applyAlignment="1">
      <alignment horizontal="center" vertical="center" wrapText="1"/>
    </xf>
    <xf numFmtId="181" fontId="42" fillId="0" borderId="9" xfId="1" applyNumberFormat="1" applyBorder="1" applyAlignment="1">
      <alignment horizontal="center" vertical="center"/>
    </xf>
    <xf numFmtId="0" fontId="44" fillId="0" borderId="12" xfId="1" applyNumberFormat="1" applyFont="1" applyBorder="1" applyAlignment="1">
      <alignment horizontal="center" vertical="center" wrapText="1"/>
    </xf>
    <xf numFmtId="0" fontId="42" fillId="0" borderId="12" xfId="1" applyNumberFormat="1" applyBorder="1" applyAlignment="1">
      <alignment horizontal="center" vertical="center"/>
    </xf>
    <xf numFmtId="0" fontId="44" fillId="0" borderId="1" xfId="1" applyNumberFormat="1" applyFont="1" applyBorder="1" applyAlignment="1">
      <alignment horizontal="center" vertical="center" wrapText="1"/>
    </xf>
    <xf numFmtId="0" fontId="44" fillId="10" borderId="1" xfId="1" applyNumberFormat="1" applyFont="1" applyFill="1" applyBorder="1" applyAlignment="1">
      <alignment horizontal="center" vertical="center" wrapText="1"/>
    </xf>
    <xf numFmtId="182" fontId="42" fillId="0" borderId="1" xfId="1" applyNumberFormat="1" applyBorder="1" applyAlignment="1">
      <alignment horizontal="center" vertical="center"/>
    </xf>
    <xf numFmtId="0" fontId="42" fillId="0" borderId="8" xfId="1" applyNumberFormat="1" applyFill="1" applyBorder="1" applyAlignment="1">
      <alignment horizontal="center" vertical="center" wrapText="1"/>
    </xf>
    <xf numFmtId="0" fontId="44" fillId="14" borderId="1" xfId="1" applyNumberFormat="1" applyFont="1" applyFill="1" applyBorder="1" applyAlignment="1">
      <alignment horizontal="center" vertical="center" wrapText="1"/>
    </xf>
    <xf numFmtId="0" fontId="42" fillId="0" borderId="1" xfId="1" applyNumberFormat="1" applyFont="1" applyBorder="1" applyAlignment="1">
      <alignment horizontal="center" vertical="center"/>
    </xf>
    <xf numFmtId="0" fontId="44" fillId="0" borderId="6" xfId="1" applyNumberFormat="1" applyFont="1" applyBorder="1" applyAlignment="1">
      <alignment horizontal="left" vertical="center"/>
    </xf>
    <xf numFmtId="0" fontId="42" fillId="0" borderId="6" xfId="1" applyNumberFormat="1" applyBorder="1" applyAlignment="1">
      <alignment horizontal="center" vertical="center"/>
    </xf>
    <xf numFmtId="0" fontId="42" fillId="0" borderId="20" xfId="1" applyNumberFormat="1" applyBorder="1">
      <alignment vertical="center"/>
    </xf>
    <xf numFmtId="0" fontId="44" fillId="0" borderId="1" xfId="1" applyNumberFormat="1" applyFont="1" applyBorder="1" applyAlignment="1">
      <alignment horizontal="left" vertical="center"/>
    </xf>
    <xf numFmtId="0" fontId="42" fillId="0" borderId="8" xfId="1" applyNumberFormat="1" applyBorder="1">
      <alignment vertical="center"/>
    </xf>
    <xf numFmtId="0" fontId="44" fillId="0" borderId="1" xfId="1" applyNumberFormat="1" applyFont="1" applyBorder="1" applyAlignment="1">
      <alignment horizontal="left" vertical="center" wrapText="1"/>
    </xf>
    <xf numFmtId="0" fontId="44" fillId="0" borderId="4" xfId="1" applyNumberFormat="1" applyFont="1" applyBorder="1" applyAlignment="1">
      <alignment horizontal="left" vertical="center"/>
    </xf>
    <xf numFmtId="0" fontId="42" fillId="0" borderId="4" xfId="1" applyNumberFormat="1" applyBorder="1" applyAlignment="1">
      <alignment horizontal="center" vertical="center"/>
    </xf>
    <xf numFmtId="0" fontId="42" fillId="0" borderId="25" xfId="1" applyNumberFormat="1" applyBorder="1">
      <alignment vertical="center"/>
    </xf>
    <xf numFmtId="0" fontId="44" fillId="0" borderId="12" xfId="1" applyNumberFormat="1" applyFont="1" applyBorder="1">
      <alignment vertical="center"/>
    </xf>
    <xf numFmtId="0" fontId="42" fillId="0" borderId="13" xfId="1" applyNumberFormat="1" applyBorder="1">
      <alignment vertical="center"/>
    </xf>
    <xf numFmtId="0" fontId="44" fillId="0" borderId="9" xfId="1" applyNumberFormat="1" applyFont="1" applyBorder="1" applyAlignment="1">
      <alignment horizontal="left" vertical="center"/>
    </xf>
    <xf numFmtId="0" fontId="42" fillId="0" borderId="9" xfId="1" applyNumberFormat="1" applyBorder="1" applyAlignment="1">
      <alignment horizontal="center" vertical="center"/>
    </xf>
    <xf numFmtId="0" fontId="44" fillId="0" borderId="1" xfId="1" applyNumberFormat="1" applyFont="1" applyBorder="1">
      <alignment vertical="center"/>
    </xf>
    <xf numFmtId="0" fontId="44" fillId="0" borderId="9" xfId="1" applyNumberFormat="1" applyFont="1" applyFill="1" applyBorder="1">
      <alignment vertical="center"/>
    </xf>
    <xf numFmtId="0" fontId="42" fillId="0" borderId="10" xfId="1" applyNumberFormat="1" applyBorder="1">
      <alignment vertical="center"/>
    </xf>
    <xf numFmtId="0" fontId="42" fillId="0" borderId="0" xfId="1" applyNumberFormat="1" applyAlignment="1">
      <alignment horizontal="center" vertical="center"/>
    </xf>
    <xf numFmtId="181" fontId="42" fillId="0" borderId="0" xfId="1" applyNumberFormat="1" applyFont="1" applyFill="1" applyBorder="1" applyAlignment="1" applyProtection="1">
      <alignment vertical="center"/>
    </xf>
    <xf numFmtId="0" fontId="42" fillId="8" borderId="0" xfId="1" applyNumberFormat="1" applyFill="1">
      <alignment vertical="center"/>
    </xf>
    <xf numFmtId="181" fontId="42" fillId="8" borderId="0" xfId="1" applyNumberFormat="1" applyFont="1" applyFill="1" applyBorder="1" applyAlignment="1" applyProtection="1">
      <alignment vertical="center"/>
    </xf>
    <xf numFmtId="0" fontId="42" fillId="8" borderId="0" xfId="1" applyNumberFormat="1" applyFont="1" applyFill="1">
      <alignment vertical="center"/>
    </xf>
    <xf numFmtId="181" fontId="42" fillId="0" borderId="0" xfId="1" applyNumberFormat="1">
      <alignment vertical="center"/>
    </xf>
    <xf numFmtId="0" fontId="42" fillId="0" borderId="0" xfId="1" applyNumberFormat="1" applyFont="1">
      <alignment vertical="center"/>
    </xf>
    <xf numFmtId="0" fontId="42" fillId="0" borderId="1" xfId="1" applyNumberFormat="1" applyFont="1" applyFill="1" applyBorder="1" applyAlignment="1" applyProtection="1">
      <alignment vertical="center"/>
    </xf>
    <xf numFmtId="0" fontId="47" fillId="0" borderId="1" xfId="1" applyNumberFormat="1" applyFont="1" applyFill="1" applyBorder="1" applyAlignment="1" applyProtection="1">
      <alignment vertical="center"/>
    </xf>
    <xf numFmtId="0" fontId="42" fillId="0" borderId="1" xfId="1" applyNumberFormat="1" applyFont="1" applyFill="1" applyBorder="1" applyAlignment="1" applyProtection="1">
      <alignment horizontal="center" vertical="center"/>
    </xf>
    <xf numFmtId="182" fontId="42" fillId="0" borderId="1" xfId="1" applyNumberFormat="1" applyFont="1" applyFill="1" applyBorder="1" applyAlignment="1" applyProtection="1">
      <alignment horizontal="center" vertical="center"/>
    </xf>
    <xf numFmtId="9" fontId="42" fillId="0" borderId="1" xfId="1" applyNumberFormat="1" applyFont="1" applyFill="1" applyBorder="1" applyAlignment="1" applyProtection="1">
      <alignment horizontal="center" vertical="center"/>
    </xf>
    <xf numFmtId="9" fontId="42" fillId="0" borderId="0" xfId="1" applyNumberFormat="1" applyFont="1" applyFill="1" applyBorder="1" applyAlignment="1" applyProtection="1">
      <alignment vertical="center"/>
    </xf>
    <xf numFmtId="0" fontId="47" fillId="0" borderId="0" xfId="1" applyNumberFormat="1" applyFont="1">
      <alignment vertical="center"/>
    </xf>
    <xf numFmtId="0" fontId="42" fillId="0" borderId="0" xfId="1" applyNumberFormat="1" applyFont="1" applyFill="1" applyBorder="1" applyAlignment="1" applyProtection="1">
      <alignment vertical="center"/>
    </xf>
    <xf numFmtId="0" fontId="45" fillId="0" borderId="1" xfId="1" applyNumberFormat="1" applyFont="1" applyBorder="1" applyAlignment="1">
      <alignment horizontal="center" vertical="center" wrapText="1"/>
    </xf>
    <xf numFmtId="0" fontId="45" fillId="0" borderId="7" xfId="1" applyNumberFormat="1" applyFont="1" applyBorder="1" applyAlignment="1">
      <alignment horizontal="center" vertical="center"/>
    </xf>
    <xf numFmtId="0" fontId="48" fillId="16" borderId="28" xfId="0" applyFont="1" applyFill="1" applyBorder="1" applyAlignment="1">
      <alignment horizontal="center" vertical="center" wrapText="1"/>
    </xf>
    <xf numFmtId="3" fontId="12" fillId="10" borderId="28" xfId="0" applyNumberFormat="1" applyFont="1" applyFill="1" applyBorder="1" applyAlignment="1">
      <alignment horizontal="right" vertical="center" wrapText="1"/>
    </xf>
    <xf numFmtId="0" fontId="12" fillId="10" borderId="28" xfId="0" applyFont="1" applyFill="1" applyBorder="1" applyAlignment="1">
      <alignment horizontal="right" vertical="center" wrapText="1"/>
    </xf>
    <xf numFmtId="0" fontId="10" fillId="17" borderId="28" xfId="0" applyFont="1" applyFill="1" applyBorder="1" applyAlignment="1">
      <alignment horizontal="right" vertical="center" wrapText="1"/>
    </xf>
    <xf numFmtId="0" fontId="10" fillId="10" borderId="28" xfId="0" applyFont="1" applyFill="1" applyBorder="1" applyAlignment="1">
      <alignment horizontal="right" vertical="center" wrapText="1"/>
    </xf>
    <xf numFmtId="0" fontId="46" fillId="10" borderId="28" xfId="0" applyFont="1" applyFill="1" applyBorder="1" applyAlignment="1">
      <alignment horizontal="right" vertical="center" wrapText="1"/>
    </xf>
    <xf numFmtId="0" fontId="0" fillId="10" borderId="29" xfId="0" applyFill="1" applyBorder="1">
      <alignment vertical="center"/>
    </xf>
    <xf numFmtId="0" fontId="48" fillId="16" borderId="27" xfId="0" applyFont="1" applyFill="1" applyBorder="1" applyAlignment="1">
      <alignment horizontal="center" vertical="center" wrapText="1"/>
    </xf>
    <xf numFmtId="3" fontId="12" fillId="10" borderId="27" xfId="0" applyNumberFormat="1" applyFont="1" applyFill="1" applyBorder="1" applyAlignment="1">
      <alignment horizontal="right" vertical="center" wrapText="1"/>
    </xf>
    <xf numFmtId="0" fontId="0" fillId="10" borderId="30" xfId="0" applyFill="1" applyBorder="1">
      <alignment vertical="center"/>
    </xf>
    <xf numFmtId="0" fontId="0" fillId="15" borderId="0" xfId="0" applyFill="1">
      <alignment vertical="center"/>
    </xf>
    <xf numFmtId="0" fontId="49" fillId="15" borderId="0" xfId="0" applyFont="1" applyFill="1" applyBorder="1">
      <alignment vertical="center"/>
    </xf>
    <xf numFmtId="0" fontId="49" fillId="15" borderId="0" xfId="0" applyFont="1" applyFill="1">
      <alignment vertical="center"/>
    </xf>
    <xf numFmtId="0" fontId="49" fillId="15" borderId="0" xfId="0" applyFont="1" applyFill="1" applyAlignment="1">
      <alignment horizontal="center" vertical="center"/>
    </xf>
    <xf numFmtId="0" fontId="49" fillId="15" borderId="0" xfId="0" applyFont="1" applyFill="1" applyAlignment="1">
      <alignment horizontal="right" vertical="center"/>
    </xf>
    <xf numFmtId="0" fontId="42" fillId="3" borderId="0" xfId="1" applyNumberFormat="1" applyFill="1">
      <alignment vertical="center"/>
    </xf>
    <xf numFmtId="0" fontId="50" fillId="18" borderId="0" xfId="1" applyNumberFormat="1" applyFont="1" applyFill="1">
      <alignment vertical="center"/>
    </xf>
    <xf numFmtId="0" fontId="48" fillId="10" borderId="28" xfId="0" applyFont="1" applyFill="1" applyBorder="1" applyAlignment="1">
      <alignment horizontal="left" vertical="center" wrapText="1"/>
    </xf>
    <xf numFmtId="4" fontId="10" fillId="10" borderId="28" xfId="0" applyNumberFormat="1" applyFont="1" applyFill="1" applyBorder="1" applyAlignment="1">
      <alignment horizontal="right" vertical="center" wrapText="1"/>
    </xf>
    <xf numFmtId="0" fontId="51" fillId="10" borderId="28" xfId="0" applyFont="1" applyFill="1" applyBorder="1" applyAlignment="1">
      <alignment horizontal="left" vertical="center" wrapText="1"/>
    </xf>
    <xf numFmtId="4" fontId="46" fillId="10" borderId="28" xfId="0" applyNumberFormat="1" applyFont="1" applyFill="1" applyBorder="1" applyAlignment="1">
      <alignment horizontal="right" vertical="center" wrapText="1"/>
    </xf>
    <xf numFmtId="3" fontId="10" fillId="10" borderId="28" xfId="0" applyNumberFormat="1" applyFont="1" applyFill="1" applyBorder="1" applyAlignment="1">
      <alignment horizontal="right" vertical="center" wrapText="1"/>
    </xf>
    <xf numFmtId="0" fontId="48" fillId="10" borderId="26" xfId="0" applyFont="1" applyFill="1" applyBorder="1" applyAlignment="1">
      <alignment horizontal="left" vertical="center" wrapText="1"/>
    </xf>
    <xf numFmtId="0" fontId="10" fillId="10" borderId="26" xfId="0" applyFont="1" applyFill="1" applyBorder="1" applyAlignment="1">
      <alignment horizontal="right" vertical="center" wrapText="1"/>
    </xf>
    <xf numFmtId="0" fontId="48" fillId="10" borderId="27" xfId="0" applyFont="1" applyFill="1" applyBorder="1" applyAlignment="1">
      <alignment horizontal="left" vertical="center" wrapText="1"/>
    </xf>
    <xf numFmtId="0" fontId="10" fillId="10" borderId="27" xfId="0" applyFont="1" applyFill="1" applyBorder="1" applyAlignment="1">
      <alignment horizontal="right" vertical="center" wrapText="1"/>
    </xf>
    <xf numFmtId="0" fontId="8" fillId="18" borderId="7" xfId="0" applyFont="1" applyFill="1" applyBorder="1">
      <alignment vertical="center"/>
    </xf>
    <xf numFmtId="0" fontId="51" fillId="10" borderId="27" xfId="0" applyFont="1" applyFill="1" applyBorder="1" applyAlignment="1">
      <alignment horizontal="left" vertical="center" wrapText="1"/>
    </xf>
    <xf numFmtId="0" fontId="44" fillId="0" borderId="1" xfId="1" applyNumberFormat="1" applyFont="1" applyFill="1" applyBorder="1" applyAlignment="1">
      <alignment horizontal="center" vertical="center" wrapText="1"/>
    </xf>
    <xf numFmtId="0" fontId="42" fillId="19" borderId="1" xfId="1" applyNumberFormat="1" applyFill="1" applyBorder="1" applyAlignment="1">
      <alignment horizontal="center" vertical="center"/>
    </xf>
    <xf numFmtId="9" fontId="42" fillId="19" borderId="1" xfId="1" applyNumberFormat="1" applyFill="1" applyBorder="1" applyAlignment="1">
      <alignment horizontal="center" vertical="center"/>
    </xf>
    <xf numFmtId="0" fontId="42" fillId="0" borderId="1" xfId="1" applyNumberFormat="1" applyFill="1" applyBorder="1" applyAlignment="1">
      <alignment horizontal="center" vertical="center"/>
    </xf>
    <xf numFmtId="0" fontId="52" fillId="3" borderId="1" xfId="1" applyNumberFormat="1" applyFont="1" applyFill="1" applyBorder="1" applyAlignment="1">
      <alignment horizontal="center" vertical="center" wrapText="1"/>
    </xf>
    <xf numFmtId="182" fontId="53" fillId="3" borderId="1" xfId="1" applyNumberFormat="1" applyFont="1" applyFill="1" applyBorder="1" applyAlignment="1" applyProtection="1">
      <alignment horizontal="center" vertical="center"/>
    </xf>
    <xf numFmtId="10" fontId="42" fillId="19" borderId="1" xfId="1" applyNumberFormat="1" applyFill="1" applyBorder="1" applyAlignment="1">
      <alignment horizontal="center" vertical="center"/>
    </xf>
    <xf numFmtId="179" fontId="0" fillId="11" borderId="1" xfId="0" applyNumberFormat="1" applyFill="1" applyBorder="1" applyAlignment="1">
      <alignment horizontal="center" vertical="center"/>
    </xf>
    <xf numFmtId="0" fontId="42" fillId="0" borderId="8" xfId="1" applyNumberFormat="1" applyBorder="1" applyAlignment="1">
      <alignment horizontal="left" vertical="center"/>
    </xf>
    <xf numFmtId="179" fontId="0" fillId="20" borderId="1" xfId="0" applyNumberFormat="1" applyFill="1" applyBorder="1" applyAlignment="1">
      <alignment horizontal="center" vertical="center"/>
    </xf>
    <xf numFmtId="179" fontId="0" fillId="22" borderId="1" xfId="0" applyNumberFormat="1" applyFill="1" applyBorder="1" applyAlignment="1">
      <alignment horizontal="center" vertical="center"/>
    </xf>
    <xf numFmtId="179" fontId="0" fillId="21" borderId="1" xfId="0" applyNumberFormat="1" applyFill="1" applyBorder="1" applyAlignment="1">
      <alignment horizontal="center" vertical="center"/>
    </xf>
    <xf numFmtId="179" fontId="0" fillId="19" borderId="1" xfId="0" applyNumberFormat="1" applyFill="1" applyBorder="1" applyAlignment="1">
      <alignment horizontal="center" vertical="center"/>
    </xf>
    <xf numFmtId="0" fontId="44" fillId="14" borderId="9" xfId="1" applyNumberFormat="1" applyFont="1" applyFill="1" applyBorder="1" applyAlignment="1">
      <alignment horizontal="center" vertical="center" wrapText="1"/>
    </xf>
    <xf numFmtId="10" fontId="42" fillId="19" borderId="9" xfId="1" applyNumberFormat="1" applyFill="1" applyBorder="1" applyAlignment="1">
      <alignment horizontal="center" vertical="center"/>
    </xf>
    <xf numFmtId="0" fontId="42" fillId="0" borderId="10" xfId="1" applyNumberForma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79" fontId="0" fillId="11" borderId="12" xfId="0" applyNumberFormat="1" applyFill="1" applyBorder="1" applyAlignment="1">
      <alignment horizontal="center" vertical="center"/>
    </xf>
    <xf numFmtId="179" fontId="0" fillId="19" borderId="9" xfId="0" applyNumberFormat="1" applyFill="1" applyBorder="1" applyAlignment="1">
      <alignment horizontal="center" vertical="center"/>
    </xf>
    <xf numFmtId="0" fontId="42" fillId="0" borderId="10" xfId="1" applyNumberFormat="1" applyBorder="1" applyAlignment="1">
      <alignment horizontal="left" vertical="center"/>
    </xf>
    <xf numFmtId="0" fontId="44" fillId="0" borderId="6" xfId="1" applyNumberFormat="1" applyFont="1" applyFill="1" applyBorder="1">
      <alignment vertical="center"/>
    </xf>
    <xf numFmtId="0" fontId="44" fillId="0" borderId="12" xfId="1" applyNumberFormat="1" applyFont="1" applyBorder="1" applyAlignment="1">
      <alignment horizontal="left" vertical="center"/>
    </xf>
    <xf numFmtId="0" fontId="42" fillId="0" borderId="13" xfId="1" applyNumberFormat="1" applyBorder="1" applyAlignment="1">
      <alignment vertical="center" wrapText="1"/>
    </xf>
    <xf numFmtId="0" fontId="44" fillId="0" borderId="9" xfId="1" applyNumberFormat="1" applyFont="1" applyBorder="1">
      <alignment vertical="center"/>
    </xf>
    <xf numFmtId="0" fontId="45" fillId="0" borderId="1" xfId="1" applyNumberFormat="1" applyFont="1" applyBorder="1" applyAlignment="1">
      <alignment horizontal="center" vertical="center"/>
    </xf>
    <xf numFmtId="0" fontId="42" fillId="3" borderId="0" xfId="1" applyNumberFormat="1" applyFill="1" applyAlignment="1">
      <alignment horizontal="center" vertical="center"/>
    </xf>
    <xf numFmtId="0" fontId="42" fillId="0" borderId="13" xfId="1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17" borderId="27" xfId="0" applyFont="1" applyFill="1" applyBorder="1" applyAlignment="1">
      <alignment horizontal="right" vertical="center" wrapText="1"/>
    </xf>
    <xf numFmtId="179" fontId="0" fillId="0" borderId="1" xfId="0" applyNumberFormat="1" applyBorder="1" applyAlignment="1">
      <alignment horizontal="center" vertical="center"/>
    </xf>
    <xf numFmtId="179" fontId="42" fillId="0" borderId="1" xfId="1" applyNumberFormat="1" applyBorder="1" applyAlignment="1">
      <alignment horizontal="center" vertical="center"/>
    </xf>
    <xf numFmtId="179" fontId="42" fillId="0" borderId="1" xfId="1" applyNumberFormat="1" applyBorder="1">
      <alignment vertical="center"/>
    </xf>
    <xf numFmtId="179" fontId="42" fillId="0" borderId="0" xfId="1" applyNumberFormat="1">
      <alignment vertical="center"/>
    </xf>
    <xf numFmtId="179" fontId="0" fillId="0" borderId="1" xfId="0" applyNumberFormat="1" applyBorder="1" applyAlignment="1">
      <alignment horizontal="center" vertical="center"/>
    </xf>
    <xf numFmtId="0" fontId="46" fillId="10" borderId="27" xfId="0" applyFont="1" applyFill="1" applyBorder="1" applyAlignment="1">
      <alignment horizontal="right" vertical="center" wrapText="1"/>
    </xf>
    <xf numFmtId="3" fontId="55" fillId="10" borderId="32" xfId="0" applyNumberFormat="1" applyFont="1" applyFill="1" applyBorder="1" applyAlignment="1">
      <alignment horizontal="right" vertical="center" wrapText="1"/>
    </xf>
    <xf numFmtId="180" fontId="55" fillId="10" borderId="32" xfId="0" applyNumberFormat="1" applyFont="1" applyFill="1" applyBorder="1" applyAlignment="1">
      <alignment horizontal="right" vertical="center" wrapText="1"/>
    </xf>
    <xf numFmtId="180" fontId="55" fillId="17" borderId="32" xfId="0" applyNumberFormat="1" applyFont="1" applyFill="1" applyBorder="1" applyAlignment="1">
      <alignment horizontal="right" vertical="center" wrapText="1"/>
    </xf>
    <xf numFmtId="0" fontId="55" fillId="10" borderId="32" xfId="0" applyFont="1" applyFill="1" applyBorder="1" applyAlignment="1">
      <alignment horizontal="right" vertical="center" wrapText="1"/>
    </xf>
    <xf numFmtId="3" fontId="55" fillId="0" borderId="0" xfId="0" applyNumberFormat="1" applyFont="1">
      <alignment vertical="center"/>
    </xf>
    <xf numFmtId="0" fontId="56" fillId="0" borderId="0" xfId="0" applyFont="1">
      <alignment vertical="center"/>
    </xf>
    <xf numFmtId="0" fontId="54" fillId="0" borderId="0" xfId="0" applyFont="1">
      <alignment vertical="center"/>
    </xf>
    <xf numFmtId="3" fontId="57" fillId="0" borderId="0" xfId="0" applyNumberFormat="1" applyFont="1">
      <alignment vertical="center"/>
    </xf>
    <xf numFmtId="18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4" fillId="0" borderId="23" xfId="1" applyNumberFormat="1" applyFont="1" applyBorder="1" applyAlignment="1">
      <alignment horizontal="left" vertical="center"/>
    </xf>
    <xf numFmtId="0" fontId="44" fillId="0" borderId="24" xfId="1" applyNumberFormat="1" applyFont="1" applyBorder="1" applyAlignment="1">
      <alignment horizontal="left" vertical="center"/>
    </xf>
    <xf numFmtId="0" fontId="45" fillId="0" borderId="7" xfId="1" applyNumberFormat="1" applyFont="1" applyBorder="1" applyAlignment="1">
      <alignment horizontal="center" vertical="center"/>
    </xf>
    <xf numFmtId="0" fontId="45" fillId="0" borderId="18" xfId="1" applyNumberFormat="1" applyFont="1" applyBorder="1" applyAlignment="1">
      <alignment horizontal="center" vertical="center"/>
    </xf>
    <xf numFmtId="0" fontId="45" fillId="0" borderId="1" xfId="1" applyNumberFormat="1" applyFont="1" applyBorder="1" applyAlignment="1">
      <alignment horizontal="center" vertical="center" wrapText="1"/>
    </xf>
    <xf numFmtId="0" fontId="45" fillId="0" borderId="9" xfId="1" applyNumberFormat="1" applyFont="1" applyBorder="1" applyAlignment="1">
      <alignment horizontal="center" vertical="center"/>
    </xf>
    <xf numFmtId="0" fontId="42" fillId="0" borderId="8" xfId="1" applyNumberFormat="1" applyBorder="1" applyAlignment="1">
      <alignment horizontal="center" vertical="center" wrapText="1"/>
    </xf>
    <xf numFmtId="0" fontId="42" fillId="0" borderId="10" xfId="1" applyNumberFormat="1" applyBorder="1" applyAlignment="1">
      <alignment horizontal="center" vertical="center" wrapText="1"/>
    </xf>
    <xf numFmtId="0" fontId="45" fillId="0" borderId="11" xfId="1" applyNumberFormat="1" applyFont="1" applyFill="1" applyBorder="1" applyAlignment="1">
      <alignment horizontal="center" vertical="center"/>
    </xf>
    <xf numFmtId="0" fontId="45" fillId="0" borderId="7" xfId="1" applyNumberFormat="1" applyFont="1" applyFill="1" applyBorder="1" applyAlignment="1">
      <alignment horizontal="center" vertical="center"/>
    </xf>
    <xf numFmtId="0" fontId="45" fillId="0" borderId="18" xfId="1" applyNumberFormat="1" applyFont="1" applyFill="1" applyBorder="1" applyAlignment="1">
      <alignment horizontal="center" vertical="center"/>
    </xf>
    <xf numFmtId="0" fontId="45" fillId="0" borderId="12" xfId="1" applyNumberFormat="1" applyFont="1" applyBorder="1" applyAlignment="1">
      <alignment horizontal="center" vertical="center" wrapText="1"/>
    </xf>
    <xf numFmtId="0" fontId="45" fillId="0" borderId="9" xfId="1" applyNumberFormat="1" applyFont="1" applyBorder="1" applyAlignment="1">
      <alignment horizontal="center" vertical="center" wrapText="1"/>
    </xf>
    <xf numFmtId="0" fontId="42" fillId="0" borderId="13" xfId="1" applyNumberFormat="1" applyFill="1" applyBorder="1" applyAlignment="1">
      <alignment horizontal="center" vertical="center" wrapText="1"/>
    </xf>
    <xf numFmtId="0" fontId="42" fillId="0" borderId="8" xfId="1" applyNumberFormat="1" applyFill="1" applyBorder="1" applyAlignment="1">
      <alignment horizontal="center" vertical="center" wrapText="1"/>
    </xf>
    <xf numFmtId="0" fontId="45" fillId="0" borderId="11" xfId="1" applyNumberFormat="1" applyFont="1" applyBorder="1" applyAlignment="1">
      <alignment horizontal="center" vertical="center"/>
    </xf>
    <xf numFmtId="0" fontId="45" fillId="0" borderId="19" xfId="1" applyNumberFormat="1" applyFont="1" applyBorder="1" applyAlignment="1">
      <alignment horizontal="center" vertical="center" wrapText="1"/>
    </xf>
    <xf numFmtId="0" fontId="45" fillId="0" borderId="6" xfId="1" applyNumberFormat="1" applyFont="1" applyBorder="1" applyAlignment="1">
      <alignment horizontal="center" vertical="center" wrapText="1"/>
    </xf>
    <xf numFmtId="0" fontId="45" fillId="0" borderId="7" xfId="1" applyNumberFormat="1" applyFont="1" applyBorder="1" applyAlignment="1">
      <alignment horizontal="center" vertical="center" wrapText="1"/>
    </xf>
    <xf numFmtId="0" fontId="45" fillId="0" borderId="14" xfId="1" applyNumberFormat="1" applyFont="1" applyBorder="1" applyAlignment="1">
      <alignment horizontal="center" vertical="center" wrapText="1"/>
    </xf>
    <xf numFmtId="0" fontId="45" fillId="0" borderId="4" xfId="1" applyNumberFormat="1" applyFont="1" applyBorder="1" applyAlignment="1">
      <alignment horizontal="center" vertical="center" wrapText="1"/>
    </xf>
    <xf numFmtId="0" fontId="45" fillId="0" borderId="1" xfId="1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45" fillId="0" borderId="1" xfId="1" applyNumberFormat="1" applyFont="1" applyFill="1" applyBorder="1" applyAlignment="1">
      <alignment horizontal="center" vertical="center"/>
    </xf>
    <xf numFmtId="179" fontId="45" fillId="0" borderId="1" xfId="1" applyNumberFormat="1" applyFont="1" applyBorder="1" applyAlignment="1">
      <alignment horizontal="center" vertical="center"/>
    </xf>
    <xf numFmtId="0" fontId="42" fillId="3" borderId="0" xfId="1" applyNumberFormat="1" applyFill="1" applyAlignment="1">
      <alignment horizontal="center" vertical="center" wrapText="1"/>
    </xf>
    <xf numFmtId="0" fontId="42" fillId="3" borderId="0" xfId="1" applyNumberFormat="1" applyFill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49" fillId="15" borderId="3" xfId="0" applyFont="1" applyFill="1" applyBorder="1" applyAlignment="1">
      <alignment horizontal="center" vertical="center"/>
    </xf>
    <xf numFmtId="0" fontId="49" fillId="15" borderId="21" xfId="0" applyFont="1" applyFill="1" applyBorder="1" applyAlignment="1">
      <alignment horizontal="center" vertical="center"/>
    </xf>
    <xf numFmtId="0" fontId="49" fillId="15" borderId="3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180" fontId="0" fillId="0" borderId="4" xfId="0" applyNumberForma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180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27" fillId="0" borderId="3" xfId="0" applyFont="1" applyBorder="1" applyAlignment="1">
      <alignment horizontal="left" vertical="center"/>
    </xf>
    <xf numFmtId="0" fontId="27" fillId="0" borderId="21" xfId="0" applyFont="1" applyBorder="1" applyAlignment="1">
      <alignment horizontal="left" vertical="center"/>
    </xf>
    <xf numFmtId="0" fontId="27" fillId="0" borderId="22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19050</xdr:rowOff>
    </xdr:from>
    <xdr:to>
      <xdr:col>7</xdr:col>
      <xdr:colOff>638175</xdr:colOff>
      <xdr:row>2</xdr:row>
      <xdr:rowOff>190499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543550" y="647700"/>
          <a:ext cx="1266825" cy="38099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매수한다</a:t>
          </a:r>
        </a:p>
      </xdr:txBody>
    </xdr:sp>
    <xdr:clientData/>
  </xdr:twoCellAnchor>
  <xdr:twoCellAnchor>
    <xdr:from>
      <xdr:col>5</xdr:col>
      <xdr:colOff>38100</xdr:colOff>
      <xdr:row>3</xdr:row>
      <xdr:rowOff>200025</xdr:rowOff>
    </xdr:from>
    <xdr:to>
      <xdr:col>8</xdr:col>
      <xdr:colOff>628650</xdr:colOff>
      <xdr:row>5</xdr:row>
      <xdr:rowOff>161924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4838700" y="1247775"/>
          <a:ext cx="2647950" cy="38099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6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(S)</a:t>
          </a:r>
          <a:r>
            <a:rPr lang="ko-KR" altLang="en-US" sz="1600" b="1" baseline="0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매수가</a:t>
          </a:r>
          <a:r>
            <a:rPr lang="ko-KR" altLang="en-US" sz="16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보다 현재가가 높은가</a:t>
          </a:r>
          <a:r>
            <a:rPr lang="en-US" altLang="ko-KR" sz="16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?</a:t>
          </a:r>
        </a:p>
        <a:p>
          <a:pPr algn="ctr"/>
          <a:endParaRPr lang="ko-KR" altLang="en-US" sz="1400" b="1"/>
        </a:p>
      </xdr:txBody>
    </xdr:sp>
    <xdr:clientData/>
  </xdr:twoCellAnchor>
  <xdr:twoCellAnchor>
    <xdr:from>
      <xdr:col>6</xdr:col>
      <xdr:colOff>676275</xdr:colOff>
      <xdr:row>2</xdr:row>
      <xdr:rowOff>200024</xdr:rowOff>
    </xdr:from>
    <xdr:to>
      <xdr:col>7</xdr:col>
      <xdr:colOff>0</xdr:colOff>
      <xdr:row>3</xdr:row>
      <xdr:rowOff>200025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endCxn id="11" idx="0"/>
        </xdr:cNvCxnSpPr>
      </xdr:nvCxnSpPr>
      <xdr:spPr>
        <a:xfrm flipH="1">
          <a:off x="6162675" y="1038224"/>
          <a:ext cx="9525" cy="209551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5</xdr:row>
      <xdr:rowOff>161924</xdr:rowOff>
    </xdr:from>
    <xdr:to>
      <xdr:col>8</xdr:col>
      <xdr:colOff>142875</xdr:colOff>
      <xdr:row>8</xdr:row>
      <xdr:rowOff>9525</xdr:rowOff>
    </xdr:to>
    <xdr:grpSp>
      <xdr:nvGrpSpPr>
        <xdr:cNvPr id="21" name="그룹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pSpPr/>
      </xdr:nvGrpSpPr>
      <xdr:grpSpPr>
        <a:xfrm>
          <a:off x="3924300" y="1396364"/>
          <a:ext cx="1583055" cy="510541"/>
          <a:chOff x="5372100" y="1628774"/>
          <a:chExt cx="1628775" cy="476251"/>
        </a:xfrm>
      </xdr:grpSpPr>
      <xdr:cxnSp macro="">
        <xdr:nvCxnSpPr>
          <xdr:cNvPr id="5" name="직선 화살표 연결선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>
            <a:stCxn id="11" idx="2"/>
          </xdr:cNvCxnSpPr>
        </xdr:nvCxnSpPr>
        <xdr:spPr>
          <a:xfrm flipH="1">
            <a:off x="5495925" y="1628774"/>
            <a:ext cx="666750" cy="466726"/>
          </a:xfrm>
          <a:prstGeom prst="straightConnector1">
            <a:avLst/>
          </a:prstGeom>
          <a:ln w="28575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직선 화살표 연결선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CxnSpPr>
            <a:stCxn id="11" idx="2"/>
          </xdr:cNvCxnSpPr>
        </xdr:nvCxnSpPr>
        <xdr:spPr>
          <a:xfrm>
            <a:off x="6162675" y="1628774"/>
            <a:ext cx="685800" cy="476251"/>
          </a:xfrm>
          <a:prstGeom prst="straightConnector1">
            <a:avLst/>
          </a:prstGeom>
          <a:ln w="28575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 txBox="1"/>
        </xdr:nvSpPr>
        <xdr:spPr>
          <a:xfrm>
            <a:off x="5372100" y="1666875"/>
            <a:ext cx="504825" cy="36195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600"/>
              <a:t>Yes</a:t>
            </a:r>
            <a:endParaRPr lang="ko-KR" altLang="en-US" sz="1600"/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 txBox="1"/>
        </xdr:nvSpPr>
        <xdr:spPr>
          <a:xfrm>
            <a:off x="6496050" y="1666875"/>
            <a:ext cx="504825" cy="36195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600"/>
              <a:t>No</a:t>
            </a:r>
            <a:endParaRPr lang="ko-KR" altLang="en-US" sz="1600"/>
          </a:p>
        </xdr:txBody>
      </xdr:sp>
    </xdr:grpSp>
    <xdr:clientData/>
  </xdr:twoCellAnchor>
  <xdr:twoCellAnchor>
    <xdr:from>
      <xdr:col>4</xdr:col>
      <xdr:colOff>342900</xdr:colOff>
      <xdr:row>8</xdr:row>
      <xdr:rowOff>28575</xdr:rowOff>
    </xdr:from>
    <xdr:to>
      <xdr:col>6</xdr:col>
      <xdr:colOff>485775</xdr:colOff>
      <xdr:row>9</xdr:row>
      <xdr:rowOff>200024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4457700" y="2124075"/>
          <a:ext cx="1514475" cy="38099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나스닥 </a:t>
          </a:r>
          <a:r>
            <a:rPr lang="en-US" altLang="ko-KR" sz="16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-3% </a:t>
          </a:r>
          <a:r>
            <a:rPr lang="ko-KR" altLang="en-US" sz="16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인가</a:t>
          </a:r>
          <a:r>
            <a:rPr lang="en-US" altLang="ko-KR" sz="16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?</a:t>
          </a:r>
        </a:p>
      </xdr:txBody>
    </xdr:sp>
    <xdr:clientData/>
  </xdr:twoCellAnchor>
  <xdr:twoCellAnchor>
    <xdr:from>
      <xdr:col>4</xdr:col>
      <xdr:colOff>323850</xdr:colOff>
      <xdr:row>9</xdr:row>
      <xdr:rowOff>209549</xdr:rowOff>
    </xdr:from>
    <xdr:to>
      <xdr:col>6</xdr:col>
      <xdr:colOff>581025</xdr:colOff>
      <xdr:row>12</xdr:row>
      <xdr:rowOff>57150</xdr:rowOff>
    </xdr:to>
    <xdr:grpSp>
      <xdr:nvGrpSpPr>
        <xdr:cNvPr id="22" name="그룹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3006090" y="2327909"/>
          <a:ext cx="1598295" cy="510541"/>
          <a:chOff x="5372100" y="1628774"/>
          <a:chExt cx="1628775" cy="476251"/>
        </a:xfrm>
      </xdr:grpSpPr>
      <xdr:cxnSp macro="">
        <xdr:nvCxnSpPr>
          <xdr:cNvPr id="23" name="직선 화살표 연결선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CxnSpPr/>
        </xdr:nvCxnSpPr>
        <xdr:spPr>
          <a:xfrm flipH="1">
            <a:off x="5495925" y="1628774"/>
            <a:ext cx="666750" cy="466726"/>
          </a:xfrm>
          <a:prstGeom prst="straightConnector1">
            <a:avLst/>
          </a:prstGeom>
          <a:ln w="28575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직선 화살표 연결선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CxnSpPr/>
        </xdr:nvCxnSpPr>
        <xdr:spPr>
          <a:xfrm>
            <a:off x="6162675" y="1628774"/>
            <a:ext cx="685800" cy="476251"/>
          </a:xfrm>
          <a:prstGeom prst="straightConnector1">
            <a:avLst/>
          </a:prstGeom>
          <a:ln w="28575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 txBox="1"/>
        </xdr:nvSpPr>
        <xdr:spPr>
          <a:xfrm>
            <a:off x="5372100" y="1666875"/>
            <a:ext cx="504825" cy="36195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600"/>
              <a:t>Yes</a:t>
            </a:r>
            <a:endParaRPr lang="ko-KR" altLang="en-US" sz="16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 txBox="1"/>
        </xdr:nvSpPr>
        <xdr:spPr>
          <a:xfrm>
            <a:off x="6496050" y="1666875"/>
            <a:ext cx="504825" cy="36195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600"/>
              <a:t>No</a:t>
            </a:r>
            <a:endParaRPr lang="ko-KR" altLang="en-US" sz="1600"/>
          </a:p>
        </xdr:txBody>
      </xdr:sp>
    </xdr:grpSp>
    <xdr:clientData/>
  </xdr:twoCellAnchor>
  <xdr:twoCellAnchor>
    <xdr:from>
      <xdr:col>2</xdr:col>
      <xdr:colOff>285750</xdr:colOff>
      <xdr:row>12</xdr:row>
      <xdr:rowOff>66675</xdr:rowOff>
    </xdr:from>
    <xdr:to>
      <xdr:col>5</xdr:col>
      <xdr:colOff>381001</xdr:colOff>
      <xdr:row>14</xdr:row>
      <xdr:rowOff>28575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657350" y="2705100"/>
          <a:ext cx="2152651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 b="1">
              <a:solidFill>
                <a:srgbClr val="0070C0"/>
              </a:solidFill>
              <a:latin typeface="배달의민족 주아" panose="02020603020101020101" pitchFamily="18" charset="-127"/>
              <a:ea typeface="배달의민족 주아" panose="02020603020101020101" pitchFamily="18" charset="-127"/>
            </a:rPr>
            <a:t>주식의 </a:t>
          </a:r>
          <a:r>
            <a:rPr lang="en-US" altLang="ko-KR" sz="1600" b="1">
              <a:solidFill>
                <a:srgbClr val="0070C0"/>
              </a:solidFill>
              <a:latin typeface="배달의민족 주아" panose="02020603020101020101" pitchFamily="18" charset="-127"/>
              <a:ea typeface="배달의민족 주아" panose="02020603020101020101" pitchFamily="18" charset="-127"/>
            </a:rPr>
            <a:t>50%</a:t>
          </a:r>
          <a:r>
            <a:rPr lang="ko-KR" altLang="en-US" sz="1600" b="1">
              <a:solidFill>
                <a:srgbClr val="0070C0"/>
              </a:solidFill>
              <a:latin typeface="배달의민족 주아" panose="02020603020101020101" pitchFamily="18" charset="-127"/>
              <a:ea typeface="배달의민족 주아" panose="02020603020101020101" pitchFamily="18" charset="-127"/>
            </a:rPr>
            <a:t>를 매도한다</a:t>
          </a:r>
          <a:endParaRPr lang="en-US" altLang="ko-KR" sz="1600" b="1">
            <a:solidFill>
              <a:srgbClr val="0070C0"/>
            </a:solidFill>
            <a:latin typeface="배달의민족 주아" panose="02020603020101020101" pitchFamily="18" charset="-127"/>
            <a:ea typeface="배달의민족 주아" panose="02020603020101020101" pitchFamily="18" charset="-127"/>
          </a:endParaRPr>
        </a:p>
      </xdr:txBody>
    </xdr:sp>
    <xdr:clientData/>
  </xdr:twoCellAnchor>
  <xdr:twoCellAnchor>
    <xdr:from>
      <xdr:col>4</xdr:col>
      <xdr:colOff>485775</xdr:colOff>
      <xdr:row>14</xdr:row>
      <xdr:rowOff>47625</xdr:rowOff>
    </xdr:from>
    <xdr:to>
      <xdr:col>4</xdr:col>
      <xdr:colOff>495300</xdr:colOff>
      <xdr:row>19</xdr:row>
      <xdr:rowOff>19050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3228975" y="3105150"/>
          <a:ext cx="9525" cy="1019175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533399</xdr:colOff>
      <xdr:row>19</xdr:row>
      <xdr:rowOff>28575</xdr:rowOff>
    </xdr:from>
    <xdr:to>
      <xdr:col>5</xdr:col>
      <xdr:colOff>495300</xdr:colOff>
      <xdr:row>20</xdr:row>
      <xdr:rowOff>200024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2590799" y="3800475"/>
          <a:ext cx="2705101" cy="38099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이익을 산출하고 </a:t>
          </a:r>
          <a:r>
            <a:rPr lang="en-US" altLang="ko-KR" sz="16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A</a:t>
          </a:r>
          <a:r>
            <a:rPr lang="ko-KR" altLang="en-US" sz="16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로 돌아간다</a:t>
          </a:r>
          <a:endParaRPr lang="en-US" altLang="ko-KR" sz="1600" b="1">
            <a:latin typeface="배달의민족 주아" panose="02020603020101020101" pitchFamily="18" charset="-127"/>
            <a:ea typeface="배달의민족 주아" panose="02020603020101020101" pitchFamily="18" charset="-127"/>
          </a:endParaRPr>
        </a:p>
      </xdr:txBody>
    </xdr:sp>
    <xdr:clientData/>
  </xdr:twoCellAnchor>
  <xdr:twoCellAnchor>
    <xdr:from>
      <xdr:col>7</xdr:col>
      <xdr:colOff>542925</xdr:colOff>
      <xdr:row>8</xdr:row>
      <xdr:rowOff>9525</xdr:rowOff>
    </xdr:from>
    <xdr:to>
      <xdr:col>11</xdr:col>
      <xdr:colOff>295274</xdr:colOff>
      <xdr:row>9</xdr:row>
      <xdr:rowOff>180974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6715125" y="2105025"/>
          <a:ext cx="2495549" cy="38099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6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(A)</a:t>
          </a:r>
          <a:r>
            <a:rPr lang="ko-KR" altLang="en-US" sz="16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추가 매수할 자금이 있는가</a:t>
          </a:r>
          <a:r>
            <a:rPr lang="en-US" altLang="ko-KR" sz="16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?</a:t>
          </a:r>
        </a:p>
      </xdr:txBody>
    </xdr:sp>
    <xdr:clientData/>
  </xdr:twoCellAnchor>
  <xdr:twoCellAnchor>
    <xdr:from>
      <xdr:col>8</xdr:col>
      <xdr:colOff>628650</xdr:colOff>
      <xdr:row>9</xdr:row>
      <xdr:rowOff>200024</xdr:rowOff>
    </xdr:from>
    <xdr:to>
      <xdr:col>11</xdr:col>
      <xdr:colOff>200025</xdr:colOff>
      <xdr:row>12</xdr:row>
      <xdr:rowOff>47625</xdr:rowOff>
    </xdr:to>
    <xdr:grpSp>
      <xdr:nvGrpSpPr>
        <xdr:cNvPr id="36" name="그룹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pSpPr/>
      </xdr:nvGrpSpPr>
      <xdr:grpSpPr>
        <a:xfrm>
          <a:off x="5993130" y="2318384"/>
          <a:ext cx="1583055" cy="510541"/>
          <a:chOff x="5372100" y="1628774"/>
          <a:chExt cx="1628775" cy="476251"/>
        </a:xfrm>
      </xdr:grpSpPr>
      <xdr:cxnSp macro="">
        <xdr:nvCxnSpPr>
          <xdr:cNvPr id="37" name="직선 화살표 연결선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CxnSpPr/>
        </xdr:nvCxnSpPr>
        <xdr:spPr>
          <a:xfrm flipH="1">
            <a:off x="5495925" y="1628774"/>
            <a:ext cx="666750" cy="466726"/>
          </a:xfrm>
          <a:prstGeom prst="straightConnector1">
            <a:avLst/>
          </a:prstGeom>
          <a:ln w="28575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직선 화살표 연결선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CxnSpPr/>
        </xdr:nvCxnSpPr>
        <xdr:spPr>
          <a:xfrm>
            <a:off x="6162675" y="1628774"/>
            <a:ext cx="685800" cy="476251"/>
          </a:xfrm>
          <a:prstGeom prst="straightConnector1">
            <a:avLst/>
          </a:prstGeom>
          <a:ln w="28575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 txBox="1"/>
        </xdr:nvSpPr>
        <xdr:spPr>
          <a:xfrm>
            <a:off x="5372100" y="1666875"/>
            <a:ext cx="504825" cy="36195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600"/>
              <a:t>Yes</a:t>
            </a:r>
            <a:endParaRPr lang="ko-KR" altLang="en-US" sz="1600"/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 txBox="1"/>
        </xdr:nvSpPr>
        <xdr:spPr>
          <a:xfrm>
            <a:off x="6496050" y="1666875"/>
            <a:ext cx="504825" cy="36195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600"/>
              <a:t>No</a:t>
            </a:r>
            <a:endParaRPr lang="ko-KR" altLang="en-US" sz="1600"/>
          </a:p>
        </xdr:txBody>
      </xdr:sp>
    </xdr:grpSp>
    <xdr:clientData/>
  </xdr:twoCellAnchor>
  <xdr:twoCellAnchor>
    <xdr:from>
      <xdr:col>5</xdr:col>
      <xdr:colOff>561976</xdr:colOff>
      <xdr:row>12</xdr:row>
      <xdr:rowOff>66675</xdr:rowOff>
    </xdr:from>
    <xdr:to>
      <xdr:col>7</xdr:col>
      <xdr:colOff>295276</xdr:colOff>
      <xdr:row>15</xdr:row>
      <xdr:rowOff>43296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5350453" y="2976130"/>
          <a:ext cx="1101437" cy="6000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4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보유하고 </a:t>
          </a:r>
          <a:r>
            <a:rPr lang="en-US" altLang="ko-KR" sz="14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S</a:t>
          </a:r>
          <a:r>
            <a:rPr lang="ko-KR" altLang="en-US" sz="14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로 돌아간다</a:t>
          </a:r>
          <a:endParaRPr lang="en-US" altLang="ko-KR" sz="1400" b="1">
            <a:latin typeface="배달의민족 주아" panose="02020603020101020101" pitchFamily="18" charset="-127"/>
            <a:ea typeface="배달의민족 주아" panose="02020603020101020101" pitchFamily="18" charset="-127"/>
          </a:endParaRPr>
        </a:p>
      </xdr:txBody>
    </xdr:sp>
    <xdr:clientData/>
  </xdr:twoCellAnchor>
  <xdr:twoCellAnchor>
    <xdr:from>
      <xdr:col>8</xdr:col>
      <xdr:colOff>123826</xdr:colOff>
      <xdr:row>12</xdr:row>
      <xdr:rowOff>57150</xdr:rowOff>
    </xdr:from>
    <xdr:to>
      <xdr:col>9</xdr:col>
      <xdr:colOff>600076</xdr:colOff>
      <xdr:row>16</xdr:row>
      <xdr:rowOff>171450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5610226" y="2695575"/>
          <a:ext cx="1162050" cy="9525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4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해당 자금은 신규자금인가</a:t>
          </a:r>
          <a:r>
            <a:rPr lang="en-US" altLang="ko-KR" sz="14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? </a:t>
          </a:r>
          <a:r>
            <a:rPr lang="ko-KR" altLang="en-US" sz="14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매도자금인가</a:t>
          </a:r>
          <a:r>
            <a:rPr lang="en-US" altLang="ko-KR" sz="14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?</a:t>
          </a:r>
        </a:p>
      </xdr:txBody>
    </xdr:sp>
    <xdr:clientData/>
  </xdr:twoCellAnchor>
  <xdr:twoCellAnchor>
    <xdr:from>
      <xdr:col>7</xdr:col>
      <xdr:colOff>581025</xdr:colOff>
      <xdr:row>16</xdr:row>
      <xdr:rowOff>209549</xdr:rowOff>
    </xdr:from>
    <xdr:to>
      <xdr:col>10</xdr:col>
      <xdr:colOff>152400</xdr:colOff>
      <xdr:row>19</xdr:row>
      <xdr:rowOff>57150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5274945" y="3874769"/>
          <a:ext cx="1583055" cy="510541"/>
          <a:chOff x="5372100" y="1628774"/>
          <a:chExt cx="1628775" cy="476251"/>
        </a:xfrm>
      </xdr:grpSpPr>
      <xdr:cxnSp macro="">
        <xdr:nvCxnSpPr>
          <xdr:cNvPr id="50" name="직선 화살표 연결선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CxnSpPr/>
        </xdr:nvCxnSpPr>
        <xdr:spPr>
          <a:xfrm flipH="1">
            <a:off x="5495925" y="1628774"/>
            <a:ext cx="666750" cy="466726"/>
          </a:xfrm>
          <a:prstGeom prst="straightConnector1">
            <a:avLst/>
          </a:prstGeom>
          <a:ln w="28575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직선 화살표 연결선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CxnSpPr/>
        </xdr:nvCxnSpPr>
        <xdr:spPr>
          <a:xfrm>
            <a:off x="6162675" y="1628774"/>
            <a:ext cx="685800" cy="476251"/>
          </a:xfrm>
          <a:prstGeom prst="straightConnector1">
            <a:avLst/>
          </a:prstGeom>
          <a:ln w="28575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TextBox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 txBox="1"/>
        </xdr:nvSpPr>
        <xdr:spPr>
          <a:xfrm>
            <a:off x="5372100" y="1666875"/>
            <a:ext cx="504825" cy="36195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ko-KR" altLang="en-US" sz="1400">
                <a:latin typeface="배달의민족 주아" panose="02020603020101020101" pitchFamily="18" charset="-127"/>
                <a:ea typeface="배달의민족 주아" panose="02020603020101020101" pitchFamily="18" charset="-127"/>
              </a:rPr>
              <a:t>신규</a:t>
            </a:r>
          </a:p>
        </xdr:txBody>
      </xdr:sp>
      <xdr:sp macro="" textlink="">
        <xdr:nvSpPr>
          <xdr:cNvPr id="53" name="TextBox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 txBox="1"/>
        </xdr:nvSpPr>
        <xdr:spPr>
          <a:xfrm>
            <a:off x="6496050" y="1666875"/>
            <a:ext cx="504825" cy="36195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ko-KR" altLang="en-US" sz="1400">
                <a:latin typeface="배달의민족 주아" panose="02020603020101020101" pitchFamily="18" charset="-127"/>
                <a:ea typeface="배달의민족 주아" panose="02020603020101020101" pitchFamily="18" charset="-127"/>
              </a:rPr>
              <a:t>매도</a:t>
            </a:r>
          </a:p>
        </xdr:txBody>
      </xdr:sp>
    </xdr:grpSp>
    <xdr:clientData/>
  </xdr:twoCellAnchor>
  <xdr:twoCellAnchor>
    <xdr:from>
      <xdr:col>10</xdr:col>
      <xdr:colOff>161926</xdr:colOff>
      <xdr:row>12</xdr:row>
      <xdr:rowOff>66676</xdr:rowOff>
    </xdr:from>
    <xdr:to>
      <xdr:col>11</xdr:col>
      <xdr:colOff>581026</xdr:colOff>
      <xdr:row>15</xdr:row>
      <xdr:rowOff>95250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8370744" y="2976131"/>
          <a:ext cx="1103168" cy="65202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4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보유하고 </a:t>
          </a:r>
          <a:r>
            <a:rPr lang="en-US" altLang="ko-KR" sz="14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S</a:t>
          </a:r>
          <a:r>
            <a:rPr lang="ko-KR" altLang="en-US" sz="14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로 돌아간다</a:t>
          </a:r>
          <a:endParaRPr lang="en-US" altLang="ko-KR" sz="1400" b="1">
            <a:latin typeface="배달의민족 주아" panose="02020603020101020101" pitchFamily="18" charset="-127"/>
            <a:ea typeface="배달의민족 주아" panose="02020603020101020101" pitchFamily="18" charset="-127"/>
          </a:endParaRPr>
        </a:p>
      </xdr:txBody>
    </xdr:sp>
    <xdr:clientData/>
  </xdr:twoCellAnchor>
  <xdr:twoCellAnchor>
    <xdr:from>
      <xdr:col>7</xdr:col>
      <xdr:colOff>152401</xdr:colOff>
      <xdr:row>19</xdr:row>
      <xdr:rowOff>104775</xdr:rowOff>
    </xdr:from>
    <xdr:to>
      <xdr:col>8</xdr:col>
      <xdr:colOff>571501</xdr:colOff>
      <xdr:row>22</xdr:row>
      <xdr:rowOff>107373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4953001" y="4210050"/>
          <a:ext cx="1104900" cy="63124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4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매수하고 </a:t>
          </a:r>
          <a:r>
            <a:rPr lang="en-US" altLang="ko-KR" sz="14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S</a:t>
          </a:r>
          <a:r>
            <a:rPr lang="ko-KR" altLang="en-US" sz="14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로 돌아간다</a:t>
          </a:r>
          <a:endParaRPr lang="en-US" altLang="ko-KR" sz="1400" b="1">
            <a:latin typeface="배달의민족 주아" panose="02020603020101020101" pitchFamily="18" charset="-127"/>
            <a:ea typeface="배달의민족 주아" panose="02020603020101020101" pitchFamily="18" charset="-127"/>
          </a:endParaRPr>
        </a:p>
      </xdr:txBody>
    </xdr:sp>
    <xdr:clientData/>
  </xdr:twoCellAnchor>
  <xdr:twoCellAnchor>
    <xdr:from>
      <xdr:col>9</xdr:col>
      <xdr:colOff>485775</xdr:colOff>
      <xdr:row>19</xdr:row>
      <xdr:rowOff>123825</xdr:rowOff>
    </xdr:from>
    <xdr:to>
      <xdr:col>13</xdr:col>
      <xdr:colOff>238124</xdr:colOff>
      <xdr:row>21</xdr:row>
      <xdr:rowOff>85724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6657975" y="4229100"/>
          <a:ext cx="2495549" cy="38099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현재가보다 매도가보다 높은가</a:t>
          </a:r>
          <a:r>
            <a:rPr lang="en-US" altLang="ko-KR" sz="16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?</a:t>
          </a:r>
        </a:p>
      </xdr:txBody>
    </xdr:sp>
    <xdr:clientData/>
  </xdr:twoCellAnchor>
  <xdr:twoCellAnchor>
    <xdr:from>
      <xdr:col>10</xdr:col>
      <xdr:colOff>295275</xdr:colOff>
      <xdr:row>21</xdr:row>
      <xdr:rowOff>95249</xdr:rowOff>
    </xdr:from>
    <xdr:to>
      <xdr:col>12</xdr:col>
      <xdr:colOff>552450</xdr:colOff>
      <xdr:row>23</xdr:row>
      <xdr:rowOff>152400</xdr:rowOff>
    </xdr:to>
    <xdr:grpSp>
      <xdr:nvGrpSpPr>
        <xdr:cNvPr id="62" name="그룹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pSpPr/>
      </xdr:nvGrpSpPr>
      <xdr:grpSpPr>
        <a:xfrm>
          <a:off x="7000875" y="4865369"/>
          <a:ext cx="1598295" cy="499111"/>
          <a:chOff x="5372100" y="1628774"/>
          <a:chExt cx="1628775" cy="476251"/>
        </a:xfrm>
      </xdr:grpSpPr>
      <xdr:cxnSp macro="">
        <xdr:nvCxnSpPr>
          <xdr:cNvPr id="63" name="직선 화살표 연결선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CxnSpPr/>
        </xdr:nvCxnSpPr>
        <xdr:spPr>
          <a:xfrm flipH="1">
            <a:off x="5495925" y="1628774"/>
            <a:ext cx="666750" cy="466726"/>
          </a:xfrm>
          <a:prstGeom prst="straightConnector1">
            <a:avLst/>
          </a:prstGeom>
          <a:ln w="28575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직선 화살표 연결선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CxnSpPr/>
        </xdr:nvCxnSpPr>
        <xdr:spPr>
          <a:xfrm>
            <a:off x="6162675" y="1628774"/>
            <a:ext cx="685800" cy="476251"/>
          </a:xfrm>
          <a:prstGeom prst="straightConnector1">
            <a:avLst/>
          </a:prstGeom>
          <a:ln w="28575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5" name="TextBox 64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SpPr txBox="1"/>
        </xdr:nvSpPr>
        <xdr:spPr>
          <a:xfrm>
            <a:off x="5372100" y="1666875"/>
            <a:ext cx="504825" cy="36195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600"/>
              <a:t>Yes</a:t>
            </a:r>
            <a:endParaRPr lang="ko-KR" altLang="en-US" sz="1600"/>
          </a:p>
        </xdr:txBody>
      </xdr:sp>
      <xdr:sp macro="" textlink="">
        <xdr:nvSpPr>
          <xdr:cNvPr id="66" name="TextBox 65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 txBox="1"/>
        </xdr:nvSpPr>
        <xdr:spPr>
          <a:xfrm>
            <a:off x="6496050" y="1666875"/>
            <a:ext cx="504825" cy="36195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600"/>
              <a:t>No</a:t>
            </a:r>
            <a:endParaRPr lang="ko-KR" altLang="en-US" sz="1600"/>
          </a:p>
        </xdr:txBody>
      </xdr:sp>
    </xdr:grpSp>
    <xdr:clientData/>
  </xdr:twoCellAnchor>
  <xdr:twoCellAnchor>
    <xdr:from>
      <xdr:col>11</xdr:col>
      <xdr:colOff>552450</xdr:colOff>
      <xdr:row>23</xdr:row>
      <xdr:rowOff>180976</xdr:rowOff>
    </xdr:from>
    <xdr:to>
      <xdr:col>14</xdr:col>
      <xdr:colOff>533399</xdr:colOff>
      <xdr:row>25</xdr:row>
      <xdr:rowOff>85725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8096250" y="5124451"/>
          <a:ext cx="2038349" cy="3238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4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매수하고 </a:t>
          </a:r>
          <a:r>
            <a:rPr lang="en-US" altLang="ko-KR" sz="14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S</a:t>
          </a:r>
          <a:r>
            <a:rPr lang="ko-KR" altLang="en-US" sz="14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로 돌아간다</a:t>
          </a:r>
          <a:endParaRPr lang="en-US" altLang="ko-KR" sz="1400" b="1">
            <a:latin typeface="배달의민족 주아" panose="02020603020101020101" pitchFamily="18" charset="-127"/>
            <a:ea typeface="배달의민족 주아" panose="02020603020101020101" pitchFamily="18" charset="-127"/>
          </a:endParaRPr>
        </a:p>
      </xdr:txBody>
    </xdr:sp>
    <xdr:clientData/>
  </xdr:twoCellAnchor>
  <xdr:twoCellAnchor>
    <xdr:from>
      <xdr:col>9</xdr:col>
      <xdr:colOff>133351</xdr:colOff>
      <xdr:row>23</xdr:row>
      <xdr:rowOff>171451</xdr:rowOff>
    </xdr:from>
    <xdr:to>
      <xdr:col>11</xdr:col>
      <xdr:colOff>333377</xdr:colOff>
      <xdr:row>26</xdr:row>
      <xdr:rowOff>152401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6305551" y="5114926"/>
          <a:ext cx="1571626" cy="6096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4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"</a:t>
          </a:r>
          <a:r>
            <a:rPr lang="ko-KR" altLang="en-US" sz="14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현재가</a:t>
          </a:r>
          <a:r>
            <a:rPr lang="en-US" altLang="ko-KR" sz="14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-</a:t>
          </a:r>
          <a:r>
            <a:rPr lang="ko-KR" altLang="en-US" sz="14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매도가</a:t>
          </a:r>
          <a:r>
            <a:rPr lang="en-US" altLang="ko-KR" sz="14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"</a:t>
          </a:r>
          <a:r>
            <a:rPr lang="ko-KR" altLang="en-US" sz="1400" b="1" baseline="0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가</a:t>
          </a:r>
          <a:endParaRPr lang="en-US" altLang="ko-KR" sz="1400" b="1" baseline="0">
            <a:latin typeface="배달의민족 주아" panose="02020603020101020101" pitchFamily="18" charset="-127"/>
            <a:ea typeface="배달의민족 주아" panose="02020603020101020101" pitchFamily="18" charset="-127"/>
          </a:endParaRPr>
        </a:p>
        <a:p>
          <a:pPr algn="ctr"/>
          <a:r>
            <a:rPr lang="ko-KR" altLang="en-US" sz="1400" b="1" baseline="0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 이익보다 높은가</a:t>
          </a:r>
          <a:r>
            <a:rPr lang="en-US" altLang="ko-KR" sz="1400" b="1" baseline="0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?</a:t>
          </a:r>
          <a:endParaRPr lang="en-US" altLang="ko-KR" sz="1400" b="1">
            <a:latin typeface="배달의민족 주아" panose="02020603020101020101" pitchFamily="18" charset="-127"/>
            <a:ea typeface="배달의민족 주아" panose="02020603020101020101" pitchFamily="18" charset="-127"/>
          </a:endParaRPr>
        </a:p>
      </xdr:txBody>
    </xdr:sp>
    <xdr:clientData/>
  </xdr:twoCellAnchor>
  <xdr:twoCellAnchor>
    <xdr:from>
      <xdr:col>9</xdr:col>
      <xdr:colOff>104775</xdr:colOff>
      <xdr:row>26</xdr:row>
      <xdr:rowOff>171449</xdr:rowOff>
    </xdr:from>
    <xdr:to>
      <xdr:col>11</xdr:col>
      <xdr:colOff>361950</xdr:colOff>
      <xdr:row>29</xdr:row>
      <xdr:rowOff>19050</xdr:rowOff>
    </xdr:to>
    <xdr:grpSp>
      <xdr:nvGrpSpPr>
        <xdr:cNvPr id="69" name="그룹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GrpSpPr/>
      </xdr:nvGrpSpPr>
      <xdr:grpSpPr>
        <a:xfrm>
          <a:off x="6139815" y="6046469"/>
          <a:ext cx="1598295" cy="510541"/>
          <a:chOff x="5372100" y="1628774"/>
          <a:chExt cx="1628775" cy="476251"/>
        </a:xfrm>
      </xdr:grpSpPr>
      <xdr:cxnSp macro="">
        <xdr:nvCxnSpPr>
          <xdr:cNvPr id="70" name="직선 화살표 연결선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CxnSpPr/>
        </xdr:nvCxnSpPr>
        <xdr:spPr>
          <a:xfrm flipH="1">
            <a:off x="5495925" y="1628774"/>
            <a:ext cx="666750" cy="466726"/>
          </a:xfrm>
          <a:prstGeom prst="straightConnector1">
            <a:avLst/>
          </a:prstGeom>
          <a:ln w="28575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직선 화살표 연결선 70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CxnSpPr/>
        </xdr:nvCxnSpPr>
        <xdr:spPr>
          <a:xfrm>
            <a:off x="6162675" y="1628774"/>
            <a:ext cx="685800" cy="476251"/>
          </a:xfrm>
          <a:prstGeom prst="straightConnector1">
            <a:avLst/>
          </a:prstGeom>
          <a:ln w="28575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2" name="TextBox 7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 txBox="1"/>
        </xdr:nvSpPr>
        <xdr:spPr>
          <a:xfrm>
            <a:off x="5372100" y="1666875"/>
            <a:ext cx="504825" cy="36195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600"/>
              <a:t>Yes</a:t>
            </a:r>
            <a:endParaRPr lang="ko-KR" altLang="en-US" sz="1600"/>
          </a:p>
        </xdr:txBody>
      </xdr:sp>
      <xdr:sp macro="" textlink="">
        <xdr:nvSpPr>
          <xdr:cNvPr id="73" name="TextBox 72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SpPr txBox="1"/>
        </xdr:nvSpPr>
        <xdr:spPr>
          <a:xfrm>
            <a:off x="6496050" y="1666875"/>
            <a:ext cx="504825" cy="36195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600"/>
              <a:t>No</a:t>
            </a:r>
            <a:endParaRPr lang="ko-KR" altLang="en-US" sz="1600"/>
          </a:p>
        </xdr:txBody>
      </xdr:sp>
    </xdr:grpSp>
    <xdr:clientData/>
  </xdr:twoCellAnchor>
  <xdr:twoCellAnchor>
    <xdr:from>
      <xdr:col>10</xdr:col>
      <xdr:colOff>352426</xdr:colOff>
      <xdr:row>29</xdr:row>
      <xdr:rowOff>47625</xdr:rowOff>
    </xdr:from>
    <xdr:to>
      <xdr:col>12</xdr:col>
      <xdr:colOff>85726</xdr:colOff>
      <xdr:row>33</xdr:row>
      <xdr:rowOff>98714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7210426" y="6248400"/>
          <a:ext cx="1104900" cy="67973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4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매수하고 </a:t>
          </a:r>
          <a:r>
            <a:rPr lang="en-US" altLang="ko-KR" sz="14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S</a:t>
          </a:r>
          <a:r>
            <a:rPr lang="ko-KR" altLang="en-US" sz="14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로 돌아간다</a:t>
          </a:r>
          <a:endParaRPr lang="en-US" altLang="ko-KR" sz="1400" b="1">
            <a:latin typeface="배달의민족 주아" panose="02020603020101020101" pitchFamily="18" charset="-127"/>
            <a:ea typeface="배달의민족 주아" panose="02020603020101020101" pitchFamily="18" charset="-127"/>
          </a:endParaRPr>
        </a:p>
        <a:p>
          <a:pPr algn="ctr"/>
          <a:endParaRPr lang="en-US" altLang="ko-KR" sz="1400" b="1">
            <a:latin typeface="배달의민족 주아" panose="02020603020101020101" pitchFamily="18" charset="-127"/>
            <a:ea typeface="배달의민족 주아" panose="02020603020101020101" pitchFamily="18" charset="-127"/>
          </a:endParaRPr>
        </a:p>
      </xdr:txBody>
    </xdr:sp>
    <xdr:clientData/>
  </xdr:twoCellAnchor>
  <xdr:twoCellAnchor>
    <xdr:from>
      <xdr:col>1</xdr:col>
      <xdr:colOff>666751</xdr:colOff>
      <xdr:row>21</xdr:row>
      <xdr:rowOff>28575</xdr:rowOff>
    </xdr:from>
    <xdr:to>
      <xdr:col>5</xdr:col>
      <xdr:colOff>419101</xdr:colOff>
      <xdr:row>22</xdr:row>
      <xdr:rowOff>171450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2724151" y="4219575"/>
          <a:ext cx="249555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400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이익 </a:t>
          </a:r>
          <a:r>
            <a:rPr lang="en-US" altLang="ko-KR" sz="1400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= (</a:t>
          </a:r>
          <a:r>
            <a:rPr lang="ko-KR" altLang="en-US" sz="1400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매도가 </a:t>
          </a:r>
          <a:r>
            <a:rPr lang="en-US" altLang="ko-KR" sz="1400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- </a:t>
          </a:r>
          <a:r>
            <a:rPr lang="ko-KR" altLang="en-US" sz="1400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매수가</a:t>
          </a:r>
          <a:r>
            <a:rPr lang="en-US" altLang="ko-KR" sz="1400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)*0.75</a:t>
          </a:r>
          <a:endParaRPr lang="ko-KR" altLang="en-US" sz="1400">
            <a:latin typeface="배달의민족 주아" panose="02020603020101020101" pitchFamily="18" charset="-127"/>
            <a:ea typeface="배달의민족 주아" panose="02020603020101020101" pitchFamily="18" charset="-127"/>
          </a:endParaRPr>
        </a:p>
      </xdr:txBody>
    </xdr:sp>
    <xdr:clientData/>
  </xdr:twoCellAnchor>
  <xdr:twoCellAnchor>
    <xdr:from>
      <xdr:col>6</xdr:col>
      <xdr:colOff>386195</xdr:colOff>
      <xdr:row>24</xdr:row>
      <xdr:rowOff>58017</xdr:rowOff>
    </xdr:from>
    <xdr:to>
      <xdr:col>9</xdr:col>
      <xdr:colOff>60612</xdr:colOff>
      <xdr:row>25</xdr:row>
      <xdr:rowOff>202624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4500995" y="5211042"/>
          <a:ext cx="1731817" cy="3541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400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손해 </a:t>
          </a:r>
          <a:r>
            <a:rPr lang="en-US" altLang="ko-KR" sz="1400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= </a:t>
          </a:r>
          <a:r>
            <a:rPr lang="ko-KR" altLang="en-US" sz="1400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현재가 </a:t>
          </a:r>
          <a:r>
            <a:rPr lang="en-US" altLang="ko-KR" sz="1400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- </a:t>
          </a:r>
          <a:r>
            <a:rPr lang="ko-KR" altLang="en-US" sz="1400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매도가</a:t>
          </a:r>
        </a:p>
      </xdr:txBody>
    </xdr:sp>
    <xdr:clientData/>
  </xdr:twoCellAnchor>
  <xdr:twoCellAnchor>
    <xdr:from>
      <xdr:col>6</xdr:col>
      <xdr:colOff>47624</xdr:colOff>
      <xdr:row>29</xdr:row>
      <xdr:rowOff>66675</xdr:rowOff>
    </xdr:from>
    <xdr:to>
      <xdr:col>10</xdr:col>
      <xdr:colOff>9525</xdr:colOff>
      <xdr:row>32</xdr:row>
      <xdr:rowOff>28574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4162424" y="6267450"/>
          <a:ext cx="2705101" cy="38099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이익을 산출하고 </a:t>
          </a:r>
          <a:r>
            <a:rPr lang="en-US" altLang="ko-KR" sz="16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A</a:t>
          </a:r>
          <a:r>
            <a:rPr lang="ko-KR" altLang="en-US" sz="1600" b="1">
              <a:latin typeface="배달의민족 주아" panose="02020603020101020101" pitchFamily="18" charset="-127"/>
              <a:ea typeface="배달의민족 주아" panose="02020603020101020101" pitchFamily="18" charset="-127"/>
            </a:rPr>
            <a:t>로 돌아간다</a:t>
          </a:r>
          <a:endParaRPr lang="en-US" altLang="ko-KR" sz="1600" b="1">
            <a:latin typeface="배달의민족 주아" panose="02020603020101020101" pitchFamily="18" charset="-127"/>
            <a:ea typeface="배달의민족 주아" panose="02020603020101020101" pitchFamily="18" charset="-127"/>
          </a:endParaRPr>
        </a:p>
      </xdr:txBody>
    </xdr:sp>
    <xdr:clientData/>
  </xdr:twoCellAnchor>
  <xdr:twoCellAnchor>
    <xdr:from>
      <xdr:col>10</xdr:col>
      <xdr:colOff>219076</xdr:colOff>
      <xdr:row>16</xdr:row>
      <xdr:rowOff>76200</xdr:rowOff>
    </xdr:from>
    <xdr:to>
      <xdr:col>13</xdr:col>
      <xdr:colOff>647700</xdr:colOff>
      <xdr:row>19</xdr:row>
      <xdr:rowOff>0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7077076" y="3552825"/>
          <a:ext cx="2486024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200">
              <a:solidFill>
                <a:srgbClr val="0070C0"/>
              </a:solidFill>
              <a:latin typeface="배달의민족 주아" panose="02020603020101020101" pitchFamily="18" charset="-127"/>
              <a:ea typeface="배달의민족 주아" panose="02020603020101020101" pitchFamily="18" charset="-127"/>
            </a:rPr>
            <a:t>매도자금으로 매수할 경우 주식과 현금의 비율을 </a:t>
          </a:r>
          <a:r>
            <a:rPr lang="en-US" altLang="ko-KR" sz="1200">
              <a:solidFill>
                <a:srgbClr val="0070C0"/>
              </a:solidFill>
              <a:latin typeface="배달의민족 주아" panose="02020603020101020101" pitchFamily="18" charset="-127"/>
              <a:ea typeface="배달의민족 주아" panose="02020603020101020101" pitchFamily="18" charset="-127"/>
            </a:rPr>
            <a:t>50:50</a:t>
          </a:r>
          <a:r>
            <a:rPr lang="ko-KR" altLang="en-US" sz="1200">
              <a:solidFill>
                <a:srgbClr val="0070C0"/>
              </a:solidFill>
              <a:latin typeface="배달의민족 주아" panose="02020603020101020101" pitchFamily="18" charset="-127"/>
              <a:ea typeface="배달의민족 주아" panose="02020603020101020101" pitchFamily="18" charset="-127"/>
            </a:rPr>
            <a:t>으로 리밸런싱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13</xdr:row>
      <xdr:rowOff>85724</xdr:rowOff>
    </xdr:from>
    <xdr:to>
      <xdr:col>1</xdr:col>
      <xdr:colOff>2867485</xdr:colOff>
      <xdr:row>18</xdr:row>
      <xdr:rowOff>363427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2FF52E1-E806-4DDA-A8C3-D6C2FA381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4772024"/>
          <a:ext cx="2791285" cy="2182703"/>
        </a:xfrm>
        <a:prstGeom prst="rect">
          <a:avLst/>
        </a:prstGeom>
      </xdr:spPr>
    </xdr:pic>
    <xdr:clientData/>
  </xdr:twoCellAnchor>
  <xdr:twoCellAnchor editAs="oneCell">
    <xdr:from>
      <xdr:col>2</xdr:col>
      <xdr:colOff>188100</xdr:colOff>
      <xdr:row>13</xdr:row>
      <xdr:rowOff>104775</xdr:rowOff>
    </xdr:from>
    <xdr:to>
      <xdr:col>6</xdr:col>
      <xdr:colOff>287353</xdr:colOff>
      <xdr:row>19</xdr:row>
      <xdr:rowOff>41490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FFEBFF7-06C0-42D7-8B43-B2CE88AD4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6650" y="4791075"/>
          <a:ext cx="2842453" cy="2222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pane xSplit="15" ySplit="1" topLeftCell="P28" activePane="bottomRight" state="frozen"/>
      <selection pane="topRight" activeCell="P1" sqref="P1"/>
      <selection pane="bottomLeft" activeCell="A2" sqref="A2"/>
      <selection pane="bottomRight" activeCell="S43" sqref="S43"/>
    </sheetView>
  </sheetViews>
  <sheetFormatPr defaultRowHeight="17.399999999999999"/>
  <sheetData>
    <row r="1" spans="1:25" ht="27.6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2" t="s">
        <v>10</v>
      </c>
      <c r="Q1" s="233"/>
      <c r="R1" s="233"/>
      <c r="S1" s="233"/>
      <c r="T1" s="233"/>
      <c r="U1" s="233"/>
      <c r="V1" s="233"/>
      <c r="W1" s="233"/>
      <c r="X1" s="233"/>
      <c r="Y1" s="233"/>
    </row>
    <row r="2" spans="1:25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t="s">
        <v>11</v>
      </c>
      <c r="Q2" t="s">
        <v>12</v>
      </c>
    </row>
    <row r="3" spans="1:25">
      <c r="A3" s="231"/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t="s">
        <v>13</v>
      </c>
      <c r="Q3" t="s">
        <v>14</v>
      </c>
    </row>
    <row r="4" spans="1:25">
      <c r="A4" s="231"/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t="s">
        <v>15</v>
      </c>
      <c r="Q4" t="s">
        <v>16</v>
      </c>
    </row>
    <row r="5" spans="1:25">
      <c r="A5" s="231"/>
      <c r="B5" s="231"/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</row>
    <row r="6" spans="1:25">
      <c r="A6" s="231"/>
      <c r="B6" s="231"/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t="s">
        <v>17</v>
      </c>
      <c r="Q6" t="s">
        <v>18</v>
      </c>
    </row>
    <row r="7" spans="1:25">
      <c r="A7" s="231"/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Q7" t="s">
        <v>20</v>
      </c>
    </row>
    <row r="8" spans="1:25">
      <c r="A8" s="231"/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31"/>
      <c r="O8" s="231"/>
      <c r="Q8" t="s">
        <v>19</v>
      </c>
    </row>
    <row r="9" spans="1:25">
      <c r="A9" s="231"/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Q9" t="s">
        <v>21</v>
      </c>
    </row>
    <row r="10" spans="1:25">
      <c r="A10" s="231"/>
      <c r="B10" s="231"/>
      <c r="C10" s="231"/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Q10" t="s">
        <v>22</v>
      </c>
    </row>
    <row r="11" spans="1:25">
      <c r="A11" s="231"/>
      <c r="B11" s="231"/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</row>
    <row r="12" spans="1:25">
      <c r="A12" s="231"/>
      <c r="B12" s="231"/>
      <c r="C12" s="231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t="s">
        <v>23</v>
      </c>
      <c r="Q12" t="s">
        <v>24</v>
      </c>
    </row>
    <row r="13" spans="1:25">
      <c r="A13" s="231"/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</row>
    <row r="14" spans="1:25">
      <c r="A14" s="231"/>
      <c r="B14" s="231"/>
      <c r="C14" s="231"/>
      <c r="D14" s="231"/>
      <c r="E14" s="231"/>
      <c r="F14" s="231"/>
      <c r="G14" s="231"/>
      <c r="H14" s="231"/>
      <c r="I14" s="231"/>
      <c r="J14" s="231"/>
      <c r="K14" s="231"/>
      <c r="L14" s="231"/>
      <c r="M14" s="231"/>
      <c r="N14" s="231"/>
      <c r="O14" s="231"/>
      <c r="P14" t="s">
        <v>25</v>
      </c>
      <c r="Q14" t="s">
        <v>26</v>
      </c>
    </row>
    <row r="15" spans="1:25">
      <c r="A15" s="231"/>
      <c r="B15" s="231"/>
      <c r="C15" s="231"/>
      <c r="D15" s="231"/>
      <c r="E15" s="231"/>
      <c r="F15" s="231"/>
      <c r="G15" s="231"/>
      <c r="H15" s="231"/>
      <c r="I15" s="231"/>
      <c r="J15" s="231"/>
      <c r="K15" s="231"/>
      <c r="L15" s="231"/>
      <c r="M15" s="231"/>
      <c r="N15" s="231"/>
      <c r="O15" s="231"/>
      <c r="Q15" t="s">
        <v>27</v>
      </c>
    </row>
    <row r="16" spans="1:25">
      <c r="A16" s="231"/>
      <c r="B16" s="231"/>
      <c r="C16" s="231"/>
      <c r="D16" s="231"/>
      <c r="E16" s="231"/>
      <c r="F16" s="231"/>
      <c r="G16" s="231"/>
      <c r="H16" s="231"/>
      <c r="I16" s="231"/>
      <c r="J16" s="231"/>
      <c r="K16" s="231"/>
      <c r="L16" s="231"/>
      <c r="M16" s="231"/>
      <c r="N16" s="231"/>
      <c r="O16" s="231"/>
      <c r="Q16" t="s">
        <v>28</v>
      </c>
    </row>
    <row r="17" spans="1:17">
      <c r="A17" s="231"/>
      <c r="B17" s="231"/>
      <c r="C17" s="231"/>
      <c r="D17" s="231"/>
      <c r="E17" s="231"/>
      <c r="F17" s="231"/>
      <c r="G17" s="231"/>
      <c r="H17" s="231"/>
      <c r="I17" s="231"/>
      <c r="J17" s="231"/>
      <c r="K17" s="231"/>
      <c r="L17" s="231"/>
      <c r="M17" s="231"/>
      <c r="N17" s="231"/>
      <c r="O17" s="231"/>
      <c r="Q17" t="s">
        <v>34</v>
      </c>
    </row>
    <row r="18" spans="1:17">
      <c r="A18" s="231"/>
      <c r="B18" s="231"/>
      <c r="C18" s="231"/>
      <c r="D18" s="231"/>
      <c r="E18" s="231"/>
      <c r="F18" s="231"/>
      <c r="G18" s="231"/>
      <c r="H18" s="231"/>
      <c r="I18" s="231"/>
      <c r="J18" s="231"/>
      <c r="K18" s="231"/>
      <c r="L18" s="231"/>
      <c r="M18" s="231"/>
      <c r="N18" s="231"/>
      <c r="O18" s="231"/>
      <c r="Q18" t="s">
        <v>35</v>
      </c>
    </row>
    <row r="19" spans="1:17">
      <c r="A19" s="231"/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Q19" t="s">
        <v>36</v>
      </c>
    </row>
    <row r="20" spans="1:17">
      <c r="A20" s="231"/>
      <c r="B20" s="231"/>
      <c r="C20" s="231"/>
      <c r="D20" s="231"/>
      <c r="E20" s="231"/>
      <c r="F20" s="231"/>
      <c r="G20" s="231"/>
      <c r="H20" s="231"/>
      <c r="I20" s="231"/>
      <c r="J20" s="231"/>
      <c r="K20" s="231"/>
      <c r="L20" s="231"/>
      <c r="M20" s="231"/>
      <c r="N20" s="231"/>
      <c r="O20" s="231"/>
    </row>
    <row r="21" spans="1:17">
      <c r="A21" s="231"/>
      <c r="B21" s="231"/>
      <c r="C21" s="231"/>
      <c r="D21" s="231"/>
      <c r="E21" s="231"/>
      <c r="F21" s="231"/>
      <c r="G21" s="231"/>
      <c r="H21" s="231"/>
      <c r="I21" s="231"/>
      <c r="J21" s="231"/>
      <c r="K21" s="231"/>
      <c r="L21" s="231"/>
      <c r="M21" s="231"/>
      <c r="N21" s="231"/>
      <c r="O21" s="231"/>
      <c r="P21" t="s">
        <v>29</v>
      </c>
      <c r="Q21" t="s">
        <v>30</v>
      </c>
    </row>
    <row r="22" spans="1:17">
      <c r="A22" s="231"/>
      <c r="B22" s="231"/>
      <c r="C22" s="231"/>
      <c r="D22" s="231"/>
      <c r="E22" s="231"/>
      <c r="F22" s="231"/>
      <c r="G22" s="231"/>
      <c r="H22" s="231"/>
      <c r="I22" s="231"/>
      <c r="J22" s="231"/>
      <c r="K22" s="231"/>
      <c r="L22" s="231"/>
      <c r="M22" s="231"/>
      <c r="N22" s="231"/>
      <c r="O22" s="231"/>
      <c r="Q22" t="s">
        <v>31</v>
      </c>
    </row>
    <row r="23" spans="1:17">
      <c r="A23" s="231"/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1"/>
      <c r="N23" s="231"/>
      <c r="O23" s="231"/>
      <c r="Q23" t="s">
        <v>32</v>
      </c>
    </row>
    <row r="24" spans="1:17">
      <c r="A24" s="231"/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1"/>
      <c r="N24" s="231"/>
      <c r="O24" s="231"/>
      <c r="Q24" t="s">
        <v>33</v>
      </c>
    </row>
    <row r="25" spans="1:17">
      <c r="A25" s="231"/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Q25" t="s">
        <v>37</v>
      </c>
    </row>
    <row r="26" spans="1:17">
      <c r="A26" s="231"/>
      <c r="B26" s="231"/>
      <c r="C26" s="231"/>
      <c r="D26" s="231"/>
      <c r="E26" s="231"/>
      <c r="F26" s="231"/>
      <c r="G26" s="231"/>
      <c r="H26" s="231"/>
      <c r="I26" s="231"/>
      <c r="J26" s="231"/>
      <c r="K26" s="231"/>
      <c r="L26" s="231"/>
      <c r="M26" s="231"/>
      <c r="N26" s="231"/>
      <c r="O26" s="231"/>
      <c r="Q26" t="s">
        <v>38</v>
      </c>
    </row>
    <row r="27" spans="1:17">
      <c r="A27" s="231"/>
      <c r="B27" s="231"/>
      <c r="C27" s="231"/>
      <c r="D27" s="231"/>
      <c r="E27" s="231"/>
      <c r="F27" s="231"/>
      <c r="G27" s="231"/>
      <c r="H27" s="231"/>
      <c r="I27" s="231"/>
      <c r="J27" s="231"/>
      <c r="K27" s="231"/>
      <c r="L27" s="231"/>
      <c r="M27" s="231"/>
      <c r="N27" s="231"/>
      <c r="O27" s="231"/>
      <c r="Q27" t="s">
        <v>39</v>
      </c>
    </row>
    <row r="28" spans="1:17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  <c r="M28" s="231"/>
      <c r="N28" s="231"/>
      <c r="O28" s="231"/>
      <c r="Q28" t="s">
        <v>40</v>
      </c>
    </row>
    <row r="29" spans="1:17">
      <c r="A29" s="231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  <c r="M29" s="231"/>
      <c r="N29" s="231"/>
      <c r="O29" s="231"/>
    </row>
    <row r="30" spans="1:17">
      <c r="A30" s="231"/>
      <c r="B30" s="231"/>
      <c r="C30" s="231"/>
      <c r="D30" s="231"/>
      <c r="E30" s="231"/>
      <c r="F30" s="231"/>
      <c r="G30" s="231"/>
      <c r="H30" s="231"/>
      <c r="I30" s="231"/>
      <c r="J30" s="231"/>
      <c r="K30" s="231"/>
      <c r="L30" s="231"/>
      <c r="M30" s="231"/>
      <c r="N30" s="231"/>
      <c r="O30" s="231"/>
      <c r="P30" t="s">
        <v>41</v>
      </c>
      <c r="Q30" t="s">
        <v>42</v>
      </c>
    </row>
    <row r="31" spans="1:17">
      <c r="A31" s="231"/>
      <c r="B31" s="231"/>
      <c r="C31" s="231"/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Q31" t="s">
        <v>43</v>
      </c>
    </row>
    <row r="32" spans="1:17">
      <c r="A32" s="231"/>
      <c r="B32" s="231"/>
      <c r="C32" s="231"/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Q32" t="s">
        <v>45</v>
      </c>
    </row>
    <row r="33" spans="1:22">
      <c r="A33" s="231"/>
      <c r="B33" s="231"/>
      <c r="C33" s="231"/>
      <c r="D33" s="231"/>
      <c r="E33" s="231"/>
      <c r="F33" s="231"/>
      <c r="G33" s="231"/>
      <c r="H33" s="231"/>
      <c r="I33" s="231"/>
      <c r="J33" s="231"/>
      <c r="K33" s="231"/>
      <c r="L33" s="231"/>
      <c r="M33" s="231"/>
      <c r="N33" s="231"/>
      <c r="O33" s="231"/>
      <c r="Q33" t="s">
        <v>44</v>
      </c>
    </row>
    <row r="34" spans="1:22">
      <c r="A34" s="231"/>
      <c r="B34" s="231"/>
      <c r="C34" s="231"/>
      <c r="D34" s="231"/>
      <c r="E34" s="231"/>
      <c r="F34" s="231"/>
      <c r="G34" s="231"/>
      <c r="H34" s="231"/>
      <c r="I34" s="231"/>
      <c r="J34" s="231"/>
      <c r="K34" s="231"/>
      <c r="L34" s="231"/>
      <c r="M34" s="231"/>
      <c r="N34" s="231"/>
      <c r="O34" s="231"/>
    </row>
    <row r="35" spans="1:22">
      <c r="A35" s="231"/>
      <c r="B35" s="231"/>
      <c r="C35" s="231"/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Q35" t="s">
        <v>46</v>
      </c>
    </row>
    <row r="36" spans="1:22">
      <c r="A36" s="231"/>
      <c r="B36" s="231"/>
      <c r="C36" s="231"/>
      <c r="D36" s="231"/>
      <c r="E36" s="231"/>
      <c r="F36" s="231"/>
      <c r="G36" s="231"/>
      <c r="H36" s="231"/>
      <c r="I36" s="231"/>
      <c r="J36" s="231"/>
      <c r="K36" s="231"/>
      <c r="L36" s="231"/>
      <c r="M36" s="231"/>
      <c r="N36" s="231"/>
      <c r="O36" s="231"/>
      <c r="Q36" t="s">
        <v>50</v>
      </c>
    </row>
    <row r="37" spans="1:22">
      <c r="A37" s="231"/>
      <c r="B37" s="231"/>
      <c r="C37" s="231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31"/>
      <c r="O37" s="231"/>
      <c r="Q37" s="9" t="s">
        <v>47</v>
      </c>
      <c r="R37" s="9" t="s">
        <v>48</v>
      </c>
      <c r="S37" s="7" t="s">
        <v>49</v>
      </c>
      <c r="T37" s="7"/>
    </row>
    <row r="38" spans="1:22">
      <c r="A38" s="231"/>
      <c r="B38" s="231"/>
      <c r="C38" s="231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Q38" s="10">
        <v>0.1</v>
      </c>
      <c r="R38" s="10" t="s">
        <v>59</v>
      </c>
      <c r="S38" s="7" t="s">
        <v>51</v>
      </c>
      <c r="T38" s="7"/>
    </row>
    <row r="39" spans="1:22">
      <c r="A39" s="231"/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  <c r="N39" s="231"/>
      <c r="O39" s="231"/>
      <c r="Q39" s="10">
        <v>0.2</v>
      </c>
      <c r="R39" s="10" t="s">
        <v>59</v>
      </c>
      <c r="S39" s="7" t="s">
        <v>52</v>
      </c>
      <c r="T39" s="7"/>
    </row>
    <row r="40" spans="1:22">
      <c r="A40" s="231"/>
      <c r="B40" s="231"/>
      <c r="C40" s="231"/>
      <c r="D40" s="231"/>
      <c r="E40" s="231"/>
      <c r="F40" s="231"/>
      <c r="G40" s="231"/>
      <c r="H40" s="231"/>
      <c r="I40" s="231"/>
      <c r="J40" s="231"/>
      <c r="K40" s="231"/>
      <c r="L40" s="231"/>
      <c r="M40" s="231"/>
      <c r="N40" s="231"/>
      <c r="O40" s="231"/>
      <c r="Q40" s="10">
        <v>0.3</v>
      </c>
      <c r="R40" s="10" t="s">
        <v>59</v>
      </c>
      <c r="S40" s="13" t="s">
        <v>53</v>
      </c>
      <c r="T40" s="7"/>
    </row>
    <row r="41" spans="1:22">
      <c r="A41" s="231"/>
      <c r="B41" s="231"/>
      <c r="C41" s="231"/>
      <c r="D41" s="231"/>
      <c r="E41" s="231"/>
      <c r="F41" s="231"/>
      <c r="G41" s="231"/>
      <c r="H41" s="231"/>
      <c r="I41" s="231"/>
      <c r="J41" s="231"/>
      <c r="K41" s="231"/>
      <c r="L41" s="231"/>
      <c r="M41" s="231"/>
      <c r="N41" s="231"/>
      <c r="O41" s="231"/>
      <c r="Q41" s="10">
        <v>0.4</v>
      </c>
      <c r="R41" s="10" t="s">
        <v>59</v>
      </c>
      <c r="S41" s="7"/>
      <c r="T41" s="7"/>
    </row>
    <row r="42" spans="1:22">
      <c r="A42" s="231"/>
      <c r="B42" s="231"/>
      <c r="C42" s="231"/>
      <c r="D42" s="231"/>
      <c r="E42" s="231"/>
      <c r="F42" s="231"/>
      <c r="G42" s="231"/>
      <c r="H42" s="231"/>
      <c r="I42" s="231"/>
      <c r="J42" s="231"/>
      <c r="K42" s="231"/>
      <c r="L42" s="231"/>
      <c r="M42" s="231"/>
      <c r="N42" s="231"/>
      <c r="O42" s="231"/>
      <c r="Q42" s="11">
        <v>0.5</v>
      </c>
      <c r="R42" s="11">
        <f t="shared" ref="R42:R46" si="0">Q42*2-1</f>
        <v>0</v>
      </c>
      <c r="S42" s="13" t="s">
        <v>54</v>
      </c>
      <c r="T42" s="7"/>
    </row>
    <row r="43" spans="1:22">
      <c r="Q43" s="11">
        <v>0.6</v>
      </c>
      <c r="R43" s="11">
        <f t="shared" si="0"/>
        <v>0.19999999999999996</v>
      </c>
      <c r="S43" s="13" t="s">
        <v>55</v>
      </c>
      <c r="T43" s="7"/>
    </row>
    <row r="44" spans="1:22">
      <c r="Q44" s="12">
        <v>0.7</v>
      </c>
      <c r="R44" s="12">
        <f t="shared" si="0"/>
        <v>0.39999999999999991</v>
      </c>
      <c r="S44" s="7"/>
      <c r="T44" s="7"/>
    </row>
    <row r="45" spans="1:22">
      <c r="Q45" s="12">
        <v>0.8</v>
      </c>
      <c r="R45" s="14">
        <f t="shared" si="0"/>
        <v>0.60000000000000009</v>
      </c>
      <c r="S45" s="15" t="s">
        <v>58</v>
      </c>
      <c r="T45" s="8">
        <v>0.5</v>
      </c>
      <c r="U45" s="234" t="s">
        <v>48</v>
      </c>
      <c r="V45" s="237">
        <f>T45-(1-T45)/(T46/T47)</f>
        <v>0.1388888888888889</v>
      </c>
    </row>
    <row r="46" spans="1:22">
      <c r="Q46" s="12">
        <v>1</v>
      </c>
      <c r="R46" s="14">
        <f t="shared" si="0"/>
        <v>1</v>
      </c>
      <c r="S46" s="15" t="s">
        <v>56</v>
      </c>
      <c r="T46" s="8">
        <v>0.36</v>
      </c>
      <c r="U46" s="235"/>
      <c r="V46" s="238"/>
    </row>
    <row r="47" spans="1:22">
      <c r="S47" s="15" t="s">
        <v>57</v>
      </c>
      <c r="T47" s="8">
        <v>0.26</v>
      </c>
      <c r="U47" s="236"/>
      <c r="V47" s="239"/>
    </row>
    <row r="49" spans="16:17">
      <c r="P49" t="s">
        <v>196</v>
      </c>
      <c r="Q49" t="s">
        <v>197</v>
      </c>
    </row>
    <row r="51" spans="16:17">
      <c r="P51" t="s">
        <v>201</v>
      </c>
      <c r="Q51" t="s">
        <v>202</v>
      </c>
    </row>
  </sheetData>
  <mergeCells count="4">
    <mergeCell ref="A1:O42"/>
    <mergeCell ref="P1:Y1"/>
    <mergeCell ref="U45:U47"/>
    <mergeCell ref="V45:V47"/>
  </mergeCells>
  <phoneticPr fontId="1" type="noConversion"/>
  <pageMargins left="0.7" right="0.7" top="0.75" bottom="0.75" header="0.3" footer="0.3"/>
  <pageSetup paperSize="9" scale="5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I33" sqref="I33"/>
    </sheetView>
  </sheetViews>
  <sheetFormatPr defaultRowHeight="17.399999999999999"/>
  <cols>
    <col min="1" max="1" width="16" bestFit="1" customWidth="1"/>
    <col min="6" max="6" width="48.19921875" customWidth="1"/>
  </cols>
  <sheetData>
    <row r="1" spans="1:14">
      <c r="A1" s="278" t="s">
        <v>7</v>
      </c>
      <c r="B1" s="279"/>
      <c r="C1" s="279"/>
      <c r="D1" s="279"/>
      <c r="E1" s="279"/>
      <c r="F1" s="279"/>
      <c r="G1" s="279"/>
      <c r="H1" s="279"/>
      <c r="I1" s="279"/>
      <c r="J1" s="4"/>
    </row>
    <row r="2" spans="1:14">
      <c r="A2" s="280"/>
      <c r="B2" s="280"/>
      <c r="C2" s="280"/>
      <c r="D2" s="280"/>
      <c r="E2" s="280"/>
      <c r="F2" s="280"/>
      <c r="G2" s="280"/>
      <c r="H2" s="280"/>
      <c r="I2" s="280"/>
      <c r="J2" s="4"/>
      <c r="K2" s="277" t="s">
        <v>1</v>
      </c>
      <c r="L2" s="277"/>
      <c r="M2" s="277"/>
      <c r="N2" s="277"/>
    </row>
    <row r="3" spans="1:14" ht="23.25" customHeight="1">
      <c r="A3" s="1" t="s">
        <v>2</v>
      </c>
      <c r="B3" s="2" t="s">
        <v>3</v>
      </c>
      <c r="C3" s="2" t="s">
        <v>4</v>
      </c>
      <c r="D3" s="2" t="s">
        <v>5</v>
      </c>
      <c r="E3" s="3" t="s">
        <v>6</v>
      </c>
      <c r="F3" s="5" t="s">
        <v>8</v>
      </c>
      <c r="G3" s="5"/>
      <c r="H3" s="5"/>
      <c r="I3" s="5"/>
      <c r="K3" s="277"/>
      <c r="L3" s="277"/>
      <c r="M3" s="277"/>
      <c r="N3" s="277"/>
    </row>
    <row r="4" spans="1:14">
      <c r="A4" s="1">
        <v>44002</v>
      </c>
      <c r="B4" s="2">
        <v>5</v>
      </c>
      <c r="C4" s="2">
        <v>180</v>
      </c>
      <c r="D4" s="2"/>
      <c r="E4" s="3">
        <f>D4*1.75-C4*0.75</f>
        <v>-135</v>
      </c>
      <c r="F4" s="5"/>
      <c r="G4" s="5"/>
      <c r="H4" s="5"/>
      <c r="I4" s="5"/>
      <c r="K4" s="277"/>
      <c r="L4" s="277"/>
      <c r="M4" s="277"/>
      <c r="N4" s="277"/>
    </row>
    <row r="5" spans="1:14">
      <c r="A5" s="1">
        <v>44009</v>
      </c>
      <c r="B5" s="2">
        <v>1</v>
      </c>
      <c r="C5" s="2">
        <v>172</v>
      </c>
      <c r="D5" s="2"/>
      <c r="E5" s="3"/>
      <c r="F5" s="5"/>
      <c r="G5" s="5"/>
      <c r="H5" s="5"/>
      <c r="I5" s="5"/>
      <c r="K5" s="277"/>
      <c r="L5" s="277"/>
      <c r="M5" s="277"/>
      <c r="N5" s="277"/>
    </row>
    <row r="6" spans="1:14">
      <c r="A6" s="1"/>
      <c r="B6" s="2"/>
      <c r="C6" s="2"/>
      <c r="D6" s="2"/>
      <c r="E6" s="3"/>
      <c r="F6" s="5"/>
      <c r="G6" s="5"/>
      <c r="H6" s="5"/>
      <c r="I6" s="5"/>
      <c r="K6" s="277"/>
      <c r="L6" s="277"/>
      <c r="M6" s="277"/>
      <c r="N6" s="277"/>
    </row>
    <row r="7" spans="1:14">
      <c r="A7" s="1"/>
      <c r="B7" s="2"/>
      <c r="C7" s="2"/>
      <c r="D7" s="2"/>
      <c r="E7" s="3"/>
      <c r="F7" s="5"/>
      <c r="G7" s="5"/>
      <c r="H7" s="5"/>
      <c r="I7" s="5"/>
      <c r="K7" s="277"/>
      <c r="L7" s="277"/>
      <c r="M7" s="277"/>
      <c r="N7" s="277"/>
    </row>
    <row r="8" spans="1:14">
      <c r="A8" s="1"/>
      <c r="B8" s="2"/>
      <c r="C8" s="2"/>
      <c r="D8" s="2"/>
      <c r="E8" s="3"/>
      <c r="F8" s="5"/>
      <c r="G8" s="5"/>
      <c r="H8" s="5"/>
      <c r="I8" s="5"/>
      <c r="K8" s="277"/>
      <c r="L8" s="277"/>
      <c r="M8" s="277"/>
      <c r="N8" s="277"/>
    </row>
    <row r="9" spans="1:14">
      <c r="A9" s="1"/>
      <c r="B9" s="2"/>
      <c r="C9" s="2"/>
      <c r="D9" s="2"/>
      <c r="E9" s="3"/>
      <c r="F9" s="5"/>
      <c r="G9" s="5"/>
      <c r="H9" s="5"/>
      <c r="I9" s="5"/>
    </row>
    <row r="10" spans="1:14">
      <c r="A10" s="1"/>
      <c r="B10" s="2"/>
      <c r="C10" s="2"/>
      <c r="D10" s="2"/>
      <c r="E10" s="3"/>
      <c r="F10" s="5"/>
      <c r="G10" s="5"/>
      <c r="H10" s="5"/>
      <c r="I10" s="5"/>
    </row>
    <row r="11" spans="1:14">
      <c r="A11" s="1"/>
      <c r="B11" s="2"/>
      <c r="C11" s="2"/>
      <c r="D11" s="2"/>
      <c r="E11" s="3"/>
      <c r="F11" s="5"/>
      <c r="G11" s="5"/>
      <c r="H11" s="5"/>
      <c r="I11" s="5"/>
    </row>
    <row r="12" spans="1:14">
      <c r="A12" s="1"/>
      <c r="B12" s="2"/>
      <c r="C12" s="2"/>
      <c r="D12" s="2"/>
      <c r="E12" s="3"/>
      <c r="F12" s="5"/>
      <c r="G12" s="5"/>
      <c r="H12" s="5"/>
      <c r="I12" s="5"/>
    </row>
    <row r="13" spans="1:14">
      <c r="A13" s="1"/>
      <c r="B13" s="2"/>
      <c r="C13" s="2"/>
      <c r="D13" s="2"/>
      <c r="E13" s="3"/>
      <c r="F13" s="5"/>
      <c r="G13" s="5"/>
      <c r="H13" s="5"/>
      <c r="I13" s="5"/>
    </row>
    <row r="14" spans="1:14">
      <c r="A14" s="1"/>
      <c r="B14" s="2"/>
      <c r="C14" s="2"/>
      <c r="D14" s="2"/>
      <c r="E14" s="3"/>
      <c r="F14" s="5"/>
      <c r="G14" s="5"/>
      <c r="H14" s="5"/>
      <c r="I14" s="5"/>
    </row>
    <row r="15" spans="1:14">
      <c r="A15" s="1"/>
      <c r="B15" s="2"/>
      <c r="C15" s="2"/>
      <c r="D15" s="2"/>
      <c r="E15" s="3"/>
      <c r="F15" s="5"/>
      <c r="G15" s="5"/>
      <c r="H15" s="5"/>
      <c r="I15" s="5"/>
    </row>
    <row r="16" spans="1:14">
      <c r="A16" s="1"/>
      <c r="B16" s="2"/>
      <c r="C16" s="2"/>
      <c r="D16" s="2"/>
      <c r="E16" s="3"/>
      <c r="F16" s="5"/>
      <c r="G16" s="5"/>
      <c r="H16" s="5"/>
      <c r="I16" s="5"/>
    </row>
    <row r="17" spans="1:9">
      <c r="A17" s="1"/>
      <c r="B17" s="2"/>
      <c r="C17" s="2"/>
      <c r="D17" s="2"/>
      <c r="E17" s="3"/>
      <c r="F17" s="5"/>
      <c r="G17" s="5"/>
      <c r="H17" s="5"/>
      <c r="I17" s="5"/>
    </row>
    <row r="18" spans="1:9">
      <c r="A18" s="1"/>
      <c r="B18" s="2"/>
      <c r="C18" s="2"/>
      <c r="D18" s="2"/>
      <c r="E18" s="3"/>
      <c r="F18" s="5"/>
      <c r="G18" s="5"/>
      <c r="H18" s="5"/>
      <c r="I18" s="5"/>
    </row>
    <row r="19" spans="1:9">
      <c r="A19" s="1"/>
      <c r="B19" s="2"/>
      <c r="C19" s="2"/>
      <c r="D19" s="2"/>
      <c r="E19" s="3"/>
      <c r="F19" s="5"/>
      <c r="G19" s="5"/>
      <c r="H19" s="5"/>
      <c r="I19" s="5"/>
    </row>
    <row r="20" spans="1:9">
      <c r="A20" s="1"/>
      <c r="B20" s="2"/>
      <c r="C20" s="2"/>
      <c r="D20" s="2"/>
      <c r="E20" s="3"/>
      <c r="F20" s="5"/>
      <c r="G20" s="5"/>
      <c r="H20" s="5"/>
      <c r="I20" s="5"/>
    </row>
    <row r="21" spans="1:9">
      <c r="A21" s="1"/>
      <c r="B21" s="2"/>
      <c r="C21" s="2"/>
      <c r="D21" s="2"/>
      <c r="E21" s="3"/>
      <c r="F21" s="5"/>
      <c r="G21" s="5"/>
      <c r="H21" s="5"/>
      <c r="I21" s="5"/>
    </row>
    <row r="22" spans="1:9">
      <c r="A22" s="1"/>
      <c r="B22" s="2"/>
      <c r="C22" s="2"/>
      <c r="D22" s="2"/>
      <c r="E22" s="3"/>
      <c r="F22" s="5"/>
      <c r="G22" s="5"/>
      <c r="H22" s="5"/>
      <c r="I22" s="5"/>
    </row>
    <row r="23" spans="1:9">
      <c r="A23" s="1"/>
      <c r="B23" s="2"/>
      <c r="C23" s="2"/>
      <c r="D23" s="2"/>
      <c r="E23" s="3"/>
      <c r="F23" s="5"/>
      <c r="G23" s="5"/>
      <c r="H23" s="5"/>
      <c r="I23" s="5"/>
    </row>
    <row r="24" spans="1:9">
      <c r="A24" s="1"/>
      <c r="B24" s="2"/>
      <c r="C24" s="2"/>
      <c r="D24" s="2"/>
      <c r="E24" s="3"/>
      <c r="F24" s="5"/>
      <c r="G24" s="5"/>
      <c r="H24" s="5"/>
      <c r="I24" s="5"/>
    </row>
    <row r="25" spans="1:9">
      <c r="A25" s="1"/>
      <c r="B25" s="2"/>
      <c r="C25" s="2"/>
      <c r="D25" s="2"/>
      <c r="E25" s="3"/>
      <c r="F25" s="5"/>
      <c r="G25" s="5"/>
      <c r="H25" s="5"/>
      <c r="I25" s="5"/>
    </row>
    <row r="26" spans="1:9">
      <c r="A26" s="1"/>
      <c r="B26" s="2"/>
      <c r="C26" s="2"/>
      <c r="D26" s="2"/>
      <c r="E26" s="3"/>
      <c r="F26" s="5"/>
      <c r="G26" s="5"/>
      <c r="H26" s="5"/>
      <c r="I26" s="5"/>
    </row>
    <row r="27" spans="1:9">
      <c r="A27" s="1"/>
      <c r="B27" s="2"/>
      <c r="C27" s="2"/>
      <c r="D27" s="2"/>
      <c r="E27" s="3"/>
      <c r="F27" s="5"/>
      <c r="G27" s="5"/>
      <c r="H27" s="5"/>
      <c r="I27" s="5"/>
    </row>
    <row r="28" spans="1:9">
      <c r="A28" s="1"/>
      <c r="B28" s="2"/>
      <c r="C28" s="2"/>
      <c r="D28" s="2"/>
      <c r="E28" s="3"/>
      <c r="F28" s="5"/>
      <c r="G28" s="5"/>
      <c r="H28" s="5"/>
      <c r="I28" s="5"/>
    </row>
    <row r="29" spans="1:9">
      <c r="A29" s="1"/>
      <c r="B29" s="2"/>
      <c r="C29" s="2"/>
      <c r="D29" s="2"/>
      <c r="E29" s="3"/>
      <c r="F29" s="5"/>
      <c r="G29" s="5"/>
      <c r="H29" s="5"/>
      <c r="I29" s="5"/>
    </row>
    <row r="30" spans="1:9">
      <c r="A30" s="1"/>
      <c r="B30" s="2"/>
      <c r="C30" s="2"/>
      <c r="D30" s="2"/>
      <c r="E30" s="3"/>
      <c r="F30" s="5"/>
      <c r="G30" s="5"/>
      <c r="H30" s="5"/>
      <c r="I30" s="5"/>
    </row>
  </sheetData>
  <mergeCells count="2">
    <mergeCell ref="A1:I2"/>
    <mergeCell ref="K2:N8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C30" sqref="C30"/>
    </sheetView>
  </sheetViews>
  <sheetFormatPr defaultRowHeight="17.399999999999999"/>
  <cols>
    <col min="1" max="2" width="9" style="70"/>
    <col min="3" max="3" width="13.5" style="70" customWidth="1"/>
    <col min="4" max="4" width="36.69921875" style="70" customWidth="1"/>
    <col min="5" max="5" width="51.3984375" style="70" bestFit="1" customWidth="1"/>
    <col min="6" max="6" width="40.69921875" customWidth="1"/>
  </cols>
  <sheetData>
    <row r="1" spans="1:6">
      <c r="A1" s="70" t="s">
        <v>148</v>
      </c>
      <c r="C1" s="70" t="s">
        <v>149</v>
      </c>
      <c r="D1" s="70" t="s">
        <v>135</v>
      </c>
    </row>
    <row r="2" spans="1:6">
      <c r="A2" s="70">
        <v>1</v>
      </c>
      <c r="C2" s="70" t="s">
        <v>80</v>
      </c>
      <c r="D2" s="70" t="s">
        <v>150</v>
      </c>
      <c r="E2" s="70" t="s">
        <v>151</v>
      </c>
    </row>
    <row r="3" spans="1:6">
      <c r="A3" s="70">
        <v>2</v>
      </c>
      <c r="B3" s="231"/>
      <c r="C3" s="71" t="s">
        <v>152</v>
      </c>
      <c r="D3" s="70" t="s">
        <v>153</v>
      </c>
    </row>
    <row r="4" spans="1:6">
      <c r="B4" s="231"/>
      <c r="C4" s="71" t="s">
        <v>154</v>
      </c>
      <c r="D4" s="70" t="s">
        <v>153</v>
      </c>
    </row>
    <row r="5" spans="1:6">
      <c r="B5" s="231"/>
      <c r="C5" s="71" t="s">
        <v>155</v>
      </c>
      <c r="D5" s="70" t="s">
        <v>156</v>
      </c>
    </row>
    <row r="6" spans="1:6">
      <c r="B6" s="231"/>
      <c r="C6" s="71" t="s">
        <v>157</v>
      </c>
      <c r="D6" s="70" t="s">
        <v>158</v>
      </c>
    </row>
    <row r="7" spans="1:6">
      <c r="B7" s="231"/>
      <c r="C7" s="71" t="s">
        <v>159</v>
      </c>
      <c r="D7" s="70" t="s">
        <v>158</v>
      </c>
    </row>
    <row r="8" spans="1:6">
      <c r="B8" s="231"/>
      <c r="C8" s="72" t="s">
        <v>160</v>
      </c>
      <c r="D8" s="70" t="s">
        <v>161</v>
      </c>
    </row>
    <row r="9" spans="1:6">
      <c r="B9" s="231"/>
      <c r="C9" s="72" t="s">
        <v>162</v>
      </c>
      <c r="D9" s="70" t="s">
        <v>161</v>
      </c>
    </row>
    <row r="10" spans="1:6">
      <c r="B10" s="231"/>
      <c r="C10" s="72" t="s">
        <v>165</v>
      </c>
      <c r="D10" s="70" t="s">
        <v>161</v>
      </c>
    </row>
    <row r="11" spans="1:6">
      <c r="B11" s="231"/>
      <c r="C11" s="72" t="s">
        <v>163</v>
      </c>
      <c r="D11" s="70" t="s">
        <v>166</v>
      </c>
    </row>
    <row r="12" spans="1:6">
      <c r="B12" s="231"/>
      <c r="C12" s="72" t="s">
        <v>164</v>
      </c>
      <c r="D12" s="70" t="s">
        <v>158</v>
      </c>
    </row>
    <row r="13" spans="1:6">
      <c r="B13" s="231"/>
      <c r="C13" s="73" t="s">
        <v>167</v>
      </c>
      <c r="D13" s="70" t="s">
        <v>169</v>
      </c>
    </row>
    <row r="14" spans="1:6">
      <c r="B14" s="231"/>
      <c r="C14" s="73" t="s">
        <v>122</v>
      </c>
      <c r="D14" s="70" t="s">
        <v>169</v>
      </c>
      <c r="F14" s="70" t="s">
        <v>170</v>
      </c>
    </row>
    <row r="15" spans="1:6">
      <c r="B15" s="231"/>
      <c r="C15" s="73" t="s">
        <v>168</v>
      </c>
      <c r="D15" s="70" t="s">
        <v>169</v>
      </c>
    </row>
    <row r="16" spans="1:6">
      <c r="B16" s="231"/>
      <c r="C16" s="73" t="s">
        <v>83</v>
      </c>
      <c r="D16" s="70" t="s">
        <v>169</v>
      </c>
    </row>
    <row r="17" spans="2:4">
      <c r="B17" s="231"/>
      <c r="C17" s="70" t="s">
        <v>171</v>
      </c>
      <c r="D17" s="70" t="s">
        <v>173</v>
      </c>
    </row>
    <row r="18" spans="2:4">
      <c r="B18" s="231"/>
      <c r="C18" s="70" t="s">
        <v>84</v>
      </c>
      <c r="D18" s="70" t="s">
        <v>174</v>
      </c>
    </row>
    <row r="19" spans="2:4">
      <c r="B19" s="231"/>
      <c r="C19" s="70" t="s">
        <v>172</v>
      </c>
      <c r="D19" s="70" t="s">
        <v>175</v>
      </c>
    </row>
    <row r="20" spans="2:4">
      <c r="B20" s="70" t="s">
        <v>176</v>
      </c>
      <c r="C20" s="70" t="s">
        <v>177</v>
      </c>
      <c r="D20" s="70" t="s">
        <v>182</v>
      </c>
    </row>
    <row r="21" spans="2:4">
      <c r="C21" s="70" t="s">
        <v>178</v>
      </c>
      <c r="D21" s="70" t="s">
        <v>183</v>
      </c>
    </row>
    <row r="22" spans="2:4">
      <c r="C22" s="70" t="s">
        <v>179</v>
      </c>
      <c r="D22" s="70" t="s">
        <v>184</v>
      </c>
    </row>
    <row r="23" spans="2:4">
      <c r="C23" s="70" t="s">
        <v>180</v>
      </c>
    </row>
    <row r="24" spans="2:4">
      <c r="C24" s="70" t="s">
        <v>181</v>
      </c>
    </row>
    <row r="30" spans="2:4">
      <c r="C30" s="70" t="s">
        <v>185</v>
      </c>
    </row>
  </sheetData>
  <mergeCells count="4">
    <mergeCell ref="B3:B7"/>
    <mergeCell ref="B8:B12"/>
    <mergeCell ref="B13:B16"/>
    <mergeCell ref="B17:B19"/>
  </mergeCells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D14" sqref="D14"/>
    </sheetView>
  </sheetViews>
  <sheetFormatPr defaultRowHeight="17.399999999999999"/>
  <cols>
    <col min="1" max="1" width="8.69921875" style="74"/>
    <col min="2" max="2" width="27.8984375" style="74" customWidth="1"/>
    <col min="3" max="3" width="21.09765625" style="74" customWidth="1"/>
    <col min="4" max="4" width="67.3984375" style="74" bestFit="1" customWidth="1"/>
    <col min="5" max="5" width="57.3984375" style="74" bestFit="1" customWidth="1"/>
    <col min="6" max="6" width="37.69921875" style="74" bestFit="1" customWidth="1"/>
    <col min="8" max="8" width="12.09765625" bestFit="1" customWidth="1"/>
    <col min="9" max="9" width="10.19921875" bestFit="1" customWidth="1"/>
  </cols>
  <sheetData>
    <row r="1" spans="1:11">
      <c r="A1" s="74" t="s">
        <v>213</v>
      </c>
      <c r="B1" s="74" t="s">
        <v>210</v>
      </c>
      <c r="C1" s="74" t="s">
        <v>220</v>
      </c>
      <c r="D1" s="74" t="s">
        <v>221</v>
      </c>
      <c r="E1" s="74" t="s">
        <v>225</v>
      </c>
      <c r="F1" s="74" t="s">
        <v>211</v>
      </c>
      <c r="G1" s="231" t="s">
        <v>212</v>
      </c>
      <c r="H1" s="231"/>
      <c r="I1" s="231"/>
      <c r="J1" s="231"/>
    </row>
    <row r="2" spans="1:11">
      <c r="A2" s="231">
        <v>1</v>
      </c>
      <c r="B2" s="74" t="s">
        <v>203</v>
      </c>
      <c r="C2" s="231" t="s">
        <v>205</v>
      </c>
      <c r="D2" s="231" t="s">
        <v>218</v>
      </c>
      <c r="E2" s="231" t="s">
        <v>236</v>
      </c>
      <c r="F2" s="231" t="s">
        <v>239</v>
      </c>
      <c r="G2" s="74" t="s">
        <v>206</v>
      </c>
      <c r="H2" s="74" t="s">
        <v>207</v>
      </c>
      <c r="I2" s="74" t="s">
        <v>208</v>
      </c>
      <c r="J2" s="74" t="s">
        <v>209</v>
      </c>
    </row>
    <row r="3" spans="1:11">
      <c r="A3" s="231"/>
      <c r="B3" s="74" t="s">
        <v>204</v>
      </c>
      <c r="C3" s="231"/>
      <c r="D3" s="231"/>
      <c r="E3" s="231"/>
      <c r="F3" s="231"/>
      <c r="G3" s="74">
        <v>10</v>
      </c>
      <c r="H3" s="74">
        <v>1</v>
      </c>
      <c r="I3" s="74">
        <v>10</v>
      </c>
      <c r="J3" s="74">
        <f xml:space="preserve"> ((G3/H3) ^ ( 1 /I3) - 1)*100</f>
        <v>25.892541179416728</v>
      </c>
    </row>
    <row r="4" spans="1:11">
      <c r="A4" s="74">
        <v>2</v>
      </c>
      <c r="B4" s="74" t="s">
        <v>214</v>
      </c>
      <c r="C4" s="74" t="s">
        <v>215</v>
      </c>
      <c r="D4" s="74" t="s">
        <v>219</v>
      </c>
      <c r="E4" s="74" t="s">
        <v>226</v>
      </c>
      <c r="F4" s="74" t="s">
        <v>216</v>
      </c>
    </row>
    <row r="5" spans="1:11">
      <c r="A5" s="74">
        <v>3</v>
      </c>
      <c r="B5" s="74" t="s">
        <v>217</v>
      </c>
      <c r="C5" s="74" t="s">
        <v>223</v>
      </c>
      <c r="D5" s="74" t="s">
        <v>222</v>
      </c>
      <c r="E5" s="74" t="s">
        <v>227</v>
      </c>
    </row>
    <row r="6" spans="1:11">
      <c r="A6" s="74">
        <v>4</v>
      </c>
      <c r="B6" s="74" t="s">
        <v>224</v>
      </c>
      <c r="C6" s="74" t="s">
        <v>300</v>
      </c>
      <c r="D6" s="74" t="s">
        <v>409</v>
      </c>
      <c r="E6" s="74" t="s">
        <v>228</v>
      </c>
    </row>
    <row r="7" spans="1:11">
      <c r="B7" s="74" t="s">
        <v>229</v>
      </c>
      <c r="C7" s="74" t="s">
        <v>230</v>
      </c>
      <c r="D7" s="74" t="s">
        <v>231</v>
      </c>
      <c r="E7" s="74" t="s">
        <v>301</v>
      </c>
    </row>
    <row r="8" spans="1:11" ht="52.2">
      <c r="B8" s="74" t="s">
        <v>232</v>
      </c>
      <c r="C8" s="74" t="s">
        <v>233</v>
      </c>
      <c r="D8" s="75" t="s">
        <v>410</v>
      </c>
      <c r="E8" s="74" t="s">
        <v>234</v>
      </c>
    </row>
    <row r="9" spans="1:11" ht="34.799999999999997">
      <c r="B9" s="231" t="s">
        <v>235</v>
      </c>
      <c r="C9" s="231" t="s">
        <v>237</v>
      </c>
      <c r="D9" s="231" t="s">
        <v>238</v>
      </c>
      <c r="E9" s="231" t="s">
        <v>246</v>
      </c>
      <c r="F9" s="281" t="s">
        <v>244</v>
      </c>
      <c r="G9" s="75" t="s">
        <v>245</v>
      </c>
      <c r="H9" s="74" t="s">
        <v>240</v>
      </c>
      <c r="I9" s="75" t="s">
        <v>241</v>
      </c>
      <c r="J9" s="90" t="s">
        <v>242</v>
      </c>
      <c r="K9" s="75" t="s">
        <v>243</v>
      </c>
    </row>
    <row r="10" spans="1:11">
      <c r="B10" s="231"/>
      <c r="C10" s="231"/>
      <c r="D10" s="231"/>
      <c r="E10" s="231"/>
      <c r="F10" s="281"/>
      <c r="G10">
        <v>500</v>
      </c>
      <c r="H10" s="91">
        <v>0.03</v>
      </c>
      <c r="I10" s="91">
        <v>0.05</v>
      </c>
      <c r="J10">
        <v>20</v>
      </c>
      <c r="K10" s="92">
        <f>(G10*12*(H10+1) ^ J10)/(I10-H10)</f>
        <v>541833.37040082389</v>
      </c>
    </row>
    <row r="11" spans="1:11">
      <c r="B11" s="74" t="s">
        <v>247</v>
      </c>
      <c r="C11" s="74" t="s">
        <v>248</v>
      </c>
      <c r="D11" s="74" t="s">
        <v>249</v>
      </c>
      <c r="E11" s="74" t="s">
        <v>250</v>
      </c>
    </row>
    <row r="12" spans="1:11" ht="69.599999999999994">
      <c r="B12" s="74" t="s">
        <v>270</v>
      </c>
      <c r="C12" s="74" t="s">
        <v>271</v>
      </c>
      <c r="D12" s="75" t="s">
        <v>278</v>
      </c>
      <c r="E12" s="75" t="s">
        <v>273</v>
      </c>
      <c r="F12" s="75" t="s">
        <v>272</v>
      </c>
    </row>
    <row r="13" spans="1:11">
      <c r="B13" s="74" t="s">
        <v>295</v>
      </c>
      <c r="D13" s="74" t="s">
        <v>296</v>
      </c>
      <c r="E13" s="74" t="s">
        <v>297</v>
      </c>
    </row>
    <row r="14" spans="1:11" ht="34.799999999999997">
      <c r="B14" s="74" t="s">
        <v>163</v>
      </c>
      <c r="C14" s="74" t="s">
        <v>308</v>
      </c>
      <c r="D14" s="75" t="s">
        <v>309</v>
      </c>
      <c r="E14" s="75" t="s">
        <v>310</v>
      </c>
      <c r="F14" s="74" t="s">
        <v>311</v>
      </c>
    </row>
    <row r="15" spans="1:11">
      <c r="B15" s="74" t="s">
        <v>157</v>
      </c>
      <c r="C15" s="74" t="s">
        <v>318</v>
      </c>
      <c r="D15" s="74" t="s">
        <v>316</v>
      </c>
      <c r="E15" s="74" t="s">
        <v>315</v>
      </c>
      <c r="F15" s="74" t="s">
        <v>317</v>
      </c>
    </row>
    <row r="16" spans="1:11">
      <c r="B16" s="74" t="s">
        <v>171</v>
      </c>
      <c r="C16" s="74" t="s">
        <v>319</v>
      </c>
      <c r="D16" s="74" t="s">
        <v>320</v>
      </c>
      <c r="E16" s="74" t="s">
        <v>321</v>
      </c>
      <c r="F16" s="74" t="s">
        <v>322</v>
      </c>
    </row>
    <row r="17" spans="2:6" ht="34.799999999999997">
      <c r="B17" s="74" t="s">
        <v>326</v>
      </c>
      <c r="C17" s="74" t="s">
        <v>327</v>
      </c>
      <c r="D17" s="74" t="s">
        <v>328</v>
      </c>
      <c r="E17" s="75" t="s">
        <v>329</v>
      </c>
      <c r="F17" s="74" t="s">
        <v>330</v>
      </c>
    </row>
    <row r="18" spans="2:6">
      <c r="B18" s="74" t="s">
        <v>339</v>
      </c>
      <c r="C18" s="74" t="s">
        <v>341</v>
      </c>
      <c r="D18" s="74" t="s">
        <v>342</v>
      </c>
      <c r="E18" s="74" t="s">
        <v>344</v>
      </c>
      <c r="F18" s="74" t="s">
        <v>343</v>
      </c>
    </row>
    <row r="19" spans="2:6">
      <c r="B19" s="74" t="s">
        <v>349</v>
      </c>
      <c r="C19" s="74" t="s">
        <v>350</v>
      </c>
      <c r="D19" s="74" t="s">
        <v>351</v>
      </c>
      <c r="E19" s="74" t="s">
        <v>352</v>
      </c>
      <c r="F19" s="74" t="s">
        <v>353</v>
      </c>
    </row>
    <row r="20" spans="2:6">
      <c r="B20" s="74" t="s">
        <v>357</v>
      </c>
      <c r="C20" s="74" t="s">
        <v>358</v>
      </c>
      <c r="D20" s="74" t="s">
        <v>359</v>
      </c>
      <c r="E20" s="74" t="s">
        <v>360</v>
      </c>
      <c r="F20" s="74" t="s">
        <v>361</v>
      </c>
    </row>
    <row r="21" spans="2:6" ht="34.799999999999997">
      <c r="B21" s="74" t="s">
        <v>362</v>
      </c>
      <c r="C21" s="74" t="s">
        <v>363</v>
      </c>
      <c r="D21" s="74" t="s">
        <v>364</v>
      </c>
      <c r="E21" s="74" t="s">
        <v>366</v>
      </c>
      <c r="F21" s="75" t="s">
        <v>365</v>
      </c>
    </row>
    <row r="22" spans="2:6">
      <c r="B22" s="74" t="s">
        <v>370</v>
      </c>
      <c r="C22" s="74" t="s">
        <v>371</v>
      </c>
      <c r="D22" s="74" t="s">
        <v>372</v>
      </c>
      <c r="E22" s="74" t="s">
        <v>373</v>
      </c>
      <c r="F22" s="74" t="s">
        <v>386</v>
      </c>
    </row>
    <row r="23" spans="2:6">
      <c r="B23" s="74" t="s">
        <v>384</v>
      </c>
      <c r="C23" s="74" t="s">
        <v>340</v>
      </c>
      <c r="D23" s="74" t="s">
        <v>385</v>
      </c>
      <c r="E23" s="74" t="s">
        <v>373</v>
      </c>
      <c r="F23" s="74" t="s">
        <v>386</v>
      </c>
    </row>
    <row r="24" spans="2:6">
      <c r="B24" s="74" t="s">
        <v>374</v>
      </c>
      <c r="C24" s="74" t="s">
        <v>375</v>
      </c>
      <c r="D24" s="74" t="s">
        <v>376</v>
      </c>
      <c r="E24" s="74" t="s">
        <v>377</v>
      </c>
      <c r="F24" s="74" t="s">
        <v>377</v>
      </c>
    </row>
    <row r="25" spans="2:6">
      <c r="B25" s="74" t="s">
        <v>378</v>
      </c>
      <c r="C25" s="74" t="s">
        <v>379</v>
      </c>
      <c r="D25" s="74" t="s">
        <v>380</v>
      </c>
      <c r="E25" s="74" t="s">
        <v>381</v>
      </c>
    </row>
    <row r="26" spans="2:6">
      <c r="B26" s="74" t="s">
        <v>382</v>
      </c>
      <c r="C26" s="74" t="s">
        <v>358</v>
      </c>
      <c r="D26" s="74" t="s">
        <v>383</v>
      </c>
    </row>
    <row r="27" spans="2:6">
      <c r="B27" s="74" t="s">
        <v>387</v>
      </c>
      <c r="C27" s="74" t="s">
        <v>388</v>
      </c>
      <c r="D27" s="74" t="s">
        <v>389</v>
      </c>
      <c r="E27" s="74" t="s">
        <v>390</v>
      </c>
      <c r="F27" s="74" t="s">
        <v>391</v>
      </c>
    </row>
  </sheetData>
  <mergeCells count="11">
    <mergeCell ref="G1:J1"/>
    <mergeCell ref="C2:C3"/>
    <mergeCell ref="F2:F3"/>
    <mergeCell ref="A2:A3"/>
    <mergeCell ref="D2:D3"/>
    <mergeCell ref="E2:E3"/>
    <mergeCell ref="B9:B10"/>
    <mergeCell ref="C9:C10"/>
    <mergeCell ref="D9:D10"/>
    <mergeCell ref="E9:E10"/>
    <mergeCell ref="F9:F10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C38" sqref="C38"/>
    </sheetView>
  </sheetViews>
  <sheetFormatPr defaultRowHeight="17.399999999999999"/>
  <cols>
    <col min="1" max="1" width="8.69921875" style="74"/>
    <col min="2" max="2" width="11.59765625" style="74" bestFit="1" customWidth="1"/>
    <col min="3" max="3" width="19.09765625" style="74" bestFit="1" customWidth="1"/>
    <col min="4" max="4" width="19.09765625" style="74" customWidth="1"/>
    <col min="5" max="5" width="72.69921875" style="74" bestFit="1" customWidth="1"/>
    <col min="6" max="6" width="50.69921875" style="74" bestFit="1" customWidth="1"/>
    <col min="7" max="7" width="36.09765625" style="74" bestFit="1" customWidth="1"/>
    <col min="8" max="8" width="217.3984375" style="74" bestFit="1" customWidth="1"/>
    <col min="9" max="13" width="8.69921875" style="74"/>
  </cols>
  <sheetData>
    <row r="1" spans="1:8" ht="31.2" customHeight="1">
      <c r="A1" s="95" t="s">
        <v>148</v>
      </c>
      <c r="B1" s="95" t="s">
        <v>302</v>
      </c>
      <c r="C1" s="95" t="s">
        <v>260</v>
      </c>
      <c r="D1" s="95" t="s">
        <v>448</v>
      </c>
      <c r="E1" s="95" t="s">
        <v>251</v>
      </c>
      <c r="F1" s="95" t="s">
        <v>252</v>
      </c>
      <c r="G1" s="95" t="s">
        <v>449</v>
      </c>
      <c r="H1" s="95" t="s">
        <v>450</v>
      </c>
    </row>
    <row r="2" spans="1:8">
      <c r="A2" s="2">
        <v>1</v>
      </c>
      <c r="B2" s="8">
        <v>0.06</v>
      </c>
      <c r="C2" s="2" t="s">
        <v>259</v>
      </c>
      <c r="D2" s="2"/>
      <c r="E2" s="2" t="s">
        <v>253</v>
      </c>
      <c r="F2" s="2" t="s">
        <v>254</v>
      </c>
      <c r="G2" s="2"/>
      <c r="H2" s="2"/>
    </row>
    <row r="3" spans="1:8">
      <c r="A3" s="2">
        <v>2</v>
      </c>
      <c r="B3" s="8">
        <v>7.0000000000000007E-2</v>
      </c>
      <c r="C3" s="2" t="s">
        <v>259</v>
      </c>
      <c r="D3" s="2"/>
      <c r="E3" s="2" t="s">
        <v>255</v>
      </c>
      <c r="F3" s="2" t="s">
        <v>256</v>
      </c>
      <c r="G3" s="2"/>
      <c r="H3" s="2"/>
    </row>
    <row r="4" spans="1:8">
      <c r="A4" s="2">
        <v>3</v>
      </c>
      <c r="B4" s="8">
        <v>0.09</v>
      </c>
      <c r="C4" s="2" t="s">
        <v>261</v>
      </c>
      <c r="D4" s="2"/>
      <c r="E4" s="2" t="s">
        <v>257</v>
      </c>
      <c r="F4" s="2" t="s">
        <v>258</v>
      </c>
      <c r="G4" s="2"/>
      <c r="H4" s="2"/>
    </row>
    <row r="5" spans="1:8">
      <c r="A5" s="2">
        <v>4</v>
      </c>
      <c r="B5" s="8">
        <v>0.1</v>
      </c>
      <c r="C5" s="2" t="s">
        <v>262</v>
      </c>
      <c r="D5" s="2"/>
      <c r="E5" s="2" t="s">
        <v>263</v>
      </c>
      <c r="F5" s="2" t="s">
        <v>264</v>
      </c>
      <c r="G5" s="2" t="s">
        <v>266</v>
      </c>
      <c r="H5" s="2" t="s">
        <v>265</v>
      </c>
    </row>
    <row r="6" spans="1:8" ht="52.2">
      <c r="A6" s="2">
        <v>5</v>
      </c>
      <c r="B6" s="8">
        <v>0.1</v>
      </c>
      <c r="C6" s="2" t="s">
        <v>268</v>
      </c>
      <c r="D6" s="2"/>
      <c r="E6" s="93" t="s">
        <v>269</v>
      </c>
      <c r="F6" s="2" t="s">
        <v>254</v>
      </c>
      <c r="G6" s="2"/>
      <c r="H6" s="2"/>
    </row>
    <row r="7" spans="1:8" ht="34.799999999999997">
      <c r="A7" s="2">
        <v>6</v>
      </c>
      <c r="B7" s="8">
        <v>0.1</v>
      </c>
      <c r="C7" s="2" t="s">
        <v>267</v>
      </c>
      <c r="D7" s="2"/>
      <c r="E7" s="2" t="s">
        <v>274</v>
      </c>
      <c r="F7" s="2" t="s">
        <v>275</v>
      </c>
      <c r="G7" s="93" t="s">
        <v>277</v>
      </c>
      <c r="H7" s="2" t="s">
        <v>276</v>
      </c>
    </row>
    <row r="8" spans="1:8" ht="34.799999999999997">
      <c r="A8" s="2">
        <v>7</v>
      </c>
      <c r="B8" s="8">
        <v>0.15</v>
      </c>
      <c r="C8" s="2" t="s">
        <v>279</v>
      </c>
      <c r="D8" s="2"/>
      <c r="E8" s="2" t="s">
        <v>280</v>
      </c>
      <c r="F8" s="93" t="s">
        <v>281</v>
      </c>
      <c r="G8" s="2"/>
      <c r="H8" s="2"/>
    </row>
    <row r="9" spans="1:8" ht="52.2">
      <c r="A9" s="2">
        <v>8</v>
      </c>
      <c r="B9" s="8">
        <v>0.15</v>
      </c>
      <c r="C9" s="2" t="s">
        <v>303</v>
      </c>
      <c r="D9" s="2"/>
      <c r="E9" s="93" t="s">
        <v>298</v>
      </c>
      <c r="F9" s="93" t="s">
        <v>307</v>
      </c>
      <c r="G9" s="2"/>
      <c r="H9" s="2"/>
    </row>
    <row r="10" spans="1:8" ht="52.2">
      <c r="A10" s="2">
        <v>9</v>
      </c>
      <c r="B10" s="8">
        <v>0.15</v>
      </c>
      <c r="C10" s="2" t="s">
        <v>304</v>
      </c>
      <c r="D10" s="2"/>
      <c r="E10" s="93" t="s">
        <v>305</v>
      </c>
      <c r="F10" s="93" t="s">
        <v>299</v>
      </c>
      <c r="G10" s="2"/>
      <c r="H10" s="2"/>
    </row>
    <row r="11" spans="1:8" ht="52.2">
      <c r="A11" s="2">
        <v>10</v>
      </c>
      <c r="B11" s="8">
        <v>0.15</v>
      </c>
      <c r="C11" s="2" t="s">
        <v>303</v>
      </c>
      <c r="D11" s="2"/>
      <c r="E11" s="93" t="s">
        <v>306</v>
      </c>
      <c r="F11" s="93" t="s">
        <v>307</v>
      </c>
      <c r="G11" s="2"/>
      <c r="H11" s="2"/>
    </row>
    <row r="12" spans="1:8" ht="34.799999999999997">
      <c r="A12" s="2">
        <v>11</v>
      </c>
      <c r="B12" s="8">
        <v>0.15</v>
      </c>
      <c r="C12" s="2" t="s">
        <v>312</v>
      </c>
      <c r="D12" s="2"/>
      <c r="E12" s="93" t="s">
        <v>313</v>
      </c>
      <c r="F12" s="93" t="s">
        <v>314</v>
      </c>
      <c r="G12" s="2"/>
      <c r="H12" s="2"/>
    </row>
    <row r="13" spans="1:8" ht="34.799999999999997">
      <c r="A13" s="2">
        <v>12</v>
      </c>
      <c r="B13" s="8">
        <v>0.15</v>
      </c>
      <c r="C13" s="2" t="s">
        <v>323</v>
      </c>
      <c r="D13" s="2"/>
      <c r="E13" s="93" t="s">
        <v>324</v>
      </c>
      <c r="F13" s="2" t="s">
        <v>325</v>
      </c>
      <c r="G13" s="2"/>
      <c r="H13" s="2"/>
    </row>
    <row r="14" spans="1:8" ht="34.799999999999997">
      <c r="A14" s="2">
        <v>13</v>
      </c>
      <c r="B14" s="8" t="s">
        <v>335</v>
      </c>
      <c r="C14" s="2" t="s">
        <v>331</v>
      </c>
      <c r="D14" s="2"/>
      <c r="E14" s="93" t="s">
        <v>333</v>
      </c>
      <c r="F14" s="2" t="s">
        <v>332</v>
      </c>
      <c r="G14" s="2" t="s">
        <v>334</v>
      </c>
      <c r="H14" s="2"/>
    </row>
    <row r="15" spans="1:8" ht="34.799999999999997">
      <c r="A15" s="2">
        <v>14</v>
      </c>
      <c r="B15" s="8" t="s">
        <v>335</v>
      </c>
      <c r="C15" s="2" t="s">
        <v>331</v>
      </c>
      <c r="D15" s="2"/>
      <c r="E15" s="93" t="s">
        <v>336</v>
      </c>
      <c r="F15" s="2" t="s">
        <v>337</v>
      </c>
      <c r="G15" s="2" t="s">
        <v>338</v>
      </c>
      <c r="H15" s="2"/>
    </row>
    <row r="16" spans="1:8" ht="69.599999999999994">
      <c r="A16" s="2">
        <v>15</v>
      </c>
      <c r="B16" s="2" t="s">
        <v>345</v>
      </c>
      <c r="C16" s="2" t="s">
        <v>346</v>
      </c>
      <c r="D16" s="2"/>
      <c r="E16" s="93" t="s">
        <v>347</v>
      </c>
      <c r="F16" s="2" t="s">
        <v>332</v>
      </c>
      <c r="G16" s="93" t="s">
        <v>348</v>
      </c>
      <c r="H16" s="2"/>
    </row>
    <row r="17" spans="1:8" ht="52.2">
      <c r="A17" s="2">
        <v>16</v>
      </c>
      <c r="B17" s="2" t="s">
        <v>345</v>
      </c>
      <c r="C17" s="2" t="s">
        <v>331</v>
      </c>
      <c r="D17" s="2"/>
      <c r="E17" s="93" t="s">
        <v>355</v>
      </c>
      <c r="F17" s="2" t="s">
        <v>356</v>
      </c>
      <c r="G17" s="93" t="s">
        <v>354</v>
      </c>
      <c r="H17" s="2"/>
    </row>
    <row r="18" spans="1:8" ht="34.799999999999997">
      <c r="A18" s="2">
        <v>17</v>
      </c>
      <c r="B18" s="8">
        <v>0.2</v>
      </c>
      <c r="C18" s="2" t="s">
        <v>367</v>
      </c>
      <c r="D18" s="2"/>
      <c r="E18" s="93" t="s">
        <v>368</v>
      </c>
      <c r="F18" s="2" t="s">
        <v>369</v>
      </c>
      <c r="G18" s="2"/>
      <c r="H18" s="2"/>
    </row>
    <row r="19" spans="1:8">
      <c r="A19" s="2">
        <v>18</v>
      </c>
      <c r="B19" s="8">
        <v>0.2</v>
      </c>
      <c r="C19" s="2" t="s">
        <v>323</v>
      </c>
      <c r="D19" s="2"/>
      <c r="E19" s="2" t="s">
        <v>392</v>
      </c>
      <c r="F19" s="2" t="s">
        <v>393</v>
      </c>
      <c r="G19" s="2"/>
      <c r="H19" s="2"/>
    </row>
    <row r="20" spans="1:8" ht="34.799999999999997">
      <c r="A20" s="2">
        <v>19</v>
      </c>
      <c r="B20" s="2" t="s">
        <v>394</v>
      </c>
      <c r="C20" s="2" t="s">
        <v>395</v>
      </c>
      <c r="D20" s="2"/>
      <c r="E20" s="93" t="s">
        <v>396</v>
      </c>
      <c r="F20" s="2" t="s">
        <v>397</v>
      </c>
      <c r="G20" s="2"/>
      <c r="H20" s="2"/>
    </row>
    <row r="21" spans="1:8" ht="34.799999999999997">
      <c r="A21" s="2">
        <v>20</v>
      </c>
      <c r="B21" s="2" t="s">
        <v>394</v>
      </c>
      <c r="C21" s="2" t="s">
        <v>398</v>
      </c>
      <c r="D21" s="2"/>
      <c r="E21" s="93" t="s">
        <v>401</v>
      </c>
      <c r="F21" s="2" t="s">
        <v>399</v>
      </c>
      <c r="G21" s="2"/>
      <c r="H21" s="2"/>
    </row>
    <row r="22" spans="1:8" ht="34.799999999999997">
      <c r="A22" s="2">
        <v>21</v>
      </c>
      <c r="B22" s="8">
        <v>0.2</v>
      </c>
      <c r="C22" s="2" t="s">
        <v>400</v>
      </c>
      <c r="D22" s="2"/>
      <c r="E22" s="93" t="s">
        <v>402</v>
      </c>
      <c r="F22" s="2" t="s">
        <v>403</v>
      </c>
      <c r="G22" s="2"/>
      <c r="H22" s="2"/>
    </row>
    <row r="23" spans="1:8" ht="52.2">
      <c r="A23" s="2">
        <v>22</v>
      </c>
      <c r="B23" s="2" t="s">
        <v>394</v>
      </c>
      <c r="C23" s="2" t="s">
        <v>400</v>
      </c>
      <c r="D23" s="2"/>
      <c r="E23" s="93" t="s">
        <v>404</v>
      </c>
      <c r="F23" s="2" t="s">
        <v>403</v>
      </c>
      <c r="G23" s="2"/>
      <c r="H23" s="2"/>
    </row>
    <row r="24" spans="1:8" ht="34.799999999999997">
      <c r="A24" s="2">
        <v>23</v>
      </c>
      <c r="B24" s="2" t="s">
        <v>394</v>
      </c>
      <c r="C24" s="2" t="s">
        <v>405</v>
      </c>
      <c r="D24" s="2"/>
      <c r="E24" s="2" t="s">
        <v>406</v>
      </c>
      <c r="F24" s="93" t="s">
        <v>407</v>
      </c>
      <c r="G24" s="2" t="s">
        <v>408</v>
      </c>
      <c r="H24" s="2"/>
    </row>
    <row r="25" spans="1:8">
      <c r="A25" s="2">
        <v>24</v>
      </c>
      <c r="B25" s="94">
        <v>0.16250000000000001</v>
      </c>
      <c r="C25" s="2" t="s">
        <v>411</v>
      </c>
      <c r="D25" s="2"/>
      <c r="E25" s="2" t="s">
        <v>412</v>
      </c>
      <c r="F25" s="2"/>
      <c r="G25" s="2" t="s">
        <v>417</v>
      </c>
      <c r="H25" s="2"/>
    </row>
    <row r="26" spans="1:8">
      <c r="A26" s="2">
        <v>25</v>
      </c>
      <c r="B26" s="94">
        <v>0.1658</v>
      </c>
      <c r="C26" s="2" t="s">
        <v>331</v>
      </c>
      <c r="D26" s="2"/>
      <c r="E26" s="2" t="s">
        <v>413</v>
      </c>
      <c r="F26" s="2"/>
      <c r="G26" s="2"/>
      <c r="H26" s="2"/>
    </row>
    <row r="27" spans="1:8">
      <c r="A27" s="2">
        <v>26</v>
      </c>
      <c r="B27" s="94">
        <v>0.16250000000000001</v>
      </c>
      <c r="C27" s="2" t="s">
        <v>331</v>
      </c>
      <c r="D27" s="2"/>
      <c r="E27" s="2" t="s">
        <v>414</v>
      </c>
      <c r="F27" s="2"/>
      <c r="G27" s="2"/>
      <c r="H27" s="2"/>
    </row>
    <row r="28" spans="1:8" ht="87">
      <c r="A28" s="2">
        <v>27</v>
      </c>
      <c r="B28" s="2">
        <v>15.93</v>
      </c>
      <c r="C28" s="2" t="s">
        <v>418</v>
      </c>
      <c r="D28" s="2"/>
      <c r="E28" s="93" t="s">
        <v>416</v>
      </c>
      <c r="F28" s="2"/>
      <c r="G28" s="2" t="s">
        <v>415</v>
      </c>
      <c r="H28" s="2"/>
    </row>
    <row r="29" spans="1:8" ht="34.799999999999997">
      <c r="A29" s="2">
        <v>28</v>
      </c>
      <c r="B29" s="94">
        <v>0.17180000000000001</v>
      </c>
      <c r="C29" s="2" t="s">
        <v>419</v>
      </c>
      <c r="D29" s="2"/>
      <c r="E29" s="93" t="s">
        <v>420</v>
      </c>
      <c r="F29" s="2"/>
      <c r="G29" s="2"/>
      <c r="H29" s="2"/>
    </row>
    <row r="30" spans="1:8" ht="69.599999999999994">
      <c r="A30" s="2">
        <v>29</v>
      </c>
      <c r="B30" s="94">
        <v>0.20530000000000001</v>
      </c>
      <c r="C30" s="2" t="s">
        <v>421</v>
      </c>
      <c r="D30" s="2"/>
      <c r="E30" s="93" t="s">
        <v>422</v>
      </c>
      <c r="F30" s="2"/>
      <c r="G30" s="2"/>
      <c r="H30" s="2"/>
    </row>
    <row r="31" spans="1:8" ht="69.599999999999994">
      <c r="A31" s="2">
        <v>30</v>
      </c>
      <c r="B31" s="8">
        <v>0.2</v>
      </c>
      <c r="C31" s="2" t="s">
        <v>421</v>
      </c>
      <c r="D31" s="2"/>
      <c r="E31" s="93" t="s">
        <v>423</v>
      </c>
      <c r="F31" s="2"/>
      <c r="G31" s="2"/>
      <c r="H31" s="2"/>
    </row>
    <row r="32" spans="1:8" ht="34.799999999999997">
      <c r="A32" s="2">
        <v>31</v>
      </c>
      <c r="B32" s="94">
        <v>0.21190000000000001</v>
      </c>
      <c r="C32" s="2" t="s">
        <v>424</v>
      </c>
      <c r="D32" s="2"/>
      <c r="E32" s="93" t="s">
        <v>425</v>
      </c>
      <c r="F32" s="2"/>
      <c r="G32" s="2" t="s">
        <v>426</v>
      </c>
      <c r="H32" s="2"/>
    </row>
    <row r="33" spans="1:8" ht="34.799999999999997">
      <c r="A33" s="2">
        <v>32</v>
      </c>
      <c r="B33" s="8">
        <v>0.15</v>
      </c>
      <c r="C33" s="2" t="s">
        <v>427</v>
      </c>
      <c r="D33" s="2"/>
      <c r="E33" s="93" t="s">
        <v>428</v>
      </c>
      <c r="F33" s="2"/>
      <c r="G33" s="2" t="s">
        <v>429</v>
      </c>
      <c r="H33" s="2"/>
    </row>
    <row r="34" spans="1:8" ht="87">
      <c r="A34" s="2">
        <v>33</v>
      </c>
      <c r="B34" s="8">
        <v>0.2</v>
      </c>
      <c r="C34" s="2" t="s">
        <v>431</v>
      </c>
      <c r="D34" s="2"/>
      <c r="E34" s="93" t="s">
        <v>430</v>
      </c>
      <c r="F34" s="2"/>
      <c r="G34" s="2" t="s">
        <v>432</v>
      </c>
      <c r="H34" s="2"/>
    </row>
    <row r="35" spans="1:8" ht="87">
      <c r="A35" s="2">
        <v>34</v>
      </c>
      <c r="B35" s="8">
        <v>0.17</v>
      </c>
      <c r="C35" s="93" t="s">
        <v>433</v>
      </c>
      <c r="D35" s="93"/>
      <c r="E35" s="93" t="s">
        <v>434</v>
      </c>
      <c r="F35" s="2" t="s">
        <v>397</v>
      </c>
      <c r="G35" s="2"/>
      <c r="H35" s="2"/>
    </row>
    <row r="36" spans="1:8" ht="104.4">
      <c r="A36" s="2">
        <v>35</v>
      </c>
      <c r="B36" s="8">
        <v>0.25</v>
      </c>
      <c r="C36" s="2" t="s">
        <v>435</v>
      </c>
      <c r="D36" s="2"/>
      <c r="E36" s="93" t="s">
        <v>436</v>
      </c>
      <c r="F36" s="93" t="s">
        <v>437</v>
      </c>
      <c r="G36" s="93" t="s">
        <v>440</v>
      </c>
      <c r="H36" s="2"/>
    </row>
    <row r="37" spans="1:8" ht="104.4">
      <c r="A37" s="2">
        <v>36</v>
      </c>
      <c r="B37" s="2" t="s">
        <v>438</v>
      </c>
      <c r="C37" s="2" t="s">
        <v>435</v>
      </c>
      <c r="D37" s="2"/>
      <c r="E37" s="93" t="s">
        <v>436</v>
      </c>
      <c r="F37" s="93" t="s">
        <v>439</v>
      </c>
      <c r="G37" s="93" t="s">
        <v>440</v>
      </c>
      <c r="H37" s="2"/>
    </row>
    <row r="38" spans="1:8" ht="208.8">
      <c r="A38" s="2">
        <v>37</v>
      </c>
      <c r="B38" s="8">
        <v>0.25</v>
      </c>
      <c r="C38" s="2" t="s">
        <v>441</v>
      </c>
      <c r="D38" s="2"/>
      <c r="E38" s="93" t="s">
        <v>442</v>
      </c>
      <c r="F38" s="2" t="s">
        <v>443</v>
      </c>
      <c r="G38" s="93" t="s">
        <v>447</v>
      </c>
      <c r="H38" s="2"/>
    </row>
    <row r="39" spans="1:8">
      <c r="A39" s="2">
        <v>38</v>
      </c>
      <c r="B39" s="2" t="s">
        <v>445</v>
      </c>
      <c r="C39" s="2" t="s">
        <v>446</v>
      </c>
      <c r="D39" s="2"/>
      <c r="E39" s="2" t="s">
        <v>444</v>
      </c>
      <c r="F39" s="2"/>
      <c r="G39" s="2"/>
      <c r="H39" s="2"/>
    </row>
  </sheetData>
  <autoFilter ref="A1:M39"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L21" sqref="L21"/>
    </sheetView>
  </sheetViews>
  <sheetFormatPr defaultRowHeight="17.399999999999999"/>
  <cols>
    <col min="7" max="7" width="16.5" customWidth="1"/>
  </cols>
  <sheetData>
    <row r="2" spans="2:7">
      <c r="B2" s="285" t="s">
        <v>294</v>
      </c>
      <c r="C2" s="285"/>
      <c r="D2" s="285"/>
      <c r="E2" s="285"/>
      <c r="F2" s="285"/>
      <c r="G2" s="285"/>
    </row>
    <row r="3" spans="2:7">
      <c r="B3" s="2" t="s">
        <v>282</v>
      </c>
      <c r="C3" s="2" t="s">
        <v>289</v>
      </c>
      <c r="D3" s="2" t="s">
        <v>290</v>
      </c>
      <c r="E3" s="2" t="s">
        <v>291</v>
      </c>
      <c r="F3" s="2" t="s">
        <v>292</v>
      </c>
      <c r="G3" s="2" t="s">
        <v>293</v>
      </c>
    </row>
    <row r="4" spans="2:7">
      <c r="B4" s="2" t="s">
        <v>287</v>
      </c>
      <c r="C4" s="2">
        <v>60400</v>
      </c>
      <c r="D4" s="2">
        <v>52100</v>
      </c>
      <c r="E4" s="2">
        <v>53400</v>
      </c>
      <c r="F4" s="2">
        <f>(C4-D4)/E4*100</f>
        <v>15.543071161048688</v>
      </c>
      <c r="G4" s="282">
        <f>E10-(((F4+F5+F6+F7+F8+F9))/6*0.01*0.1*E10)</f>
        <v>55017.882548592017</v>
      </c>
    </row>
    <row r="5" spans="2:7">
      <c r="B5" s="2" t="s">
        <v>283</v>
      </c>
      <c r="C5" s="2">
        <v>57000</v>
      </c>
      <c r="D5" s="2">
        <v>49900</v>
      </c>
      <c r="E5" s="2">
        <v>50800</v>
      </c>
      <c r="F5" s="2">
        <f t="shared" ref="F5:F9" si="0">(C5-D5)/E5*100</f>
        <v>13.976377952755906</v>
      </c>
      <c r="G5" s="283"/>
    </row>
    <row r="6" spans="2:7">
      <c r="B6" s="2" t="s">
        <v>284</v>
      </c>
      <c r="C6" s="2">
        <v>51200</v>
      </c>
      <c r="D6" s="2">
        <v>47200</v>
      </c>
      <c r="E6" s="2">
        <v>48900</v>
      </c>
      <c r="F6" s="2">
        <f t="shared" si="0"/>
        <v>8.1799591002044991</v>
      </c>
      <c r="G6" s="283"/>
    </row>
    <row r="7" spans="2:7">
      <c r="B7" s="2" t="s">
        <v>285</v>
      </c>
      <c r="C7" s="2">
        <v>52000</v>
      </c>
      <c r="D7" s="2">
        <v>45350</v>
      </c>
      <c r="E7" s="2">
        <v>47450</v>
      </c>
      <c r="F7" s="2">
        <f t="shared" si="0"/>
        <v>14.014752370916755</v>
      </c>
      <c r="G7" s="283"/>
    </row>
    <row r="8" spans="2:7">
      <c r="B8" s="2" t="s">
        <v>286</v>
      </c>
      <c r="C8" s="2">
        <v>58000</v>
      </c>
      <c r="D8" s="2">
        <v>42300</v>
      </c>
      <c r="E8" s="2">
        <v>54300</v>
      </c>
      <c r="F8" s="2">
        <f t="shared" si="0"/>
        <v>28.913443830570902</v>
      </c>
      <c r="G8" s="283"/>
    </row>
    <row r="9" spans="2:7">
      <c r="B9" s="2" t="s">
        <v>288</v>
      </c>
      <c r="C9" s="2">
        <v>62000</v>
      </c>
      <c r="D9" s="2">
        <v>54200</v>
      </c>
      <c r="E9" s="2">
        <v>55500</v>
      </c>
      <c r="F9" s="2">
        <f t="shared" si="0"/>
        <v>14.054054054054054</v>
      </c>
      <c r="G9" s="283"/>
    </row>
    <row r="10" spans="2:7">
      <c r="B10" s="2" t="s">
        <v>141</v>
      </c>
      <c r="C10" s="2"/>
      <c r="D10" s="2"/>
      <c r="E10" s="2">
        <v>55900</v>
      </c>
      <c r="F10" s="2"/>
      <c r="G10" s="284"/>
    </row>
  </sheetData>
  <mergeCells count="2">
    <mergeCell ref="G4:G10"/>
    <mergeCell ref="B2:G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zoomScale="85" zoomScaleNormal="85" workbookViewId="0">
      <selection sqref="A1:M1"/>
    </sheetView>
  </sheetViews>
  <sheetFormatPr defaultRowHeight="17.399999999999999"/>
  <cols>
    <col min="1" max="1" width="9" style="96"/>
    <col min="2" max="2" width="38.69921875" customWidth="1"/>
    <col min="13" max="13" width="12" customWidth="1"/>
  </cols>
  <sheetData>
    <row r="1" spans="1:13" ht="45" customHeight="1">
      <c r="A1" s="287" t="s">
        <v>451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</row>
    <row r="2" spans="1:13" ht="30" customHeight="1">
      <c r="A2" s="99">
        <v>1</v>
      </c>
      <c r="B2" s="286" t="s">
        <v>452</v>
      </c>
      <c r="C2" s="286"/>
      <c r="D2" s="286"/>
      <c r="E2" s="286"/>
      <c r="F2" s="286"/>
      <c r="G2" s="286"/>
      <c r="H2" s="286"/>
      <c r="I2" s="286"/>
      <c r="J2" s="286"/>
      <c r="K2" s="286"/>
      <c r="L2" s="286"/>
    </row>
    <row r="3" spans="1:13" ht="30" customHeight="1">
      <c r="A3" s="99"/>
      <c r="B3" s="103" t="s">
        <v>470</v>
      </c>
    </row>
    <row r="4" spans="1:13" ht="7.5" customHeight="1">
      <c r="A4" s="99"/>
      <c r="B4" s="98"/>
    </row>
    <row r="5" spans="1:13" ht="30" customHeight="1">
      <c r="A5" s="99">
        <v>2</v>
      </c>
      <c r="B5" s="286" t="s">
        <v>456</v>
      </c>
      <c r="C5" s="286"/>
      <c r="D5" s="286"/>
      <c r="E5" s="286"/>
      <c r="F5" s="286"/>
      <c r="G5" s="286"/>
      <c r="H5" s="286"/>
      <c r="I5" s="286"/>
      <c r="J5" s="286"/>
      <c r="K5" s="286"/>
      <c r="L5" s="286"/>
    </row>
    <row r="6" spans="1:13" ht="30" customHeight="1">
      <c r="A6" s="99"/>
      <c r="B6" s="100" t="s">
        <v>56</v>
      </c>
      <c r="C6" s="289" t="s">
        <v>469</v>
      </c>
      <c r="D6" s="290"/>
      <c r="E6" s="290"/>
      <c r="F6" s="290"/>
      <c r="G6" s="290"/>
      <c r="H6" s="290"/>
      <c r="I6" s="290"/>
      <c r="J6" s="290"/>
      <c r="K6" s="290"/>
      <c r="L6" s="290"/>
      <c r="M6" s="291"/>
    </row>
    <row r="7" spans="1:13" ht="30" customHeight="1">
      <c r="A7" s="99"/>
      <c r="B7" s="100" t="s">
        <v>453</v>
      </c>
      <c r="C7" s="289" t="s">
        <v>457</v>
      </c>
      <c r="D7" s="290"/>
      <c r="E7" s="290"/>
      <c r="F7" s="290"/>
      <c r="G7" s="290"/>
      <c r="H7" s="290"/>
      <c r="I7" s="290"/>
      <c r="J7" s="290"/>
      <c r="K7" s="290"/>
      <c r="L7" s="290"/>
      <c r="M7" s="291"/>
    </row>
    <row r="8" spans="1:13" ht="30" customHeight="1">
      <c r="A8" s="99"/>
      <c r="B8" s="100" t="s">
        <v>454</v>
      </c>
      <c r="C8" s="289" t="s">
        <v>458</v>
      </c>
      <c r="D8" s="290"/>
      <c r="E8" s="290"/>
      <c r="F8" s="290"/>
      <c r="G8" s="290"/>
      <c r="H8" s="290"/>
      <c r="I8" s="290"/>
      <c r="J8" s="290"/>
      <c r="K8" s="290"/>
      <c r="L8" s="290"/>
      <c r="M8" s="291"/>
    </row>
    <row r="9" spans="1:13" ht="39" customHeight="1">
      <c r="A9" s="99"/>
      <c r="B9" s="101" t="s">
        <v>468</v>
      </c>
      <c r="C9" s="289" t="s">
        <v>459</v>
      </c>
      <c r="D9" s="290"/>
      <c r="E9" s="290"/>
      <c r="F9" s="290"/>
      <c r="G9" s="290"/>
      <c r="H9" s="290"/>
      <c r="I9" s="290"/>
      <c r="J9" s="290"/>
      <c r="K9" s="290"/>
      <c r="L9" s="290"/>
      <c r="M9" s="291"/>
    </row>
    <row r="10" spans="1:13" ht="30" customHeight="1">
      <c r="A10" s="99"/>
      <c r="B10" s="100" t="s">
        <v>455</v>
      </c>
      <c r="C10" s="289" t="s">
        <v>460</v>
      </c>
      <c r="D10" s="290"/>
      <c r="E10" s="290"/>
      <c r="F10" s="290"/>
      <c r="G10" s="290"/>
      <c r="H10" s="290"/>
      <c r="I10" s="290"/>
      <c r="J10" s="290"/>
      <c r="K10" s="290"/>
      <c r="L10" s="290"/>
      <c r="M10" s="291"/>
    </row>
    <row r="11" spans="1:13" ht="7.5" customHeight="1">
      <c r="A11" s="99"/>
    </row>
    <row r="12" spans="1:13" ht="30" customHeight="1">
      <c r="A12" s="99">
        <v>3</v>
      </c>
      <c r="B12" s="286" t="s">
        <v>461</v>
      </c>
      <c r="C12" s="286"/>
      <c r="D12" s="286"/>
      <c r="E12" s="286"/>
      <c r="F12" s="286"/>
      <c r="G12" s="286"/>
      <c r="H12" s="286"/>
      <c r="I12" s="286"/>
      <c r="J12" s="286"/>
      <c r="K12" s="286"/>
      <c r="L12" s="286"/>
    </row>
    <row r="13" spans="1:13" ht="30" customHeight="1">
      <c r="B13" s="102" t="s">
        <v>471</v>
      </c>
    </row>
    <row r="14" spans="1:13" ht="30" customHeight="1"/>
    <row r="15" spans="1:13" ht="30" customHeight="1"/>
    <row r="16" spans="1:13" ht="30" customHeight="1"/>
    <row r="17" spans="1:12" ht="30" customHeight="1"/>
    <row r="18" spans="1:12" ht="30" customHeight="1"/>
    <row r="19" spans="1:12" ht="30" customHeight="1"/>
    <row r="20" spans="1:12" ht="30" customHeight="1">
      <c r="B20" s="97" t="s">
        <v>462</v>
      </c>
    </row>
    <row r="21" spans="1:12" ht="30" customHeight="1">
      <c r="B21" s="97" t="s">
        <v>463</v>
      </c>
    </row>
    <row r="22" spans="1:12" ht="30" customHeight="1">
      <c r="A22" s="99">
        <v>4</v>
      </c>
      <c r="B22" s="286" t="s">
        <v>464</v>
      </c>
      <c r="C22" s="286"/>
      <c r="D22" s="286"/>
      <c r="E22" s="286"/>
      <c r="F22" s="286"/>
      <c r="G22" s="286"/>
      <c r="H22" s="286"/>
      <c r="I22" s="286"/>
      <c r="J22" s="286"/>
      <c r="K22" s="286"/>
      <c r="L22" s="286"/>
    </row>
    <row r="23" spans="1:12" ht="30" customHeight="1">
      <c r="B23" s="97" t="s">
        <v>465</v>
      </c>
    </row>
    <row r="24" spans="1:12" ht="30" customHeight="1">
      <c r="B24" s="104" t="s">
        <v>466</v>
      </c>
    </row>
    <row r="25" spans="1:12" ht="86.25" customHeight="1">
      <c r="B25" s="288" t="s">
        <v>467</v>
      </c>
      <c r="C25" s="288"/>
      <c r="D25" s="288"/>
      <c r="E25" s="288"/>
      <c r="F25" s="288"/>
      <c r="G25" s="288"/>
      <c r="H25" s="288"/>
      <c r="I25" s="288"/>
      <c r="J25" s="288"/>
      <c r="K25" s="288"/>
      <c r="L25" s="288"/>
    </row>
    <row r="26" spans="1:12" ht="30" customHeight="1"/>
    <row r="27" spans="1:12" ht="30" customHeight="1"/>
    <row r="28" spans="1:12" ht="30" customHeight="1"/>
    <row r="29" spans="1:12" ht="30" customHeight="1"/>
    <row r="30" spans="1:12" ht="30" customHeight="1"/>
    <row r="31" spans="1:12" ht="30" customHeight="1"/>
    <row r="32" spans="1:1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</sheetData>
  <mergeCells count="11">
    <mergeCell ref="B25:L25"/>
    <mergeCell ref="C6:M6"/>
    <mergeCell ref="C7:M7"/>
    <mergeCell ref="C8:M8"/>
    <mergeCell ref="C9:M9"/>
    <mergeCell ref="C10:M10"/>
    <mergeCell ref="B5:L5"/>
    <mergeCell ref="A1:M1"/>
    <mergeCell ref="B2:L2"/>
    <mergeCell ref="B12:L12"/>
    <mergeCell ref="B22:L2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E64"/>
  <sheetViews>
    <sheetView workbookViewId="0">
      <selection activeCell="C3" sqref="C3"/>
    </sheetView>
  </sheetViews>
  <sheetFormatPr defaultColWidth="8.8984375" defaultRowHeight="17.399999999999999"/>
  <cols>
    <col min="1" max="1" width="10.09765625" style="107" customWidth="1"/>
    <col min="2" max="2" width="22.3984375" style="107" customWidth="1"/>
    <col min="3" max="3" width="55.59765625" style="107" customWidth="1"/>
    <col min="4" max="4" width="15.5" style="140" customWidth="1"/>
    <col min="5" max="5" width="90" style="107" customWidth="1"/>
    <col min="6" max="6" width="9" style="107" customWidth="1"/>
    <col min="7" max="16384" width="8.8984375" style="107"/>
  </cols>
  <sheetData>
    <row r="1" spans="1:5" ht="43.5" customHeight="1" thickTop="1">
      <c r="A1" s="105" t="s">
        <v>472</v>
      </c>
      <c r="B1" s="106"/>
      <c r="C1" s="242" t="s">
        <v>473</v>
      </c>
      <c r="D1" s="242"/>
      <c r="E1" s="243"/>
    </row>
    <row r="2" spans="1:5" ht="36" customHeight="1">
      <c r="A2" s="108" t="s">
        <v>474</v>
      </c>
      <c r="B2" s="109" t="s">
        <v>475</v>
      </c>
      <c r="C2" s="109" t="s">
        <v>476</v>
      </c>
      <c r="D2" s="109" t="s">
        <v>477</v>
      </c>
      <c r="E2" s="110" t="s">
        <v>478</v>
      </c>
    </row>
    <row r="3" spans="1:5" ht="131.25" customHeight="1">
      <c r="A3" s="156">
        <v>1</v>
      </c>
      <c r="B3" s="155" t="s">
        <v>479</v>
      </c>
      <c r="C3" s="155" t="s">
        <v>480</v>
      </c>
      <c r="D3" s="111" t="str">
        <f>네이버금융복붙!G28</f>
        <v>N/A</v>
      </c>
      <c r="E3" s="112" t="s">
        <v>481</v>
      </c>
    </row>
    <row r="4" spans="1:5" ht="93.75" customHeight="1">
      <c r="A4" s="156">
        <v>2</v>
      </c>
      <c r="B4" s="155" t="s">
        <v>482</v>
      </c>
      <c r="C4" s="155" t="s">
        <v>483</v>
      </c>
      <c r="D4" s="113">
        <f>네이버금융복붙!P2</f>
        <v>-12.319758776006758</v>
      </c>
      <c r="E4" s="112" t="s">
        <v>484</v>
      </c>
    </row>
    <row r="5" spans="1:5" ht="52.2">
      <c r="A5" s="156">
        <v>3</v>
      </c>
      <c r="B5" s="155" t="s">
        <v>485</v>
      </c>
      <c r="C5" s="155" t="s">
        <v>486</v>
      </c>
      <c r="D5" s="113">
        <f>네이버금융복붙!P21</f>
        <v>-6.6519999999999992</v>
      </c>
      <c r="E5" s="112" t="s">
        <v>487</v>
      </c>
    </row>
    <row r="6" spans="1:5" ht="45.75" customHeight="1">
      <c r="A6" s="244">
        <v>4</v>
      </c>
      <c r="B6" s="246" t="s">
        <v>488</v>
      </c>
      <c r="C6" s="155" t="s">
        <v>489</v>
      </c>
      <c r="D6" s="113">
        <f>네이버금융복붙!P27</f>
        <v>146.0365996337564</v>
      </c>
      <c r="E6" s="248" t="s">
        <v>490</v>
      </c>
    </row>
    <row r="7" spans="1:5" ht="45.75" customHeight="1" thickBot="1">
      <c r="A7" s="245"/>
      <c r="B7" s="247"/>
      <c r="C7" s="114" t="s">
        <v>491</v>
      </c>
      <c r="D7" s="115">
        <f>네이버금융복붙!P6</f>
        <v>169.5</v>
      </c>
      <c r="E7" s="249"/>
    </row>
    <row r="8" spans="1:5" ht="32.1" customHeight="1" thickTop="1">
      <c r="A8" s="250">
        <v>5</v>
      </c>
      <c r="B8" s="253" t="s">
        <v>492</v>
      </c>
      <c r="C8" s="116" t="s">
        <v>493</v>
      </c>
      <c r="D8" s="117">
        <f>네이버금융복붙!Q28</f>
        <v>0</v>
      </c>
      <c r="E8" s="255" t="s">
        <v>696</v>
      </c>
    </row>
    <row r="9" spans="1:5" ht="32.1" customHeight="1">
      <c r="A9" s="251"/>
      <c r="B9" s="246"/>
      <c r="C9" s="118" t="s">
        <v>494</v>
      </c>
      <c r="D9" s="111" t="e">
        <f>네이버금융복붙!S28</f>
        <v>#VALUE!</v>
      </c>
      <c r="E9" s="256"/>
    </row>
    <row r="10" spans="1:5" ht="32.1" customHeight="1">
      <c r="A10" s="251"/>
      <c r="B10" s="246"/>
      <c r="C10" s="122" t="s">
        <v>681</v>
      </c>
      <c r="D10" s="122">
        <v>41</v>
      </c>
      <c r="E10" s="256"/>
    </row>
    <row r="11" spans="1:5" ht="32.1" customHeight="1">
      <c r="A11" s="251"/>
      <c r="B11" s="246"/>
      <c r="C11" s="189" t="s">
        <v>688</v>
      </c>
      <c r="D11" s="190" t="e">
        <f>네이버금융복붙!U28</f>
        <v>#VALUE!</v>
      </c>
      <c r="E11" s="256"/>
    </row>
    <row r="12" spans="1:5" ht="32.1" customHeight="1">
      <c r="A12" s="251"/>
      <c r="B12" s="246"/>
      <c r="C12" s="119" t="s">
        <v>495</v>
      </c>
      <c r="D12" s="120">
        <f>네이버금융복붙!G30</f>
        <v>0.68</v>
      </c>
      <c r="E12" s="121" t="s">
        <v>496</v>
      </c>
    </row>
    <row r="13" spans="1:5" ht="69.599999999999994">
      <c r="A13" s="251"/>
      <c r="B13" s="246"/>
      <c r="C13" s="119" t="s">
        <v>497</v>
      </c>
      <c r="D13" s="113">
        <f>네이버금융복붙!P29</f>
        <v>-5.562273053960932</v>
      </c>
      <c r="E13" s="121" t="s">
        <v>695</v>
      </c>
    </row>
    <row r="14" spans="1:5" ht="32.1" customHeight="1">
      <c r="A14" s="251"/>
      <c r="B14" s="246"/>
      <c r="C14" s="119" t="s">
        <v>498</v>
      </c>
      <c r="D14" s="111">
        <f>네이버금융복붙!G35</f>
        <v>9.16</v>
      </c>
      <c r="E14" s="121" t="s">
        <v>499</v>
      </c>
    </row>
    <row r="15" spans="1:5" ht="32.1" customHeight="1">
      <c r="A15" s="251"/>
      <c r="B15" s="246"/>
      <c r="C15" s="119" t="s">
        <v>500</v>
      </c>
      <c r="D15" s="111">
        <f>네이버금융복붙!G39</f>
        <v>965.41</v>
      </c>
      <c r="E15" s="121" t="s">
        <v>501</v>
      </c>
    </row>
    <row r="16" spans="1:5" ht="32.1" customHeight="1">
      <c r="A16" s="251"/>
      <c r="B16" s="246"/>
      <c r="C16" s="119" t="s">
        <v>502</v>
      </c>
      <c r="D16" s="111">
        <f>네이버금융복붙!G41</f>
        <v>-6.7</v>
      </c>
      <c r="E16" s="121" t="s">
        <v>503</v>
      </c>
    </row>
    <row r="17" spans="1:5" ht="32.1" customHeight="1">
      <c r="A17" s="251"/>
      <c r="B17" s="246"/>
      <c r="C17" s="118" t="s">
        <v>504</v>
      </c>
      <c r="D17" s="111" t="e">
        <f>네이버금융복붙!W28</f>
        <v>#VALUE!</v>
      </c>
      <c r="E17" s="121" t="s">
        <v>496</v>
      </c>
    </row>
    <row r="18" spans="1:5" ht="32.1" customHeight="1">
      <c r="A18" s="251"/>
      <c r="B18" s="246"/>
      <c r="C18" s="118" t="s">
        <v>505</v>
      </c>
      <c r="D18" s="113" t="e">
        <f>네이버금융복붙!P32</f>
        <v>#DIV/0!</v>
      </c>
      <c r="E18" s="121" t="s">
        <v>496</v>
      </c>
    </row>
    <row r="19" spans="1:5" ht="32.1" customHeight="1">
      <c r="A19" s="251"/>
      <c r="B19" s="246"/>
      <c r="C19" s="118" t="s">
        <v>506</v>
      </c>
      <c r="D19" s="111">
        <f>네이버금융복붙!G32</f>
        <v>0</v>
      </c>
      <c r="E19" s="121" t="s">
        <v>496</v>
      </c>
    </row>
    <row r="20" spans="1:5" ht="32.1" customHeight="1">
      <c r="A20" s="251"/>
      <c r="B20" s="246"/>
      <c r="C20" s="118" t="s">
        <v>507</v>
      </c>
      <c r="D20" s="113">
        <f>네이버금융복붙!Q23</f>
        <v>-5.9379999999999997</v>
      </c>
      <c r="E20" s="121" t="s">
        <v>508</v>
      </c>
    </row>
    <row r="21" spans="1:5" ht="42">
      <c r="A21" s="251"/>
      <c r="B21" s="246"/>
      <c r="C21" s="185" t="s">
        <v>686</v>
      </c>
      <c r="D21" s="188">
        <f>네이버금융복붙!Q6-네이버금융복붙!G80</f>
        <v>-63</v>
      </c>
      <c r="E21" s="121" t="s">
        <v>496</v>
      </c>
    </row>
    <row r="22" spans="1:5" ht="32.1" customHeight="1">
      <c r="A22" s="251"/>
      <c r="B22" s="246"/>
      <c r="C22" s="122" t="s">
        <v>509</v>
      </c>
      <c r="D22" s="186">
        <v>148</v>
      </c>
      <c r="E22" s="121" t="s">
        <v>510</v>
      </c>
    </row>
    <row r="23" spans="1:5" ht="41.25" customHeight="1">
      <c r="A23" s="251"/>
      <c r="B23" s="246"/>
      <c r="C23" s="185" t="s">
        <v>685</v>
      </c>
      <c r="D23" s="123">
        <f>네이버금융복붙!N40-네이버금융복붙!I120</f>
        <v>10.875407806296938</v>
      </c>
      <c r="E23" s="121" t="s">
        <v>511</v>
      </c>
    </row>
    <row r="24" spans="1:5" ht="50.25" customHeight="1">
      <c r="A24" s="251"/>
      <c r="B24" s="246"/>
      <c r="C24" s="118" t="s">
        <v>512</v>
      </c>
      <c r="D24" s="111" t="e">
        <f>네이버금융복붙!P19</f>
        <v>#DIV/0!</v>
      </c>
      <c r="E24" s="121" t="s">
        <v>513</v>
      </c>
    </row>
    <row r="25" spans="1:5" ht="50.25" customHeight="1">
      <c r="A25" s="251"/>
      <c r="B25" s="246"/>
      <c r="C25" s="122" t="s">
        <v>514</v>
      </c>
      <c r="D25" s="187">
        <v>7.8E-2</v>
      </c>
      <c r="E25" s="121" t="s">
        <v>515</v>
      </c>
    </row>
    <row r="26" spans="1:5" ht="32.1" customHeight="1" thickBot="1">
      <c r="A26" s="252"/>
      <c r="B26" s="254"/>
      <c r="C26" s="198" t="s">
        <v>516</v>
      </c>
      <c r="D26" s="199">
        <v>0.44</v>
      </c>
      <c r="E26" s="200" t="s">
        <v>517</v>
      </c>
    </row>
    <row r="27" spans="1:5" ht="32.1" customHeight="1" thickTop="1">
      <c r="A27" s="257">
        <v>6</v>
      </c>
      <c r="B27" s="201" t="s">
        <v>67</v>
      </c>
      <c r="C27" s="201" t="s">
        <v>123</v>
      </c>
      <c r="D27" s="202">
        <f>'적정주가 계산-국내주식'!L22</f>
        <v>80531.415000000008</v>
      </c>
      <c r="E27" s="211" t="s">
        <v>518</v>
      </c>
    </row>
    <row r="28" spans="1:5" ht="32.1" customHeight="1">
      <c r="A28" s="244"/>
      <c r="B28" s="2" t="s">
        <v>128</v>
      </c>
      <c r="C28" s="2" t="s">
        <v>127</v>
      </c>
      <c r="D28" s="194">
        <f>'적정주가 계산-국내주식'!L23</f>
        <v>19719.773299748107</v>
      </c>
      <c r="E28" s="193"/>
    </row>
    <row r="29" spans="1:5" ht="32.1" customHeight="1">
      <c r="A29" s="244"/>
      <c r="B29" s="234" t="s">
        <v>137</v>
      </c>
      <c r="C29" s="2" t="s">
        <v>82</v>
      </c>
      <c r="D29" s="195">
        <f>'적정주가 계산-국내주식'!L24</f>
        <v>198619</v>
      </c>
      <c r="E29" s="193"/>
    </row>
    <row r="30" spans="1:5" ht="32.1" customHeight="1">
      <c r="A30" s="244"/>
      <c r="B30" s="235"/>
      <c r="C30" s="2" t="s">
        <v>125</v>
      </c>
      <c r="D30" s="195">
        <f>'적정주가 계산-국내주식'!L25</f>
        <v>53325</v>
      </c>
      <c r="E30" s="193"/>
    </row>
    <row r="31" spans="1:5" ht="32.1" customHeight="1">
      <c r="A31" s="244"/>
      <c r="B31" s="236"/>
      <c r="C31" s="2" t="s">
        <v>126</v>
      </c>
      <c r="D31" s="195">
        <f>'적정주가 계산-국내주식'!L26</f>
        <v>23276.362499999996</v>
      </c>
      <c r="E31" s="193"/>
    </row>
    <row r="32" spans="1:5" ht="32.1" customHeight="1">
      <c r="A32" s="244"/>
      <c r="B32" s="234" t="s">
        <v>129</v>
      </c>
      <c r="C32" s="2" t="s">
        <v>130</v>
      </c>
      <c r="D32" s="196">
        <f>'적정주가 계산-국내주식'!L27</f>
        <v>73803.474000000002</v>
      </c>
      <c r="E32" s="193"/>
    </row>
    <row r="33" spans="1:5" ht="32.1" customHeight="1">
      <c r="A33" s="244"/>
      <c r="B33" s="236"/>
      <c r="C33" s="2" t="s">
        <v>131</v>
      </c>
      <c r="D33" s="196">
        <f>'적정주가 계산-국내주식'!L28</f>
        <v>79413.866999999998</v>
      </c>
      <c r="E33" s="193"/>
    </row>
    <row r="34" spans="1:5" ht="32.1" customHeight="1">
      <c r="A34" s="244"/>
      <c r="B34" s="240" t="s">
        <v>138</v>
      </c>
      <c r="C34" s="2" t="s">
        <v>132</v>
      </c>
      <c r="D34" s="197">
        <f>'적정주가 계산-국내주식'!L29</f>
        <v>98039.329345088147</v>
      </c>
      <c r="E34" s="193"/>
    </row>
    <row r="35" spans="1:5" ht="32.1" customHeight="1">
      <c r="A35" s="244"/>
      <c r="B35" s="240"/>
      <c r="C35" s="2" t="s">
        <v>133</v>
      </c>
      <c r="D35" s="197">
        <f>'적정주가 계산-국내주식'!L30</f>
        <v>170443.53359656886</v>
      </c>
      <c r="E35" s="193"/>
    </row>
    <row r="36" spans="1:5" ht="32.1" customHeight="1" thickBot="1">
      <c r="A36" s="245"/>
      <c r="B36" s="241"/>
      <c r="C36" s="39" t="s">
        <v>134</v>
      </c>
      <c r="D36" s="203">
        <f>'적정주가 계산-국내주식'!L31</f>
        <v>169346.67865803227</v>
      </c>
      <c r="E36" s="204"/>
    </row>
    <row r="37" spans="1:5" ht="32.1" customHeight="1" thickTop="1">
      <c r="A37" s="258">
        <v>7</v>
      </c>
      <c r="B37" s="259" t="s">
        <v>519</v>
      </c>
      <c r="C37" s="124" t="s">
        <v>520</v>
      </c>
      <c r="D37" s="125"/>
      <c r="E37" s="126" t="s">
        <v>521</v>
      </c>
    </row>
    <row r="38" spans="1:5" ht="32.1" customHeight="1">
      <c r="A38" s="260"/>
      <c r="B38" s="246"/>
      <c r="C38" s="127" t="s">
        <v>522</v>
      </c>
      <c r="D38" s="111"/>
      <c r="E38" s="128" t="s">
        <v>523</v>
      </c>
    </row>
    <row r="39" spans="1:5" ht="32.1" customHeight="1">
      <c r="A39" s="260"/>
      <c r="B39" s="246"/>
      <c r="C39" s="127" t="s">
        <v>524</v>
      </c>
      <c r="D39" s="111"/>
      <c r="E39" s="128" t="s">
        <v>525</v>
      </c>
    </row>
    <row r="40" spans="1:5" ht="32.1" customHeight="1">
      <c r="A40" s="260"/>
      <c r="B40" s="246"/>
      <c r="C40" s="127" t="s">
        <v>526</v>
      </c>
      <c r="D40" s="111"/>
      <c r="E40" s="128" t="s">
        <v>527</v>
      </c>
    </row>
    <row r="41" spans="1:5" ht="32.1" customHeight="1">
      <c r="A41" s="260"/>
      <c r="B41" s="246"/>
      <c r="C41" s="127" t="s">
        <v>528</v>
      </c>
      <c r="D41" s="111"/>
      <c r="E41" s="128" t="s">
        <v>529</v>
      </c>
    </row>
    <row r="42" spans="1:5" ht="32.1" customHeight="1">
      <c r="A42" s="260"/>
      <c r="B42" s="246"/>
      <c r="C42" s="127" t="s">
        <v>530</v>
      </c>
      <c r="D42" s="111"/>
      <c r="E42" s="128" t="s">
        <v>531</v>
      </c>
    </row>
    <row r="43" spans="1:5" ht="41.25" customHeight="1">
      <c r="A43" s="260"/>
      <c r="B43" s="246"/>
      <c r="C43" s="129" t="s">
        <v>532</v>
      </c>
      <c r="D43" s="111"/>
      <c r="E43" s="128" t="s">
        <v>533</v>
      </c>
    </row>
    <row r="44" spans="1:5" ht="32.1" customHeight="1">
      <c r="A44" s="260"/>
      <c r="B44" s="246"/>
      <c r="C44" s="127" t="s">
        <v>534</v>
      </c>
      <c r="D44" s="111"/>
      <c r="E44" s="128" t="s">
        <v>535</v>
      </c>
    </row>
    <row r="45" spans="1:5" ht="32.1" customHeight="1">
      <c r="A45" s="260"/>
      <c r="B45" s="246"/>
      <c r="C45" s="127" t="s">
        <v>536</v>
      </c>
      <c r="D45" s="111"/>
      <c r="E45" s="128"/>
    </row>
    <row r="46" spans="1:5" ht="32.1" customHeight="1">
      <c r="A46" s="260"/>
      <c r="B46" s="246"/>
      <c r="C46" s="127" t="s">
        <v>537</v>
      </c>
      <c r="D46" s="111"/>
      <c r="E46" s="128" t="s">
        <v>538</v>
      </c>
    </row>
    <row r="47" spans="1:5" ht="32.1" customHeight="1" thickBot="1">
      <c r="A47" s="261"/>
      <c r="B47" s="262"/>
      <c r="C47" s="130" t="s">
        <v>539</v>
      </c>
      <c r="D47" s="131"/>
      <c r="E47" s="132" t="s">
        <v>540</v>
      </c>
    </row>
    <row r="48" spans="1:5" ht="32.1" customHeight="1" thickTop="1">
      <c r="A48" s="257">
        <v>8</v>
      </c>
      <c r="B48" s="253" t="s">
        <v>541</v>
      </c>
      <c r="C48" s="133" t="s">
        <v>542</v>
      </c>
      <c r="D48" s="117"/>
      <c r="E48" s="134" t="s">
        <v>543</v>
      </c>
    </row>
    <row r="49" spans="1:5" ht="32.1" customHeight="1">
      <c r="A49" s="251"/>
      <c r="B49" s="263"/>
      <c r="C49" s="127" t="s">
        <v>544</v>
      </c>
      <c r="D49" s="111"/>
      <c r="E49" s="128"/>
    </row>
    <row r="50" spans="1:5" ht="32.1" customHeight="1" thickBot="1">
      <c r="A50" s="252"/>
      <c r="B50" s="247"/>
      <c r="C50" s="135" t="s">
        <v>545</v>
      </c>
      <c r="D50" s="136"/>
      <c r="E50" s="139" t="s">
        <v>546</v>
      </c>
    </row>
    <row r="51" spans="1:5" ht="42" customHeight="1" thickTop="1">
      <c r="A51" s="250">
        <v>9</v>
      </c>
      <c r="B51" s="253" t="s">
        <v>547</v>
      </c>
      <c r="C51" s="206" t="s">
        <v>548</v>
      </c>
      <c r="D51" s="117"/>
      <c r="E51" s="207" t="s">
        <v>549</v>
      </c>
    </row>
    <row r="52" spans="1:5" ht="32.1" customHeight="1">
      <c r="A52" s="251"/>
      <c r="B52" s="263"/>
      <c r="C52" s="137" t="s">
        <v>550</v>
      </c>
      <c r="D52" s="111"/>
      <c r="E52" s="128"/>
    </row>
    <row r="53" spans="1:5" ht="32.1" customHeight="1">
      <c r="A53" s="251"/>
      <c r="B53" s="263"/>
      <c r="C53" s="137" t="s">
        <v>551</v>
      </c>
      <c r="D53" s="111"/>
      <c r="E53" s="128"/>
    </row>
    <row r="54" spans="1:5" ht="32.1" customHeight="1" thickBot="1">
      <c r="A54" s="252"/>
      <c r="B54" s="247"/>
      <c r="C54" s="208" t="s">
        <v>552</v>
      </c>
      <c r="D54" s="136"/>
      <c r="E54" s="139"/>
    </row>
    <row r="55" spans="1:5" ht="32.1" customHeight="1" thickTop="1">
      <c r="A55" s="258">
        <v>10</v>
      </c>
      <c r="B55" s="259" t="s">
        <v>553</v>
      </c>
      <c r="C55" s="205" t="s">
        <v>554</v>
      </c>
      <c r="D55" s="125"/>
      <c r="E55" s="126" t="s">
        <v>555</v>
      </c>
    </row>
    <row r="56" spans="1:5" ht="32.1" customHeight="1" thickBot="1">
      <c r="A56" s="245"/>
      <c r="B56" s="247"/>
      <c r="C56" s="138" t="s">
        <v>556</v>
      </c>
      <c r="D56" s="136"/>
      <c r="E56" s="139"/>
    </row>
    <row r="57" spans="1:5" ht="32.1" customHeight="1" thickTop="1"/>
    <row r="58" spans="1:5" ht="32.1" customHeight="1"/>
    <row r="59" spans="1:5" ht="32.1" customHeight="1"/>
    <row r="60" spans="1:5" ht="32.1" customHeight="1"/>
    <row r="61" spans="1:5" ht="32.1" customHeight="1"/>
    <row r="62" spans="1:5" ht="32.1" customHeight="1"/>
    <row r="63" spans="1:5" ht="32.1" customHeight="1"/>
    <row r="64" spans="1:5" ht="32.1" customHeight="1"/>
  </sheetData>
  <mergeCells count="19">
    <mergeCell ref="A55:A56"/>
    <mergeCell ref="B55:B56"/>
    <mergeCell ref="A37:A47"/>
    <mergeCell ref="B37:B47"/>
    <mergeCell ref="A48:A50"/>
    <mergeCell ref="B48:B50"/>
    <mergeCell ref="A51:A54"/>
    <mergeCell ref="B51:B54"/>
    <mergeCell ref="B34:B36"/>
    <mergeCell ref="C1:E1"/>
    <mergeCell ref="A6:A7"/>
    <mergeCell ref="B6:B7"/>
    <mergeCell ref="E6:E7"/>
    <mergeCell ref="A8:A26"/>
    <mergeCell ref="B8:B26"/>
    <mergeCell ref="E8:E11"/>
    <mergeCell ref="A27:A36"/>
    <mergeCell ref="B29:B31"/>
    <mergeCell ref="B32:B33"/>
  </mergeCells>
  <phoneticPr fontId="1" type="noConversion"/>
  <printOptions horizontalCentered="1" verticalCentered="1"/>
  <pageMargins left="0" right="0" top="0" bottom="0" header="0" footer="0"/>
  <pageSetup paperSize="9" scale="39" orientation="portrait" r:id="rId1"/>
  <headerFooter>
    <oddHeader>&amp;C&amp;G</oddHeader>
  </headerFooter>
  <rowBreaks count="1" manualBreakCount="1">
    <brk id="1" max="1048575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35"/>
  <sheetViews>
    <sheetView view="pageBreakPreview" zoomScaleSheetLayoutView="100" workbookViewId="0">
      <selection activeCell="H1" sqref="H1"/>
    </sheetView>
  </sheetViews>
  <sheetFormatPr defaultColWidth="9" defaultRowHeight="19.2"/>
  <cols>
    <col min="1" max="1" width="9" style="107" bestFit="1" customWidth="1"/>
    <col min="2" max="2" width="15.19921875" style="153" bestFit="1" customWidth="1"/>
    <col min="3" max="3" width="57.59765625" style="154" customWidth="1"/>
    <col min="4" max="4" width="15.19921875" style="140" customWidth="1"/>
    <col min="5" max="5" width="14.19921875" style="140" customWidth="1"/>
    <col min="6" max="6" width="14.59765625" style="107" customWidth="1"/>
    <col min="7" max="7" width="16" style="107" customWidth="1"/>
    <col min="8" max="8" width="16.3984375" style="140" customWidth="1"/>
    <col min="9" max="16384" width="9" style="107"/>
  </cols>
  <sheetData>
    <row r="1" spans="1:8" ht="32.25" customHeight="1">
      <c r="A1" s="147"/>
      <c r="B1" s="148"/>
      <c r="C1" s="149" t="s">
        <v>475</v>
      </c>
      <c r="D1" s="149" t="s">
        <v>691</v>
      </c>
      <c r="E1" s="149" t="s">
        <v>697</v>
      </c>
      <c r="F1" s="149" t="s">
        <v>698</v>
      </c>
      <c r="G1" s="149" t="s">
        <v>699</v>
      </c>
      <c r="H1" s="149">
        <v>4</v>
      </c>
    </row>
    <row r="2" spans="1:8" ht="30" customHeight="1">
      <c r="A2" s="209">
        <v>1</v>
      </c>
      <c r="B2" s="155" t="s">
        <v>479</v>
      </c>
      <c r="C2" s="155" t="s">
        <v>480</v>
      </c>
      <c r="D2" s="111">
        <v>17.63</v>
      </c>
      <c r="E2" s="150">
        <v>30.15</v>
      </c>
      <c r="F2" s="150">
        <v>7.86</v>
      </c>
      <c r="G2" s="150">
        <v>3.97</v>
      </c>
      <c r="H2" s="150"/>
    </row>
    <row r="3" spans="1:8" ht="30" customHeight="1">
      <c r="A3" s="209">
        <v>2</v>
      </c>
      <c r="B3" s="155" t="s">
        <v>482</v>
      </c>
      <c r="C3" s="155" t="s">
        <v>483</v>
      </c>
      <c r="D3" s="113">
        <v>4.9821934449255121</v>
      </c>
      <c r="E3" s="150">
        <v>18.318118275658492</v>
      </c>
      <c r="F3" s="150">
        <v>19.911353431769388</v>
      </c>
      <c r="G3" s="150">
        <v>7.5639965391594393</v>
      </c>
      <c r="H3" s="150"/>
    </row>
    <row r="4" spans="1:8" ht="30" customHeight="1">
      <c r="A4" s="209">
        <v>3</v>
      </c>
      <c r="B4" s="155" t="s">
        <v>485</v>
      </c>
      <c r="C4" s="155" t="s">
        <v>486</v>
      </c>
      <c r="D4" s="113">
        <v>17.25</v>
      </c>
      <c r="E4" s="150">
        <v>12.843999999999999</v>
      </c>
      <c r="F4" s="150">
        <v>21.667999999999999</v>
      </c>
      <c r="G4" s="150">
        <v>3.5920000000000001</v>
      </c>
      <c r="H4" s="150"/>
    </row>
    <row r="5" spans="1:8" ht="30" customHeight="1">
      <c r="A5" s="263">
        <v>4</v>
      </c>
      <c r="B5" s="246" t="s">
        <v>690</v>
      </c>
      <c r="C5" s="155" t="s">
        <v>489</v>
      </c>
      <c r="D5" s="113">
        <v>20.629419791529521</v>
      </c>
      <c r="E5" s="150">
        <v>108.02740056508446</v>
      </c>
      <c r="F5" s="150">
        <v>1.6499583055898495</v>
      </c>
      <c r="G5" s="150">
        <v>26.486208521758982</v>
      </c>
      <c r="H5" s="150"/>
    </row>
    <row r="6" spans="1:8" ht="30" customHeight="1">
      <c r="A6" s="263"/>
      <c r="B6" s="263"/>
      <c r="C6" s="155" t="s">
        <v>491</v>
      </c>
      <c r="D6" s="113">
        <v>13.256403884876645</v>
      </c>
      <c r="E6" s="150">
        <v>106.53615595204379</v>
      </c>
      <c r="F6" s="150">
        <v>1.5779368408265035</v>
      </c>
      <c r="G6" s="150">
        <v>26.426096015648255</v>
      </c>
      <c r="H6" s="150"/>
    </row>
    <row r="7" spans="1:8" ht="30" customHeight="1">
      <c r="A7" s="265">
        <v>5</v>
      </c>
      <c r="B7" s="246" t="s">
        <v>689</v>
      </c>
      <c r="C7" s="118" t="s">
        <v>493</v>
      </c>
      <c r="D7" s="111">
        <v>7.0519999999999996</v>
      </c>
      <c r="E7" s="150">
        <v>107.928</v>
      </c>
      <c r="F7" s="150">
        <v>4.1760000000000002</v>
      </c>
      <c r="G7" s="150">
        <v>4.32</v>
      </c>
      <c r="H7" s="150"/>
    </row>
    <row r="8" spans="1:8" ht="30" customHeight="1">
      <c r="A8" s="265"/>
      <c r="B8" s="246"/>
      <c r="C8" s="118" t="s">
        <v>494</v>
      </c>
      <c r="D8" s="111">
        <v>11.62</v>
      </c>
      <c r="E8" s="150">
        <v>122.40599999999999</v>
      </c>
      <c r="F8" s="150">
        <v>8.4039999999999999</v>
      </c>
      <c r="G8" s="150">
        <v>7.1099999999999994</v>
      </c>
      <c r="H8" s="150"/>
    </row>
    <row r="9" spans="1:8" ht="30" customHeight="1">
      <c r="A9" s="265"/>
      <c r="B9" s="246"/>
      <c r="C9" s="119" t="s">
        <v>681</v>
      </c>
      <c r="D9" s="111">
        <v>20.149999999999999</v>
      </c>
      <c r="E9" s="150">
        <v>42.96</v>
      </c>
      <c r="F9" s="150">
        <v>-188</v>
      </c>
      <c r="G9" s="150">
        <v>41</v>
      </c>
      <c r="H9" s="150"/>
    </row>
    <row r="10" spans="1:8" ht="30" customHeight="1">
      <c r="A10" s="265"/>
      <c r="B10" s="246"/>
      <c r="C10" s="189" t="s">
        <v>688</v>
      </c>
      <c r="D10" s="190">
        <v>5.6721497447532618E-2</v>
      </c>
      <c r="E10" s="150">
        <v>3.316749585406302E-2</v>
      </c>
      <c r="F10" s="150">
        <v>0.1272264631043257</v>
      </c>
      <c r="G10" s="150">
        <v>0.25188916876574308</v>
      </c>
      <c r="H10" s="150"/>
    </row>
    <row r="11" spans="1:8" ht="30" customHeight="1">
      <c r="A11" s="265"/>
      <c r="B11" s="246"/>
      <c r="C11" s="119" t="s">
        <v>495</v>
      </c>
      <c r="D11" s="120">
        <v>1.49</v>
      </c>
      <c r="E11" s="150">
        <v>5.22</v>
      </c>
      <c r="F11" s="150">
        <v>1.04</v>
      </c>
      <c r="G11" s="150">
        <v>0.33</v>
      </c>
      <c r="H11" s="150"/>
    </row>
    <row r="12" spans="1:8" ht="30" customHeight="1">
      <c r="A12" s="265"/>
      <c r="B12" s="246"/>
      <c r="C12" s="119" t="s">
        <v>497</v>
      </c>
      <c r="D12" s="113">
        <v>12.190436397860621</v>
      </c>
      <c r="E12" s="150">
        <v>3.771790953082276</v>
      </c>
      <c r="F12" s="150">
        <v>16.043477639350925</v>
      </c>
      <c r="G12" s="150">
        <v>7.0970082895005104</v>
      </c>
      <c r="H12" s="150"/>
    </row>
    <row r="13" spans="1:8" ht="30" customHeight="1">
      <c r="A13" s="265"/>
      <c r="B13" s="246"/>
      <c r="C13" s="119" t="s">
        <v>498</v>
      </c>
      <c r="D13" s="111">
        <v>34.119999999999997</v>
      </c>
      <c r="E13" s="150">
        <v>28.07</v>
      </c>
      <c r="F13" s="150">
        <v>17.53</v>
      </c>
      <c r="G13" s="150">
        <v>89.83</v>
      </c>
      <c r="H13" s="150"/>
    </row>
    <row r="14" spans="1:8" ht="30" customHeight="1">
      <c r="A14" s="265"/>
      <c r="B14" s="246"/>
      <c r="C14" s="119" t="s">
        <v>500</v>
      </c>
      <c r="D14" s="111">
        <v>284.38</v>
      </c>
      <c r="E14" s="150">
        <v>491.11</v>
      </c>
      <c r="F14" s="150">
        <v>516</v>
      </c>
      <c r="G14" s="150">
        <v>166.93</v>
      </c>
      <c r="H14" s="150"/>
    </row>
    <row r="15" spans="1:8" ht="30" customHeight="1">
      <c r="A15" s="265"/>
      <c r="B15" s="246"/>
      <c r="C15" s="119" t="s">
        <v>502</v>
      </c>
      <c r="D15" s="111">
        <v>40.46</v>
      </c>
      <c r="E15" s="150">
        <v>46.17</v>
      </c>
      <c r="F15" s="150">
        <v>69.41</v>
      </c>
      <c r="G15" s="150">
        <v>3.84</v>
      </c>
      <c r="H15" s="150"/>
    </row>
    <row r="16" spans="1:8" ht="30" customHeight="1">
      <c r="A16" s="265"/>
      <c r="B16" s="246"/>
      <c r="C16" s="118" t="s">
        <v>504</v>
      </c>
      <c r="D16" s="111">
        <v>6.940944881889763</v>
      </c>
      <c r="E16" s="150">
        <v>91.36363636363636</v>
      </c>
      <c r="F16" s="150">
        <v>3.0823529411764707</v>
      </c>
      <c r="G16" s="150">
        <v>2.3772455089820363</v>
      </c>
      <c r="H16" s="150"/>
    </row>
    <row r="17" spans="1:8" ht="30" customHeight="1">
      <c r="A17" s="265"/>
      <c r="B17" s="246"/>
      <c r="C17" s="118" t="s">
        <v>505</v>
      </c>
      <c r="D17" s="113">
        <v>31.418928760725766</v>
      </c>
      <c r="E17" s="150" t="e">
        <v>#DIV/0!</v>
      </c>
      <c r="F17" s="150">
        <v>46.969696969696969</v>
      </c>
      <c r="G17" s="150">
        <v>29.450905832131742</v>
      </c>
      <c r="H17" s="150"/>
    </row>
    <row r="18" spans="1:8" ht="30" customHeight="1">
      <c r="A18" s="265"/>
      <c r="B18" s="246"/>
      <c r="C18" s="118" t="s">
        <v>506</v>
      </c>
      <c r="D18" s="111">
        <v>2.54</v>
      </c>
      <c r="E18" s="150">
        <v>0.33</v>
      </c>
      <c r="F18" s="150">
        <v>2.5499999999999998</v>
      </c>
      <c r="G18" s="150">
        <v>1.67</v>
      </c>
      <c r="H18" s="150"/>
    </row>
    <row r="19" spans="1:8" ht="30" customHeight="1">
      <c r="A19" s="265"/>
      <c r="B19" s="246"/>
      <c r="C19" s="118" t="s">
        <v>507</v>
      </c>
      <c r="D19" s="113">
        <v>14.593999999999999</v>
      </c>
      <c r="E19" s="150">
        <v>8.266</v>
      </c>
      <c r="F19" s="150">
        <v>19.93</v>
      </c>
      <c r="G19" s="150">
        <v>6.6239999999999997</v>
      </c>
      <c r="H19" s="150"/>
    </row>
    <row r="20" spans="1:8" ht="45.75" customHeight="1">
      <c r="A20" s="265"/>
      <c r="B20" s="246"/>
      <c r="C20" s="185" t="s">
        <v>686</v>
      </c>
      <c r="D20" s="188">
        <v>643706.1</v>
      </c>
      <c r="E20" s="150">
        <v>793</v>
      </c>
      <c r="F20" s="150">
        <v>1209</v>
      </c>
      <c r="G20" s="150">
        <v>198</v>
      </c>
      <c r="H20" s="150"/>
    </row>
    <row r="21" spans="1:8" ht="30" customHeight="1">
      <c r="A21" s="265"/>
      <c r="B21" s="246"/>
      <c r="C21" s="122" t="s">
        <v>509</v>
      </c>
      <c r="D21" s="186">
        <v>86.34</v>
      </c>
      <c r="E21" s="150">
        <v>163</v>
      </c>
      <c r="F21" s="150">
        <v>41</v>
      </c>
      <c r="G21" s="150">
        <v>148</v>
      </c>
      <c r="H21" s="150"/>
    </row>
    <row r="22" spans="1:8" ht="45.75" customHeight="1">
      <c r="A22" s="265"/>
      <c r="B22" s="246"/>
      <c r="C22" s="185" t="s">
        <v>685</v>
      </c>
      <c r="D22" s="123">
        <v>21.887359719571222</v>
      </c>
      <c r="E22" s="150">
        <v>-49.351321113014151</v>
      </c>
      <c r="F22" s="150">
        <v>-94.186931761256346</v>
      </c>
      <c r="G22" s="150">
        <v>-6.6561396484978292</v>
      </c>
      <c r="H22" s="150"/>
    </row>
    <row r="23" spans="1:8" ht="48" customHeight="1">
      <c r="A23" s="265"/>
      <c r="B23" s="246"/>
      <c r="C23" s="118" t="s">
        <v>512</v>
      </c>
      <c r="D23" s="111">
        <v>23.52856650636582</v>
      </c>
      <c r="E23" s="150">
        <v>-25.028179836841776</v>
      </c>
      <c r="F23" s="150">
        <v>334.68609066037749</v>
      </c>
      <c r="G23" s="150">
        <v>-1164.3293226381461</v>
      </c>
      <c r="H23" s="150"/>
    </row>
    <row r="24" spans="1:8" s="152" customFormat="1" ht="30" customHeight="1">
      <c r="A24" s="265"/>
      <c r="B24" s="246"/>
      <c r="C24" s="122" t="s">
        <v>514</v>
      </c>
      <c r="D24" s="187">
        <v>0.36</v>
      </c>
      <c r="E24" s="151">
        <v>0.66</v>
      </c>
      <c r="F24" s="151">
        <v>0.67</v>
      </c>
      <c r="G24" s="151">
        <v>7.8E-2</v>
      </c>
      <c r="H24" s="151"/>
    </row>
    <row r="25" spans="1:8" s="152" customFormat="1" ht="30" customHeight="1">
      <c r="A25" s="265"/>
      <c r="B25" s="246"/>
      <c r="C25" s="122" t="s">
        <v>516</v>
      </c>
      <c r="D25" s="191">
        <v>0.21</v>
      </c>
      <c r="E25" s="151">
        <v>0.31</v>
      </c>
      <c r="F25" s="151">
        <v>0.4</v>
      </c>
      <c r="G25" s="151">
        <v>0.44</v>
      </c>
      <c r="H25" s="151"/>
    </row>
    <row r="26" spans="1:8" s="219" customFormat="1" ht="26.25" customHeight="1">
      <c r="A26" s="266">
        <v>6</v>
      </c>
      <c r="B26" s="216" t="s">
        <v>67</v>
      </c>
      <c r="C26" s="216" t="s">
        <v>123</v>
      </c>
      <c r="D26" s="192">
        <v>41756.469999999994</v>
      </c>
      <c r="E26" s="217">
        <v>1245358.6439999999</v>
      </c>
      <c r="F26" s="218">
        <v>73669.463999999993</v>
      </c>
      <c r="G26" s="218">
        <v>8030.744999999999</v>
      </c>
      <c r="H26" s="217"/>
    </row>
    <row r="27" spans="1:8" s="219" customFormat="1" ht="26.25" customHeight="1">
      <c r="A27" s="266"/>
      <c r="B27" s="216" t="s">
        <v>128</v>
      </c>
      <c r="C27" s="216" t="s">
        <v>127</v>
      </c>
      <c r="D27" s="194">
        <v>90163.622031064384</v>
      </c>
      <c r="E27" s="217">
        <v>8521.1398462231336</v>
      </c>
      <c r="F27" s="218">
        <v>101541.33996283119</v>
      </c>
      <c r="G27" s="218">
        <v>23640.533547057483</v>
      </c>
      <c r="H27" s="217"/>
    </row>
    <row r="28" spans="1:8" s="219" customFormat="1" ht="26.25" customHeight="1">
      <c r="A28" s="266"/>
      <c r="B28" s="264" t="s">
        <v>137</v>
      </c>
      <c r="C28" s="216" t="s">
        <v>82</v>
      </c>
      <c r="D28" s="195">
        <v>37528</v>
      </c>
      <c r="E28" s="217">
        <v>5869</v>
      </c>
      <c r="F28" s="218">
        <v>48834</v>
      </c>
      <c r="G28" s="218">
        <v>26821</v>
      </c>
      <c r="H28" s="217"/>
    </row>
    <row r="29" spans="1:8" s="219" customFormat="1" ht="26.25" customHeight="1">
      <c r="A29" s="266"/>
      <c r="B29" s="264"/>
      <c r="C29" s="216" t="s">
        <v>125</v>
      </c>
      <c r="D29" s="195">
        <v>35935</v>
      </c>
      <c r="E29" s="217">
        <v>101740</v>
      </c>
      <c r="F29" s="218">
        <v>87660</v>
      </c>
      <c r="G29" s="218">
        <v>11295</v>
      </c>
      <c r="H29" s="217"/>
    </row>
    <row r="30" spans="1:8" s="219" customFormat="1" ht="26.25" customHeight="1">
      <c r="A30" s="266"/>
      <c r="B30" s="264"/>
      <c r="C30" s="216" t="s">
        <v>126</v>
      </c>
      <c r="D30" s="195">
        <v>51710.465000000004</v>
      </c>
      <c r="E30" s="217">
        <v>130685.02999999998</v>
      </c>
      <c r="F30" s="218">
        <v>143996.16</v>
      </c>
      <c r="G30" s="218">
        <v>8699.0324999999993</v>
      </c>
      <c r="H30" s="217"/>
    </row>
    <row r="31" spans="1:8" s="219" customFormat="1" ht="26.25" customHeight="1">
      <c r="A31" s="266"/>
      <c r="B31" s="264" t="s">
        <v>129</v>
      </c>
      <c r="C31" s="216" t="s">
        <v>130</v>
      </c>
      <c r="D31" s="196">
        <v>41859.022486505804</v>
      </c>
      <c r="E31" s="217">
        <v>124580.22826848496</v>
      </c>
      <c r="F31" s="218">
        <v>54482.210900489561</v>
      </c>
      <c r="G31" s="218">
        <v>15997.5</v>
      </c>
      <c r="H31" s="217"/>
    </row>
    <row r="32" spans="1:8" s="219" customFormat="1" ht="26.25" customHeight="1">
      <c r="A32" s="266"/>
      <c r="B32" s="264"/>
      <c r="C32" s="216" t="s">
        <v>131</v>
      </c>
      <c r="D32" s="196">
        <v>42314.107069109239</v>
      </c>
      <c r="E32" s="217">
        <v>124580.22826848496</v>
      </c>
      <c r="F32" s="218">
        <v>54482.210900489561</v>
      </c>
      <c r="G32" s="218">
        <v>15997.5</v>
      </c>
      <c r="H32" s="217"/>
    </row>
    <row r="33" spans="1:8" s="219" customFormat="1" ht="26.25" customHeight="1">
      <c r="A33" s="266"/>
      <c r="B33" s="264" t="s">
        <v>138</v>
      </c>
      <c r="C33" s="216" t="s">
        <v>132</v>
      </c>
      <c r="D33" s="197">
        <v>77388.783987889925</v>
      </c>
      <c r="E33" s="217">
        <v>9404.1295777655378</v>
      </c>
      <c r="F33" s="218">
        <v>98011.689223277295</v>
      </c>
      <c r="G33" s="218">
        <v>26013.186016334625</v>
      </c>
      <c r="H33" s="217"/>
    </row>
    <row r="34" spans="1:8" s="219" customFormat="1" ht="26.25" customHeight="1">
      <c r="A34" s="266"/>
      <c r="B34" s="264"/>
      <c r="C34" s="216" t="s">
        <v>133</v>
      </c>
      <c r="D34" s="197">
        <v>46110.090925902492</v>
      </c>
      <c r="E34" s="217">
        <v>6165.9929979873732</v>
      </c>
      <c r="F34" s="218">
        <v>52351.55019930542</v>
      </c>
      <c r="G34" s="218">
        <v>26739.066751661208</v>
      </c>
      <c r="H34" s="217"/>
    </row>
    <row r="35" spans="1:8" s="219" customFormat="1" ht="26.25" customHeight="1">
      <c r="A35" s="266"/>
      <c r="B35" s="264"/>
      <c r="C35" s="216" t="s">
        <v>134</v>
      </c>
      <c r="D35" s="197">
        <v>46583.93342318137</v>
      </c>
      <c r="E35" s="217">
        <v>6215.0476921989048</v>
      </c>
      <c r="F35" s="218">
        <v>53043.25794612024</v>
      </c>
      <c r="G35" s="218">
        <v>26728.070347825786</v>
      </c>
      <c r="H35" s="217"/>
    </row>
  </sheetData>
  <mergeCells count="8">
    <mergeCell ref="B28:B30"/>
    <mergeCell ref="B31:B32"/>
    <mergeCell ref="A5:A6"/>
    <mergeCell ref="B5:B6"/>
    <mergeCell ref="A7:A25"/>
    <mergeCell ref="B7:B25"/>
    <mergeCell ref="A26:A35"/>
    <mergeCell ref="B33:B35"/>
  </mergeCells>
  <phoneticPr fontId="1" type="noConversion"/>
  <pageMargins left="0.74805557727813721" right="0.74805557727813721" top="0.98430556058883667" bottom="0.98430556058883667" header="0.51180553436279297" footer="0.51180553436279297"/>
  <pageSetup paperSize="9" scale="50" fitToWidth="0" fitToHeight="0" orientation="portrait" r:id="rId1"/>
  <colBreaks count="1" manualBreakCount="1">
    <brk id="8" max="1638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29"/>
  <sheetViews>
    <sheetView topLeftCell="A33" workbookViewId="0">
      <selection activeCell="A51" sqref="A51"/>
    </sheetView>
  </sheetViews>
  <sheetFormatPr defaultColWidth="9" defaultRowHeight="17.399999999999999"/>
  <cols>
    <col min="1" max="1" width="24.59765625" style="172" customWidth="1"/>
    <col min="2" max="2" width="28.19921875" style="107" bestFit="1" customWidth="1"/>
    <col min="3" max="6" width="9" style="107"/>
    <col min="7" max="7" width="9" style="142"/>
    <col min="8" max="11" width="9" style="107"/>
    <col min="12" max="12" width="12.59765625" style="141" bestFit="1" customWidth="1"/>
    <col min="13" max="15" width="9" style="141" bestFit="1" customWidth="1"/>
    <col min="16" max="16" width="12.59765625" style="141" bestFit="1" customWidth="1"/>
    <col min="17" max="17" width="9.59765625" style="141" bestFit="1" customWidth="1"/>
    <col min="18" max="18" width="12.59765625" style="107" bestFit="1" customWidth="1"/>
    <col min="19" max="19" width="9" style="107" bestFit="1" customWidth="1"/>
    <col min="20" max="16384" width="9" style="107"/>
  </cols>
  <sheetData>
    <row r="1" spans="1:19" ht="18.600000000000001" thickTop="1" thickBot="1">
      <c r="A1" s="173" t="s">
        <v>596</v>
      </c>
      <c r="B1" s="163"/>
      <c r="C1" s="163"/>
      <c r="D1" s="163"/>
      <c r="E1" s="163"/>
      <c r="F1" s="163"/>
      <c r="G1" s="163"/>
      <c r="H1" s="163"/>
      <c r="I1" s="163"/>
      <c r="J1" s="163"/>
      <c r="L1" s="141">
        <v>16</v>
      </c>
      <c r="M1" s="141">
        <v>17</v>
      </c>
      <c r="N1" s="141">
        <v>18</v>
      </c>
      <c r="O1" s="141">
        <v>19</v>
      </c>
      <c r="P1" s="141">
        <f t="shared" ref="P1:P6" si="0">(O1+N1+M1)/3</f>
        <v>18</v>
      </c>
    </row>
    <row r="2" spans="1:19" s="142" customFormat="1" ht="18" thickBot="1">
      <c r="A2" s="210" t="s">
        <v>692</v>
      </c>
      <c r="B2" s="157" t="s">
        <v>557</v>
      </c>
      <c r="C2" s="159">
        <v>290</v>
      </c>
      <c r="D2" s="159">
        <v>326</v>
      </c>
      <c r="E2" s="159">
        <v>228</v>
      </c>
      <c r="F2" s="159">
        <v>209</v>
      </c>
      <c r="G2" s="159">
        <v>212</v>
      </c>
      <c r="H2" s="160"/>
      <c r="I2" s="160"/>
      <c r="J2" s="160"/>
      <c r="L2" s="143">
        <f t="shared" ref="L2:O34" si="1">(D2-C2)/C2*100</f>
        <v>12.413793103448276</v>
      </c>
      <c r="M2" s="143">
        <f t="shared" si="1"/>
        <v>-30.061349693251532</v>
      </c>
      <c r="N2" s="143">
        <f t="shared" si="1"/>
        <v>-8.3333333333333321</v>
      </c>
      <c r="O2" s="143">
        <f t="shared" si="1"/>
        <v>1.4354066985645932</v>
      </c>
      <c r="P2" s="143">
        <f t="shared" si="0"/>
        <v>-12.319758776006758</v>
      </c>
      <c r="Q2" s="143"/>
    </row>
    <row r="3" spans="1:19" s="142" customFormat="1" ht="18" thickBot="1">
      <c r="A3" s="172"/>
      <c r="B3" s="157" t="s">
        <v>558</v>
      </c>
      <c r="C3" s="162">
        <v>-36</v>
      </c>
      <c r="D3" s="162">
        <v>-7</v>
      </c>
      <c r="E3" s="162">
        <v>-24</v>
      </c>
      <c r="F3" s="162">
        <v>-14</v>
      </c>
      <c r="G3" s="162">
        <v>-3</v>
      </c>
      <c r="H3" s="160"/>
      <c r="I3" s="160"/>
      <c r="J3" s="160"/>
      <c r="L3" s="143">
        <f t="shared" si="1"/>
        <v>-80.555555555555557</v>
      </c>
      <c r="M3" s="143">
        <f t="shared" si="1"/>
        <v>242.85714285714283</v>
      </c>
      <c r="N3" s="143">
        <f t="shared" si="1"/>
        <v>-41.666666666666671</v>
      </c>
      <c r="O3" s="143">
        <f t="shared" si="1"/>
        <v>-78.571428571428569</v>
      </c>
      <c r="P3" s="143">
        <f t="shared" si="0"/>
        <v>40.873015873015866</v>
      </c>
      <c r="Q3" s="143"/>
    </row>
    <row r="4" spans="1:19" ht="18" thickBot="1">
      <c r="B4" s="157" t="s">
        <v>559</v>
      </c>
      <c r="C4" s="162">
        <v>-36</v>
      </c>
      <c r="D4" s="162">
        <v>-7</v>
      </c>
      <c r="E4" s="162">
        <v>-24</v>
      </c>
      <c r="F4" s="162">
        <v>-14</v>
      </c>
      <c r="G4" s="162">
        <v>-3</v>
      </c>
      <c r="H4" s="160"/>
      <c r="I4" s="160"/>
      <c r="J4" s="160"/>
      <c r="L4" s="141">
        <f t="shared" si="1"/>
        <v>-80.555555555555557</v>
      </c>
      <c r="M4" s="141">
        <f t="shared" si="1"/>
        <v>242.85714285714283</v>
      </c>
      <c r="N4" s="141">
        <f t="shared" si="1"/>
        <v>-41.666666666666671</v>
      </c>
      <c r="O4" s="141">
        <f t="shared" si="1"/>
        <v>-78.571428571428569</v>
      </c>
      <c r="P4" s="141">
        <f t="shared" si="0"/>
        <v>40.873015873015866</v>
      </c>
    </row>
    <row r="5" spans="1:19" ht="18" thickBot="1">
      <c r="B5" s="157" t="s">
        <v>560</v>
      </c>
      <c r="C5" s="162">
        <v>-63</v>
      </c>
      <c r="D5" s="162">
        <v>-4</v>
      </c>
      <c r="E5" s="162">
        <v>-25</v>
      </c>
      <c r="F5" s="162">
        <v>-23</v>
      </c>
      <c r="G5" s="162">
        <v>-18</v>
      </c>
      <c r="H5" s="160"/>
      <c r="I5" s="160"/>
      <c r="J5" s="160"/>
      <c r="L5" s="141">
        <f t="shared" si="1"/>
        <v>-93.650793650793645</v>
      </c>
      <c r="M5" s="141">
        <f t="shared" si="1"/>
        <v>525</v>
      </c>
      <c r="N5" s="141">
        <f t="shared" si="1"/>
        <v>-8</v>
      </c>
      <c r="O5" s="141">
        <f t="shared" si="1"/>
        <v>-21.739130434782609</v>
      </c>
      <c r="P5" s="141">
        <f t="shared" si="0"/>
        <v>165.08695652173913</v>
      </c>
    </row>
    <row r="6" spans="1:19" s="142" customFormat="1" ht="18" thickBot="1">
      <c r="A6" s="172"/>
      <c r="B6" s="157" t="s">
        <v>561</v>
      </c>
      <c r="C6" s="162">
        <v>-56</v>
      </c>
      <c r="D6" s="162">
        <v>-4</v>
      </c>
      <c r="E6" s="162">
        <v>-25</v>
      </c>
      <c r="F6" s="162">
        <v>-24</v>
      </c>
      <c r="G6" s="162">
        <v>-21</v>
      </c>
      <c r="H6" s="160"/>
      <c r="I6" s="160"/>
      <c r="J6" s="160"/>
      <c r="L6" s="143">
        <f t="shared" si="1"/>
        <v>-92.857142857142861</v>
      </c>
      <c r="M6" s="143">
        <f t="shared" si="1"/>
        <v>525</v>
      </c>
      <c r="N6" s="143">
        <f t="shared" si="1"/>
        <v>-4</v>
      </c>
      <c r="O6" s="143">
        <f t="shared" si="1"/>
        <v>-12.5</v>
      </c>
      <c r="P6" s="143">
        <f t="shared" si="0"/>
        <v>169.5</v>
      </c>
      <c r="Q6" s="143">
        <f>G6*3</f>
        <v>-63</v>
      </c>
      <c r="R6" s="142" t="s">
        <v>687</v>
      </c>
    </row>
    <row r="7" spans="1:19" ht="18" thickBot="1">
      <c r="B7" s="157" t="s">
        <v>562</v>
      </c>
      <c r="C7" s="162">
        <v>-56</v>
      </c>
      <c r="D7" s="162">
        <v>-4</v>
      </c>
      <c r="E7" s="162">
        <v>-25</v>
      </c>
      <c r="F7" s="162">
        <v>-24</v>
      </c>
      <c r="G7" s="162">
        <v>-21</v>
      </c>
      <c r="H7" s="160"/>
      <c r="I7" s="160"/>
      <c r="J7" s="160"/>
      <c r="L7" s="141">
        <f t="shared" si="1"/>
        <v>-92.857142857142861</v>
      </c>
      <c r="M7" s="141">
        <f t="shared" si="1"/>
        <v>525</v>
      </c>
      <c r="N7" s="141">
        <f t="shared" si="1"/>
        <v>-4</v>
      </c>
      <c r="O7" s="141">
        <f t="shared" si="1"/>
        <v>-12.5</v>
      </c>
      <c r="P7" s="141">
        <f>(L7+O7+N7+M7)/4</f>
        <v>103.91071428571428</v>
      </c>
      <c r="Q7" s="141" t="s">
        <v>563</v>
      </c>
      <c r="R7" s="141">
        <f>(G7-C7)/C7*100</f>
        <v>-62.5</v>
      </c>
      <c r="S7" s="107" t="s">
        <v>564</v>
      </c>
    </row>
    <row r="8" spans="1:19" ht="18" thickBot="1">
      <c r="B8" s="157" t="s">
        <v>565</v>
      </c>
      <c r="C8" s="161"/>
      <c r="D8" s="161"/>
      <c r="E8" s="161"/>
      <c r="F8" s="161"/>
      <c r="G8" s="161"/>
      <c r="H8" s="160"/>
      <c r="I8" s="160"/>
      <c r="J8" s="160"/>
      <c r="L8" s="141" t="e">
        <f t="shared" si="1"/>
        <v>#DIV/0!</v>
      </c>
      <c r="M8" s="141" t="e">
        <f t="shared" si="1"/>
        <v>#DIV/0!</v>
      </c>
      <c r="N8" s="141" t="e">
        <f t="shared" si="1"/>
        <v>#DIV/0!</v>
      </c>
      <c r="O8" s="141" t="e">
        <f t="shared" si="1"/>
        <v>#DIV/0!</v>
      </c>
      <c r="P8" s="141" t="e">
        <f t="shared" ref="P8:P18" si="2">(O8+N8+M8)/3</f>
        <v>#DIV/0!</v>
      </c>
    </row>
    <row r="9" spans="1:19" ht="18" thickBot="1">
      <c r="B9" s="157" t="s">
        <v>566</v>
      </c>
      <c r="C9" s="159">
        <v>486</v>
      </c>
      <c r="D9" s="159">
        <v>479</v>
      </c>
      <c r="E9" s="159">
        <v>442</v>
      </c>
      <c r="F9" s="159">
        <v>416</v>
      </c>
      <c r="G9" s="159">
        <v>409</v>
      </c>
      <c r="H9" s="160"/>
      <c r="I9" s="160"/>
      <c r="J9" s="160"/>
      <c r="L9" s="141">
        <f t="shared" si="1"/>
        <v>-1.440329218106996</v>
      </c>
      <c r="M9" s="141">
        <f t="shared" si="1"/>
        <v>-7.7244258872651352</v>
      </c>
      <c r="N9" s="141">
        <f t="shared" si="1"/>
        <v>-5.8823529411764701</v>
      </c>
      <c r="O9" s="141">
        <f t="shared" si="1"/>
        <v>-1.6826923076923077</v>
      </c>
      <c r="P9" s="141">
        <f t="shared" si="2"/>
        <v>-5.0964903787113043</v>
      </c>
    </row>
    <row r="10" spans="1:19" ht="18" thickBot="1">
      <c r="B10" s="157" t="s">
        <v>567</v>
      </c>
      <c r="C10" s="159">
        <v>34</v>
      </c>
      <c r="D10" s="159">
        <v>34</v>
      </c>
      <c r="E10" s="159">
        <v>26</v>
      </c>
      <c r="F10" s="159">
        <v>23</v>
      </c>
      <c r="G10" s="159">
        <v>34</v>
      </c>
      <c r="H10" s="160"/>
      <c r="I10" s="160"/>
      <c r="J10" s="160"/>
      <c r="L10" s="141">
        <f t="shared" si="1"/>
        <v>0</v>
      </c>
      <c r="M10" s="141">
        <f t="shared" si="1"/>
        <v>-23.52941176470588</v>
      </c>
      <c r="N10" s="141">
        <f t="shared" si="1"/>
        <v>-11.538461538461538</v>
      </c>
      <c r="O10" s="141">
        <f t="shared" si="1"/>
        <v>47.826086956521742</v>
      </c>
      <c r="P10" s="141">
        <f t="shared" si="2"/>
        <v>4.2527378844514407</v>
      </c>
    </row>
    <row r="11" spans="1:19" ht="18" thickBot="1">
      <c r="B11" s="157" t="s">
        <v>568</v>
      </c>
      <c r="C11" s="159">
        <v>452</v>
      </c>
      <c r="D11" s="159">
        <v>445</v>
      </c>
      <c r="E11" s="159">
        <v>416</v>
      </c>
      <c r="F11" s="159">
        <v>393</v>
      </c>
      <c r="G11" s="159">
        <v>375</v>
      </c>
      <c r="H11" s="160"/>
      <c r="I11" s="160"/>
      <c r="J11" s="160"/>
      <c r="L11" s="141">
        <f t="shared" si="1"/>
        <v>-1.5486725663716814</v>
      </c>
      <c r="M11" s="141">
        <f t="shared" si="1"/>
        <v>-6.5168539325842696</v>
      </c>
      <c r="N11" s="141">
        <f t="shared" si="1"/>
        <v>-5.5288461538461533</v>
      </c>
      <c r="O11" s="141">
        <f t="shared" si="1"/>
        <v>-4.5801526717557248</v>
      </c>
      <c r="P11" s="141">
        <f t="shared" si="2"/>
        <v>-5.5419509193953829</v>
      </c>
    </row>
    <row r="12" spans="1:19" ht="18" thickBot="1">
      <c r="B12" s="157" t="s">
        <v>569</v>
      </c>
      <c r="C12" s="159">
        <v>452</v>
      </c>
      <c r="D12" s="159">
        <v>445</v>
      </c>
      <c r="E12" s="159">
        <v>416</v>
      </c>
      <c r="F12" s="159">
        <v>393</v>
      </c>
      <c r="G12" s="159">
        <v>375</v>
      </c>
      <c r="H12" s="160"/>
      <c r="I12" s="160"/>
      <c r="J12" s="160"/>
      <c r="L12" s="141">
        <f t="shared" si="1"/>
        <v>-1.5486725663716814</v>
      </c>
      <c r="M12" s="141">
        <f t="shared" si="1"/>
        <v>-6.5168539325842696</v>
      </c>
      <c r="N12" s="141">
        <f t="shared" si="1"/>
        <v>-5.5288461538461533</v>
      </c>
      <c r="O12" s="141">
        <f t="shared" si="1"/>
        <v>-4.5801526717557248</v>
      </c>
      <c r="P12" s="141">
        <f t="shared" si="2"/>
        <v>-5.5419509193953829</v>
      </c>
    </row>
    <row r="13" spans="1:19" ht="18" thickBot="1">
      <c r="B13" s="157" t="s">
        <v>570</v>
      </c>
      <c r="C13" s="161"/>
      <c r="D13" s="161"/>
      <c r="E13" s="161"/>
      <c r="F13" s="161"/>
      <c r="G13" s="161"/>
      <c r="H13" s="160"/>
      <c r="I13" s="160"/>
      <c r="J13" s="160"/>
      <c r="L13" s="141" t="e">
        <f t="shared" si="1"/>
        <v>#DIV/0!</v>
      </c>
      <c r="M13" s="141" t="e">
        <f t="shared" si="1"/>
        <v>#DIV/0!</v>
      </c>
      <c r="N13" s="141" t="e">
        <f t="shared" si="1"/>
        <v>#DIV/0!</v>
      </c>
      <c r="O13" s="141" t="e">
        <f t="shared" si="1"/>
        <v>#DIV/0!</v>
      </c>
      <c r="P13" s="141" t="e">
        <f t="shared" si="2"/>
        <v>#DIV/0!</v>
      </c>
    </row>
    <row r="14" spans="1:19" ht="18" thickBot="1">
      <c r="B14" s="157" t="s">
        <v>571</v>
      </c>
      <c r="C14" s="159">
        <v>42</v>
      </c>
      <c r="D14" s="159">
        <v>42</v>
      </c>
      <c r="E14" s="159">
        <v>42</v>
      </c>
      <c r="F14" s="159">
        <v>42</v>
      </c>
      <c r="G14" s="159">
        <v>42</v>
      </c>
      <c r="H14" s="160"/>
      <c r="I14" s="160"/>
      <c r="J14" s="160"/>
      <c r="L14" s="141">
        <f t="shared" si="1"/>
        <v>0</v>
      </c>
      <c r="M14" s="141">
        <f t="shared" si="1"/>
        <v>0</v>
      </c>
      <c r="N14" s="141">
        <f t="shared" si="1"/>
        <v>0</v>
      </c>
      <c r="O14" s="141">
        <f t="shared" si="1"/>
        <v>0</v>
      </c>
      <c r="P14" s="141">
        <f t="shared" si="2"/>
        <v>0</v>
      </c>
    </row>
    <row r="15" spans="1:19" ht="18" thickBot="1">
      <c r="B15" s="157" t="s">
        <v>572</v>
      </c>
      <c r="C15" s="159">
        <v>4</v>
      </c>
      <c r="D15" s="159">
        <v>15</v>
      </c>
      <c r="E15" s="159">
        <v>3</v>
      </c>
      <c r="F15" s="159">
        <v>16</v>
      </c>
      <c r="G15" s="159">
        <v>12</v>
      </c>
      <c r="H15" s="160"/>
      <c r="I15" s="160"/>
      <c r="J15" s="160"/>
      <c r="L15" s="141">
        <f t="shared" si="1"/>
        <v>275</v>
      </c>
      <c r="M15" s="141">
        <f t="shared" si="1"/>
        <v>-80</v>
      </c>
      <c r="N15" s="141">
        <f t="shared" si="1"/>
        <v>433.33333333333331</v>
      </c>
      <c r="O15" s="141">
        <f t="shared" si="1"/>
        <v>-25</v>
      </c>
      <c r="P15" s="141">
        <f t="shared" si="2"/>
        <v>109.44444444444444</v>
      </c>
    </row>
    <row r="16" spans="1:19" ht="18" thickBot="1">
      <c r="B16" s="157" t="s">
        <v>573</v>
      </c>
      <c r="C16" s="162">
        <v>-10</v>
      </c>
      <c r="D16" s="162">
        <v>-22</v>
      </c>
      <c r="E16" s="159">
        <v>5</v>
      </c>
      <c r="F16" s="162">
        <v>-29</v>
      </c>
      <c r="G16" s="159">
        <v>6</v>
      </c>
      <c r="H16" s="160"/>
      <c r="I16" s="160"/>
      <c r="J16" s="160"/>
      <c r="L16" s="141">
        <f t="shared" si="1"/>
        <v>120</v>
      </c>
      <c r="M16" s="141">
        <f t="shared" si="1"/>
        <v>-122.72727272727273</v>
      </c>
      <c r="N16" s="141">
        <f t="shared" si="1"/>
        <v>-680</v>
      </c>
      <c r="O16" s="141">
        <f t="shared" si="1"/>
        <v>-120.68965517241379</v>
      </c>
      <c r="P16" s="141">
        <f t="shared" si="2"/>
        <v>-307.80564263322884</v>
      </c>
    </row>
    <row r="17" spans="1:24" ht="18" thickBot="1">
      <c r="B17" s="157" t="s">
        <v>574</v>
      </c>
      <c r="C17" s="159">
        <v>0</v>
      </c>
      <c r="D17" s="159">
        <v>0</v>
      </c>
      <c r="E17" s="159">
        <v>0</v>
      </c>
      <c r="F17" s="161"/>
      <c r="G17" s="162">
        <v>-3</v>
      </c>
      <c r="H17" s="160"/>
      <c r="I17" s="160"/>
      <c r="J17" s="160"/>
      <c r="L17" s="141" t="e">
        <f t="shared" si="1"/>
        <v>#DIV/0!</v>
      </c>
      <c r="M17" s="141" t="e">
        <f t="shared" si="1"/>
        <v>#DIV/0!</v>
      </c>
      <c r="N17" s="141" t="e">
        <f t="shared" si="1"/>
        <v>#DIV/0!</v>
      </c>
      <c r="O17" s="141" t="e">
        <f t="shared" si="1"/>
        <v>#DIV/0!</v>
      </c>
      <c r="P17" s="141" t="e">
        <f t="shared" si="2"/>
        <v>#DIV/0!</v>
      </c>
    </row>
    <row r="18" spans="1:24" ht="18" thickBot="1">
      <c r="B18" s="157" t="s">
        <v>575</v>
      </c>
      <c r="C18" s="159">
        <v>10</v>
      </c>
      <c r="D18" s="159">
        <v>31</v>
      </c>
      <c r="E18" s="159">
        <v>25</v>
      </c>
      <c r="F18" s="159">
        <v>17</v>
      </c>
      <c r="G18" s="159">
        <v>8</v>
      </c>
      <c r="H18" s="160"/>
      <c r="I18" s="160"/>
      <c r="J18" s="160"/>
      <c r="L18" s="141">
        <f t="shared" si="1"/>
        <v>210</v>
      </c>
      <c r="M18" s="141">
        <f t="shared" si="1"/>
        <v>-19.35483870967742</v>
      </c>
      <c r="N18" s="141">
        <f t="shared" si="1"/>
        <v>-32</v>
      </c>
      <c r="O18" s="141">
        <f t="shared" si="1"/>
        <v>-52.941176470588239</v>
      </c>
      <c r="P18" s="141">
        <f t="shared" si="2"/>
        <v>-34.765338393421885</v>
      </c>
    </row>
    <row r="19" spans="1:24" s="142" customFormat="1" ht="18" thickBot="1">
      <c r="A19" s="172"/>
      <c r="B19" s="157" t="s">
        <v>576</v>
      </c>
      <c r="C19" s="162">
        <v>-6</v>
      </c>
      <c r="D19" s="162">
        <v>-16</v>
      </c>
      <c r="E19" s="162">
        <v>-22</v>
      </c>
      <c r="F19" s="159">
        <v>0</v>
      </c>
      <c r="G19" s="159">
        <v>4</v>
      </c>
      <c r="H19" s="160"/>
      <c r="I19" s="160"/>
      <c r="J19" s="160"/>
      <c r="L19" s="143">
        <f t="shared" si="1"/>
        <v>166.66666666666669</v>
      </c>
      <c r="M19" s="143">
        <f t="shared" si="1"/>
        <v>37.5</v>
      </c>
      <c r="N19" s="143">
        <f t="shared" si="1"/>
        <v>-100</v>
      </c>
      <c r="O19" s="143" t="e">
        <f t="shared" si="1"/>
        <v>#DIV/0!</v>
      </c>
      <c r="P19" s="143" t="e">
        <f>(L19+O19+N19+M19)/4</f>
        <v>#DIV/0!</v>
      </c>
      <c r="Q19" s="141" t="s">
        <v>563</v>
      </c>
      <c r="R19" s="142">
        <f>(G19-C19)/C19*100</f>
        <v>-166.66666666666669</v>
      </c>
      <c r="S19" s="144" t="s">
        <v>577</v>
      </c>
    </row>
    <row r="20" spans="1:24" ht="18" thickBot="1">
      <c r="B20" s="157" t="s">
        <v>578</v>
      </c>
      <c r="C20" s="161"/>
      <c r="D20" s="159">
        <v>0</v>
      </c>
      <c r="E20" s="159">
        <v>0</v>
      </c>
      <c r="F20" s="159">
        <v>0</v>
      </c>
      <c r="G20" s="159">
        <v>10</v>
      </c>
      <c r="H20" s="160"/>
      <c r="I20" s="160"/>
      <c r="J20" s="160"/>
      <c r="L20" s="141" t="e">
        <f t="shared" si="1"/>
        <v>#DIV/0!</v>
      </c>
      <c r="M20" s="141" t="e">
        <f t="shared" si="1"/>
        <v>#DIV/0!</v>
      </c>
      <c r="N20" s="141" t="e">
        <f t="shared" si="1"/>
        <v>#DIV/0!</v>
      </c>
      <c r="O20" s="141" t="e">
        <f t="shared" si="1"/>
        <v>#DIV/0!</v>
      </c>
      <c r="P20" s="141" t="e">
        <f>(O20+N20+M20)/3</f>
        <v>#DIV/0!</v>
      </c>
    </row>
    <row r="21" spans="1:24" s="142" customFormat="1" ht="18" thickBot="1">
      <c r="A21" s="172"/>
      <c r="B21" s="157" t="s">
        <v>579</v>
      </c>
      <c r="C21" s="162">
        <v>-12.34</v>
      </c>
      <c r="D21" s="162">
        <v>-2.2200000000000002</v>
      </c>
      <c r="E21" s="162">
        <v>-10.64</v>
      </c>
      <c r="F21" s="162">
        <v>-6.87</v>
      </c>
      <c r="G21" s="162">
        <v>-1.19</v>
      </c>
      <c r="H21" s="160"/>
      <c r="I21" s="160"/>
      <c r="J21" s="160"/>
      <c r="L21" s="143">
        <f t="shared" si="1"/>
        <v>-82.009724473257691</v>
      </c>
      <c r="M21" s="143">
        <f t="shared" si="1"/>
        <v>379.27927927927925</v>
      </c>
      <c r="N21" s="143">
        <f t="shared" si="1"/>
        <v>-35.432330827067673</v>
      </c>
      <c r="O21" s="143">
        <f t="shared" si="1"/>
        <v>-82.678311499272198</v>
      </c>
      <c r="P21" s="143">
        <f>(C21+D21+E21+F21+G21)/5</f>
        <v>-6.6519999999999992</v>
      </c>
      <c r="Q21" s="143" t="s">
        <v>563</v>
      </c>
    </row>
    <row r="22" spans="1:24" ht="18" thickBot="1">
      <c r="B22" s="157" t="s">
        <v>580</v>
      </c>
      <c r="C22" s="162">
        <v>-19.18</v>
      </c>
      <c r="D22" s="162">
        <v>-1.38</v>
      </c>
      <c r="E22" s="162">
        <v>-10.76</v>
      </c>
      <c r="F22" s="162">
        <v>-11.37</v>
      </c>
      <c r="G22" s="162">
        <v>-9.94</v>
      </c>
      <c r="H22" s="160"/>
      <c r="I22" s="160"/>
      <c r="J22" s="160"/>
      <c r="L22" s="141">
        <f t="shared" si="1"/>
        <v>-92.805005213764346</v>
      </c>
      <c r="M22" s="141">
        <f t="shared" si="1"/>
        <v>679.71014492753625</v>
      </c>
      <c r="N22" s="141">
        <f t="shared" si="1"/>
        <v>5.669144981412634</v>
      </c>
      <c r="O22" s="141">
        <f t="shared" si="1"/>
        <v>-12.576956904133684</v>
      </c>
      <c r="P22" s="141">
        <f t="shared" ref="P22:P34" si="3">(O22+N22+M22)/3</f>
        <v>224.2674443349384</v>
      </c>
    </row>
    <row r="23" spans="1:24" s="142" customFormat="1" ht="18" thickBot="1">
      <c r="A23" s="172"/>
      <c r="B23" s="157" t="s">
        <v>581</v>
      </c>
      <c r="C23" s="162">
        <v>-11.61</v>
      </c>
      <c r="D23" s="162">
        <v>-1</v>
      </c>
      <c r="E23" s="162">
        <v>-5.71</v>
      </c>
      <c r="F23" s="162">
        <v>-5.88</v>
      </c>
      <c r="G23" s="162">
        <v>-5.49</v>
      </c>
      <c r="H23" s="160"/>
      <c r="I23" s="160"/>
      <c r="J23" s="160"/>
      <c r="L23" s="143">
        <f t="shared" si="1"/>
        <v>-91.386735572782086</v>
      </c>
      <c r="M23" s="143">
        <f t="shared" si="1"/>
        <v>471</v>
      </c>
      <c r="N23" s="143">
        <f t="shared" si="1"/>
        <v>2.977232924693519</v>
      </c>
      <c r="O23" s="143">
        <f t="shared" si="1"/>
        <v>-6.6326530612244845</v>
      </c>
      <c r="P23" s="143">
        <f t="shared" si="3"/>
        <v>155.78152662115636</v>
      </c>
      <c r="Q23" s="143">
        <f>(C23+D23+E23+F23+G23)/5</f>
        <v>-5.9379999999999997</v>
      </c>
      <c r="R23" s="142" t="s">
        <v>563</v>
      </c>
    </row>
    <row r="24" spans="1:24" ht="18" thickBot="1">
      <c r="B24" s="157" t="s">
        <v>582</v>
      </c>
      <c r="C24" s="162">
        <v>-10.81</v>
      </c>
      <c r="D24" s="162">
        <v>-0.93</v>
      </c>
      <c r="E24" s="162">
        <v>-5.34</v>
      </c>
      <c r="F24" s="162">
        <v>-5.54</v>
      </c>
      <c r="G24" s="162">
        <v>-5.1100000000000003</v>
      </c>
      <c r="H24" s="160"/>
      <c r="I24" s="160"/>
      <c r="J24" s="160"/>
      <c r="L24" s="141">
        <f t="shared" si="1"/>
        <v>-91.396854764107317</v>
      </c>
      <c r="M24" s="141">
        <f t="shared" si="1"/>
        <v>474.19354838709683</v>
      </c>
      <c r="N24" s="141">
        <f t="shared" si="1"/>
        <v>3.7453183520599289</v>
      </c>
      <c r="O24" s="141">
        <f t="shared" si="1"/>
        <v>-7.7617328519855544</v>
      </c>
      <c r="P24" s="141">
        <f t="shared" si="3"/>
        <v>156.72571129572373</v>
      </c>
    </row>
    <row r="25" spans="1:24" s="142" customFormat="1" ht="18" thickBot="1">
      <c r="A25" s="172"/>
      <c r="B25" s="157" t="s">
        <v>583</v>
      </c>
      <c r="C25" s="159">
        <v>7.61</v>
      </c>
      <c r="D25" s="159">
        <v>7.73</v>
      </c>
      <c r="E25" s="159">
        <v>6.15</v>
      </c>
      <c r="F25" s="159">
        <v>5.98</v>
      </c>
      <c r="G25" s="159">
        <v>9.16</v>
      </c>
      <c r="H25" s="160"/>
      <c r="I25" s="160"/>
      <c r="J25" s="160"/>
      <c r="L25" s="143">
        <f t="shared" si="1"/>
        <v>1.5768725361366636</v>
      </c>
      <c r="M25" s="143">
        <f t="shared" si="1"/>
        <v>-20.439844760672703</v>
      </c>
      <c r="N25" s="143">
        <f t="shared" si="1"/>
        <v>-2.7642276422764214</v>
      </c>
      <c r="O25" s="143">
        <f t="shared" si="1"/>
        <v>53.177257525083597</v>
      </c>
      <c r="P25" s="143">
        <f t="shared" si="3"/>
        <v>9.9910617073781562</v>
      </c>
      <c r="Q25" s="143"/>
    </row>
    <row r="26" spans="1:24" ht="18" thickBot="1">
      <c r="B26" s="157" t="s">
        <v>584</v>
      </c>
      <c r="C26" s="159">
        <v>946.64</v>
      </c>
      <c r="D26" s="159">
        <v>937.59</v>
      </c>
      <c r="E26" s="159">
        <v>879.05</v>
      </c>
      <c r="F26" s="159">
        <v>822.45</v>
      </c>
      <c r="G26" s="159">
        <v>772.23</v>
      </c>
      <c r="H26" s="160"/>
      <c r="I26" s="160"/>
      <c r="J26" s="160"/>
      <c r="L26" s="141">
        <f t="shared" si="1"/>
        <v>-0.95601284543226084</v>
      </c>
      <c r="M26" s="141">
        <f t="shared" si="1"/>
        <v>-6.2436672746083124</v>
      </c>
      <c r="N26" s="141">
        <f t="shared" si="1"/>
        <v>-6.4387691257607544</v>
      </c>
      <c r="O26" s="141">
        <f t="shared" si="1"/>
        <v>-6.1061462702899902</v>
      </c>
      <c r="P26" s="141">
        <f t="shared" si="3"/>
        <v>-6.2628608902196854</v>
      </c>
    </row>
    <row r="27" spans="1:24" s="142" customFormat="1" ht="18" thickBot="1">
      <c r="A27" s="172"/>
      <c r="B27" s="157" t="s">
        <v>585</v>
      </c>
      <c r="C27" s="162">
        <v>-663</v>
      </c>
      <c r="D27" s="162">
        <v>-53</v>
      </c>
      <c r="E27" s="162">
        <v>-293</v>
      </c>
      <c r="F27" s="162">
        <v>-283</v>
      </c>
      <c r="G27" s="162">
        <v>-251</v>
      </c>
      <c r="H27" s="160"/>
      <c r="I27" s="160"/>
      <c r="J27" s="160"/>
      <c r="L27" s="143">
        <f t="shared" si="1"/>
        <v>-92.006033182503771</v>
      </c>
      <c r="M27" s="143">
        <f t="shared" si="1"/>
        <v>452.83018867924528</v>
      </c>
      <c r="N27" s="143">
        <f t="shared" si="1"/>
        <v>-3.4129692832764507</v>
      </c>
      <c r="O27" s="143">
        <f t="shared" si="1"/>
        <v>-11.307420494699647</v>
      </c>
      <c r="P27" s="143">
        <f t="shared" si="3"/>
        <v>146.0365996337564</v>
      </c>
      <c r="Q27" s="143"/>
    </row>
    <row r="28" spans="1:24" s="142" customFormat="1" ht="18" thickBot="1">
      <c r="A28" s="172"/>
      <c r="B28" s="157" t="s">
        <v>586</v>
      </c>
      <c r="C28" s="161" t="s">
        <v>700</v>
      </c>
      <c r="D28" s="161" t="s">
        <v>700</v>
      </c>
      <c r="E28" s="161" t="s">
        <v>700</v>
      </c>
      <c r="F28" s="161" t="s">
        <v>700</v>
      </c>
      <c r="G28" s="161" t="s">
        <v>700</v>
      </c>
      <c r="H28" s="160"/>
      <c r="I28" s="160"/>
      <c r="J28" s="160"/>
      <c r="L28" s="143" t="e">
        <f t="shared" si="1"/>
        <v>#VALUE!</v>
      </c>
      <c r="M28" s="143" t="e">
        <f t="shared" si="1"/>
        <v>#VALUE!</v>
      </c>
      <c r="N28" s="143" t="e">
        <f t="shared" si="1"/>
        <v>#VALUE!</v>
      </c>
      <c r="O28" s="143" t="e">
        <f t="shared" si="1"/>
        <v>#VALUE!</v>
      </c>
      <c r="P28" s="143" t="e">
        <f t="shared" si="3"/>
        <v>#VALUE!</v>
      </c>
      <c r="Q28" s="143">
        <f>MAX(C28:G28)*0.4</f>
        <v>0</v>
      </c>
      <c r="R28" s="142" t="s">
        <v>680</v>
      </c>
      <c r="S28" s="142" t="e">
        <f>(C28+D28+E28+F28+G28)/5</f>
        <v>#VALUE!</v>
      </c>
      <c r="T28" s="142" t="s">
        <v>587</v>
      </c>
      <c r="U28" s="142" t="e">
        <f>1/G28</f>
        <v>#VALUE!</v>
      </c>
      <c r="V28" s="142" t="s">
        <v>682</v>
      </c>
      <c r="W28" s="142" t="e">
        <f>G28/G32</f>
        <v>#VALUE!</v>
      </c>
      <c r="X28" s="142" t="s">
        <v>683</v>
      </c>
    </row>
    <row r="29" spans="1:24" s="142" customFormat="1" ht="18" thickBot="1">
      <c r="A29" s="172"/>
      <c r="B29" s="157" t="s">
        <v>588</v>
      </c>
      <c r="C29" s="158">
        <v>5448</v>
      </c>
      <c r="D29" s="158">
        <v>5366</v>
      </c>
      <c r="E29" s="158">
        <v>5016</v>
      </c>
      <c r="F29" s="158">
        <v>4737</v>
      </c>
      <c r="G29" s="158">
        <v>4519</v>
      </c>
      <c r="H29" s="160"/>
      <c r="I29" s="160"/>
      <c r="J29" s="160"/>
      <c r="L29" s="143">
        <f t="shared" si="1"/>
        <v>-1.5051395007342145</v>
      </c>
      <c r="M29" s="143">
        <f t="shared" si="1"/>
        <v>-6.522549385016772</v>
      </c>
      <c r="N29" s="143">
        <f t="shared" si="1"/>
        <v>-5.562200956937799</v>
      </c>
      <c r="O29" s="143">
        <f t="shared" si="1"/>
        <v>-4.6020688199282249</v>
      </c>
      <c r="P29" s="143">
        <f t="shared" si="3"/>
        <v>-5.562273053960932</v>
      </c>
      <c r="Q29" s="143"/>
    </row>
    <row r="30" spans="1:24" s="142" customFormat="1" ht="18" thickBot="1">
      <c r="A30" s="172"/>
      <c r="B30" s="157" t="s">
        <v>589</v>
      </c>
      <c r="C30" s="159">
        <v>0.55000000000000004</v>
      </c>
      <c r="D30" s="159">
        <v>0.65</v>
      </c>
      <c r="E30" s="159">
        <v>0.55000000000000004</v>
      </c>
      <c r="F30" s="159">
        <v>0.56999999999999995</v>
      </c>
      <c r="G30" s="159">
        <v>0.68</v>
      </c>
      <c r="H30" s="160"/>
      <c r="I30" s="160"/>
      <c r="J30" s="160"/>
      <c r="L30" s="143">
        <f t="shared" si="1"/>
        <v>18.181818181818176</v>
      </c>
      <c r="M30" s="143">
        <f t="shared" si="1"/>
        <v>-15.38461538461538</v>
      </c>
      <c r="N30" s="143">
        <f t="shared" si="1"/>
        <v>3.6363636363636189</v>
      </c>
      <c r="O30" s="143">
        <f t="shared" si="1"/>
        <v>19.298245614035107</v>
      </c>
      <c r="P30" s="143">
        <f t="shared" si="3"/>
        <v>2.5166646219277822</v>
      </c>
      <c r="Q30" s="143"/>
    </row>
    <row r="31" spans="1:24" ht="18" thickBot="1">
      <c r="B31" s="157" t="s">
        <v>590</v>
      </c>
      <c r="C31" s="159">
        <v>0</v>
      </c>
      <c r="D31" s="161"/>
      <c r="E31" s="161"/>
      <c r="F31" s="161"/>
      <c r="G31" s="161"/>
      <c r="H31" s="160"/>
      <c r="I31" s="160"/>
      <c r="J31" s="160"/>
      <c r="L31" s="141" t="e">
        <f t="shared" si="1"/>
        <v>#DIV/0!</v>
      </c>
      <c r="M31" s="141" t="e">
        <f t="shared" si="1"/>
        <v>#DIV/0!</v>
      </c>
      <c r="N31" s="141" t="e">
        <f t="shared" si="1"/>
        <v>#DIV/0!</v>
      </c>
      <c r="O31" s="141" t="e">
        <f t="shared" si="1"/>
        <v>#DIV/0!</v>
      </c>
      <c r="P31" s="141" t="e">
        <f t="shared" si="3"/>
        <v>#DIV/0!</v>
      </c>
    </row>
    <row r="32" spans="1:24" s="142" customFormat="1" ht="18" thickBot="1">
      <c r="A32" s="172"/>
      <c r="B32" s="157" t="s">
        <v>591</v>
      </c>
      <c r="C32" s="159">
        <v>0</v>
      </c>
      <c r="D32" s="161"/>
      <c r="E32" s="161"/>
      <c r="F32" s="161"/>
      <c r="G32" s="161"/>
      <c r="H32" s="160"/>
      <c r="I32" s="160"/>
      <c r="J32" s="160"/>
      <c r="L32" s="143" t="e">
        <f t="shared" si="1"/>
        <v>#DIV/0!</v>
      </c>
      <c r="M32" s="143" t="e">
        <f t="shared" si="1"/>
        <v>#DIV/0!</v>
      </c>
      <c r="N32" s="143" t="e">
        <f t="shared" si="1"/>
        <v>#DIV/0!</v>
      </c>
      <c r="O32" s="143" t="e">
        <f t="shared" si="1"/>
        <v>#DIV/0!</v>
      </c>
      <c r="P32" s="143" t="e">
        <f t="shared" si="3"/>
        <v>#DIV/0!</v>
      </c>
      <c r="Q32" s="143"/>
    </row>
    <row r="33" spans="1:17" ht="18" thickBot="1">
      <c r="B33" s="157" t="s">
        <v>592</v>
      </c>
      <c r="C33" s="159">
        <v>0</v>
      </c>
      <c r="D33" s="159">
        <v>0</v>
      </c>
      <c r="E33" s="159">
        <v>0</v>
      </c>
      <c r="F33" s="159">
        <v>0</v>
      </c>
      <c r="G33" s="159">
        <v>0</v>
      </c>
      <c r="H33" s="160"/>
      <c r="I33" s="160"/>
      <c r="J33" s="160"/>
      <c r="L33" s="141" t="e">
        <f t="shared" si="1"/>
        <v>#DIV/0!</v>
      </c>
      <c r="M33" s="141" t="e">
        <f t="shared" si="1"/>
        <v>#DIV/0!</v>
      </c>
      <c r="N33" s="141" t="e">
        <f t="shared" si="1"/>
        <v>#DIV/0!</v>
      </c>
      <c r="O33" s="141" t="e">
        <f t="shared" si="1"/>
        <v>#DIV/0!</v>
      </c>
      <c r="P33" s="141" t="e">
        <f t="shared" si="3"/>
        <v>#DIV/0!</v>
      </c>
    </row>
    <row r="34" spans="1:17" ht="18" thickBot="1">
      <c r="B34" s="164" t="s">
        <v>593</v>
      </c>
      <c r="C34" s="165">
        <v>8396593</v>
      </c>
      <c r="D34" s="165">
        <v>8396593</v>
      </c>
      <c r="E34" s="165">
        <v>8396593</v>
      </c>
      <c r="F34" s="165">
        <v>8396593</v>
      </c>
      <c r="G34" s="165">
        <v>8396593</v>
      </c>
      <c r="H34" s="215"/>
      <c r="I34" s="166"/>
      <c r="J34" s="166"/>
      <c r="L34" s="141">
        <f t="shared" si="1"/>
        <v>0</v>
      </c>
      <c r="M34" s="141">
        <f t="shared" si="1"/>
        <v>0</v>
      </c>
      <c r="N34" s="141">
        <f t="shared" si="1"/>
        <v>0</v>
      </c>
      <c r="O34" s="141">
        <f t="shared" si="1"/>
        <v>0</v>
      </c>
      <c r="P34" s="141">
        <f t="shared" si="3"/>
        <v>0</v>
      </c>
    </row>
    <row r="35" spans="1:17" ht="18.600000000000001" thickTop="1" thickBot="1">
      <c r="A35" s="173" t="s">
        <v>596</v>
      </c>
      <c r="B35" s="179" t="s">
        <v>583</v>
      </c>
      <c r="C35" s="180">
        <v>7.61</v>
      </c>
      <c r="D35" s="180">
        <v>7.73</v>
      </c>
      <c r="E35" s="180">
        <v>6.15</v>
      </c>
      <c r="F35" s="180">
        <v>5.98</v>
      </c>
      <c r="G35" s="180">
        <v>9.16</v>
      </c>
      <c r="H35" s="180">
        <v>3.18</v>
      </c>
    </row>
    <row r="36" spans="1:17" ht="18" thickBot="1">
      <c r="A36" s="210" t="s">
        <v>693</v>
      </c>
      <c r="B36" s="176" t="s">
        <v>672</v>
      </c>
      <c r="C36" s="161">
        <v>7.32</v>
      </c>
      <c r="D36" s="161">
        <v>7.23</v>
      </c>
      <c r="E36" s="161">
        <v>6.13</v>
      </c>
      <c r="F36" s="161">
        <v>5.98</v>
      </c>
      <c r="G36" s="161">
        <v>7.41</v>
      </c>
      <c r="H36" s="161">
        <v>1.44</v>
      </c>
    </row>
    <row r="37" spans="1:17" ht="18" thickBot="1">
      <c r="B37" s="176" t="s">
        <v>673</v>
      </c>
      <c r="C37" s="161">
        <v>0.28999999999999998</v>
      </c>
      <c r="D37" s="161">
        <v>0.5</v>
      </c>
      <c r="E37" s="161">
        <v>0.02</v>
      </c>
      <c r="F37" s="161">
        <v>0</v>
      </c>
      <c r="G37" s="161">
        <v>1.75</v>
      </c>
      <c r="H37" s="161">
        <v>1.75</v>
      </c>
    </row>
    <row r="38" spans="1:17" ht="18" thickBot="1">
      <c r="B38" s="176" t="s">
        <v>674</v>
      </c>
      <c r="C38" s="162">
        <v>-55.82</v>
      </c>
      <c r="D38" s="162">
        <v>-52.91</v>
      </c>
      <c r="E38" s="162">
        <v>-58.37</v>
      </c>
      <c r="F38" s="162">
        <v>-54.3</v>
      </c>
      <c r="G38" s="162">
        <v>-56.34</v>
      </c>
      <c r="H38" s="162">
        <v>-2.04</v>
      </c>
    </row>
    <row r="39" spans="1:17" s="142" customFormat="1" ht="18" thickBot="1">
      <c r="A39" s="172"/>
      <c r="B39" s="176" t="s">
        <v>675</v>
      </c>
      <c r="C39" s="161">
        <v>997.86</v>
      </c>
      <c r="D39" s="161">
        <v>966.42</v>
      </c>
      <c r="E39" s="175">
        <v>1158.98</v>
      </c>
      <c r="F39" s="175">
        <v>1088.52</v>
      </c>
      <c r="G39" s="161">
        <v>965.41</v>
      </c>
      <c r="H39" s="162">
        <v>-123.11</v>
      </c>
      <c r="L39" s="143"/>
      <c r="M39" s="143"/>
      <c r="N39" s="143"/>
      <c r="O39" s="143"/>
      <c r="P39" s="143"/>
      <c r="Q39" s="143"/>
    </row>
    <row r="40" spans="1:17" s="142" customFormat="1" ht="18" thickBot="1">
      <c r="A40" s="172"/>
      <c r="B40" s="176" t="s">
        <v>676</v>
      </c>
      <c r="C40" s="161">
        <v>939.36</v>
      </c>
      <c r="D40" s="161">
        <v>901.46</v>
      </c>
      <c r="E40" s="175">
        <v>1113.44</v>
      </c>
      <c r="F40" s="175">
        <v>1036.8699999999999</v>
      </c>
      <c r="G40" s="161">
        <v>927.11</v>
      </c>
      <c r="H40" s="162">
        <v>-109.76</v>
      </c>
      <c r="I40" s="142">
        <f>C40/100*C77</f>
        <v>323.13983999999994</v>
      </c>
      <c r="J40" s="142">
        <f>D40/100*D77</f>
        <v>310.10223999999999</v>
      </c>
      <c r="K40" s="142">
        <f>E40/100*E77</f>
        <v>285.04064000000005</v>
      </c>
      <c r="L40" s="142">
        <f>F40/100*F77</f>
        <v>243.66444999999996</v>
      </c>
      <c r="M40" s="142">
        <f>G40/100*G77</f>
        <v>318.92583999999999</v>
      </c>
      <c r="N40" s="143">
        <f>(M40-I40)/I40*100</f>
        <v>-1.3040793731902394</v>
      </c>
      <c r="O40" s="143"/>
      <c r="P40" s="143"/>
      <c r="Q40" s="143"/>
    </row>
    <row r="41" spans="1:17" s="142" customFormat="1" ht="18" thickBot="1">
      <c r="A41" s="172"/>
      <c r="B41" s="176" t="s">
        <v>677</v>
      </c>
      <c r="C41" s="161"/>
      <c r="D41" s="177">
        <v>-64288.480000000003</v>
      </c>
      <c r="E41" s="177">
        <v>-26064.25</v>
      </c>
      <c r="F41" s="161"/>
      <c r="G41" s="162">
        <v>-6.7</v>
      </c>
      <c r="H41" s="161"/>
      <c r="L41" s="143"/>
      <c r="M41" s="143"/>
      <c r="N41" s="143"/>
      <c r="O41" s="143"/>
      <c r="P41" s="143"/>
      <c r="Q41" s="143"/>
    </row>
    <row r="42" spans="1:17" ht="18" thickBot="1">
      <c r="B42" s="176" t="s">
        <v>678</v>
      </c>
      <c r="C42" s="161"/>
      <c r="D42" s="161">
        <v>0</v>
      </c>
      <c r="E42" s="161">
        <v>0</v>
      </c>
      <c r="F42" s="161"/>
      <c r="G42" s="161">
        <v>0.18</v>
      </c>
      <c r="H42" s="161"/>
    </row>
    <row r="43" spans="1:17" ht="18" thickBot="1">
      <c r="B43" s="184" t="s">
        <v>679</v>
      </c>
      <c r="C43" s="182">
        <v>946.64</v>
      </c>
      <c r="D43" s="182">
        <v>937.59</v>
      </c>
      <c r="E43" s="182">
        <v>879.05</v>
      </c>
      <c r="F43" s="182">
        <v>822.45</v>
      </c>
      <c r="G43" s="182">
        <v>772.23</v>
      </c>
      <c r="H43" s="221">
        <v>-50.22</v>
      </c>
    </row>
    <row r="44" spans="1:17" ht="18.600000000000001" thickTop="1" thickBot="1">
      <c r="A44" s="173" t="s">
        <v>596</v>
      </c>
      <c r="B44" s="174" t="s">
        <v>566</v>
      </c>
      <c r="C44" s="161">
        <v>486.2</v>
      </c>
      <c r="D44" s="161">
        <v>479.3</v>
      </c>
      <c r="E44" s="161">
        <v>441.7</v>
      </c>
      <c r="F44" s="161">
        <v>416.4</v>
      </c>
      <c r="G44" s="161">
        <v>409.2</v>
      </c>
      <c r="H44" s="162">
        <v>-1.7</v>
      </c>
    </row>
    <row r="45" spans="1:17" ht="18" thickBot="1">
      <c r="A45" s="267" t="s">
        <v>694</v>
      </c>
      <c r="B45" s="174" t="s">
        <v>594</v>
      </c>
      <c r="C45" s="161">
        <v>329.8</v>
      </c>
      <c r="D45" s="161">
        <v>310.8</v>
      </c>
      <c r="E45" s="161">
        <v>295.8</v>
      </c>
      <c r="F45" s="161">
        <v>255.7</v>
      </c>
      <c r="G45" s="161">
        <v>268.3</v>
      </c>
      <c r="H45" s="161">
        <v>4.9000000000000004</v>
      </c>
      <c r="I45" s="145"/>
      <c r="J45" s="146"/>
    </row>
    <row r="46" spans="1:17" ht="18" thickBot="1">
      <c r="A46" s="268"/>
      <c r="B46" s="176" t="s">
        <v>597</v>
      </c>
      <c r="C46" s="161">
        <v>19.3</v>
      </c>
      <c r="D46" s="161">
        <v>20.9</v>
      </c>
      <c r="E46" s="161">
        <v>11.6</v>
      </c>
      <c r="F46" s="161">
        <v>12.1</v>
      </c>
      <c r="G46" s="161">
        <v>10.6</v>
      </c>
      <c r="H46" s="162">
        <v>-12.3</v>
      </c>
      <c r="I46" s="145"/>
    </row>
    <row r="47" spans="1:17" ht="18" thickBot="1">
      <c r="B47" s="174" t="s">
        <v>598</v>
      </c>
      <c r="C47" s="161"/>
      <c r="D47" s="161"/>
      <c r="E47" s="161"/>
      <c r="F47" s="161"/>
      <c r="G47" s="161"/>
      <c r="H47" s="161"/>
      <c r="I47" s="145"/>
    </row>
    <row r="48" spans="1:17" ht="18" thickBot="1">
      <c r="B48" s="174" t="s">
        <v>599</v>
      </c>
      <c r="C48" s="161"/>
      <c r="D48" s="161"/>
      <c r="E48" s="161"/>
      <c r="F48" s="161"/>
      <c r="G48" s="161"/>
      <c r="H48" s="161"/>
      <c r="I48" s="145"/>
    </row>
    <row r="49" spans="2:8" ht="18" thickBot="1">
      <c r="B49" s="174" t="s">
        <v>600</v>
      </c>
      <c r="C49" s="161"/>
      <c r="D49" s="161"/>
      <c r="E49" s="161"/>
      <c r="F49" s="161"/>
      <c r="G49" s="161"/>
      <c r="H49" s="161"/>
    </row>
    <row r="50" spans="2:8" ht="18" thickBot="1">
      <c r="B50" s="174" t="s">
        <v>601</v>
      </c>
      <c r="C50" s="161"/>
      <c r="D50" s="161"/>
      <c r="E50" s="161"/>
      <c r="F50" s="161"/>
      <c r="G50" s="161"/>
      <c r="H50" s="161"/>
    </row>
    <row r="51" spans="2:8" ht="18" thickBot="1">
      <c r="B51" s="174" t="s">
        <v>602</v>
      </c>
      <c r="C51" s="161"/>
      <c r="D51" s="161"/>
      <c r="E51" s="161"/>
      <c r="F51" s="161"/>
      <c r="G51" s="161"/>
      <c r="H51" s="161"/>
    </row>
    <row r="52" spans="2:8" ht="18" thickBot="1">
      <c r="B52" s="176" t="s">
        <v>603</v>
      </c>
      <c r="C52" s="161">
        <v>215.2</v>
      </c>
      <c r="D52" s="161">
        <v>206.2</v>
      </c>
      <c r="E52" s="161">
        <v>207</v>
      </c>
      <c r="F52" s="161">
        <v>189.9</v>
      </c>
      <c r="G52" s="161">
        <v>182.2</v>
      </c>
      <c r="H52" s="162">
        <v>-4</v>
      </c>
    </row>
    <row r="53" spans="2:8" ht="18" thickBot="1">
      <c r="B53" s="176" t="s">
        <v>604</v>
      </c>
      <c r="C53" s="161">
        <v>56.6</v>
      </c>
      <c r="D53" s="161">
        <v>52.4</v>
      </c>
      <c r="E53" s="161">
        <v>38.1</v>
      </c>
      <c r="F53" s="161">
        <v>29</v>
      </c>
      <c r="G53" s="161">
        <v>34</v>
      </c>
      <c r="H53" s="161">
        <v>17</v>
      </c>
    </row>
    <row r="54" spans="2:8" ht="18" thickBot="1">
      <c r="B54" s="174" t="s">
        <v>605</v>
      </c>
      <c r="C54" s="161">
        <v>0.8</v>
      </c>
      <c r="D54" s="161">
        <v>0.5</v>
      </c>
      <c r="E54" s="161">
        <v>0.6</v>
      </c>
      <c r="F54" s="161">
        <v>0.6</v>
      </c>
      <c r="G54" s="161">
        <v>0.6</v>
      </c>
      <c r="H54" s="162">
        <v>-4</v>
      </c>
    </row>
    <row r="55" spans="2:8" ht="18" thickBot="1">
      <c r="B55" s="174" t="s">
        <v>606</v>
      </c>
      <c r="C55" s="161"/>
      <c r="D55" s="161"/>
      <c r="E55" s="161"/>
      <c r="F55" s="161"/>
      <c r="G55" s="161"/>
      <c r="H55" s="161"/>
    </row>
    <row r="56" spans="2:8" ht="18" thickBot="1">
      <c r="B56" s="174" t="s">
        <v>607</v>
      </c>
      <c r="C56" s="161"/>
      <c r="D56" s="161"/>
      <c r="E56" s="161"/>
      <c r="F56" s="161"/>
      <c r="G56" s="161"/>
      <c r="H56" s="161"/>
    </row>
    <row r="57" spans="2:8" ht="18" thickBot="1">
      <c r="B57" s="174" t="s">
        <v>608</v>
      </c>
      <c r="C57" s="161"/>
      <c r="D57" s="161"/>
      <c r="E57" s="161"/>
      <c r="F57" s="161"/>
      <c r="G57" s="161"/>
      <c r="H57" s="161"/>
    </row>
    <row r="58" spans="2:8" ht="18" thickBot="1">
      <c r="B58" s="176" t="s">
        <v>609</v>
      </c>
      <c r="C58" s="161">
        <v>0.7</v>
      </c>
      <c r="D58" s="161">
        <v>1.2</v>
      </c>
      <c r="E58" s="161">
        <v>2.6</v>
      </c>
      <c r="F58" s="161">
        <v>0.5</v>
      </c>
      <c r="G58" s="161">
        <v>1.8</v>
      </c>
      <c r="H58" s="161">
        <v>254.3</v>
      </c>
    </row>
    <row r="59" spans="2:8" ht="18" thickBot="1">
      <c r="B59" s="174" t="s">
        <v>610</v>
      </c>
      <c r="C59" s="161">
        <v>37.200000000000003</v>
      </c>
      <c r="D59" s="161">
        <v>29.6</v>
      </c>
      <c r="E59" s="161">
        <v>35.9</v>
      </c>
      <c r="F59" s="161">
        <v>23.6</v>
      </c>
      <c r="G59" s="161">
        <v>39.200000000000003</v>
      </c>
      <c r="H59" s="161">
        <v>66.2</v>
      </c>
    </row>
    <row r="60" spans="2:8" ht="18" thickBot="1">
      <c r="B60" s="176" t="s">
        <v>611</v>
      </c>
      <c r="C60" s="161"/>
      <c r="D60" s="161"/>
      <c r="E60" s="161"/>
      <c r="F60" s="161"/>
      <c r="G60" s="161"/>
      <c r="H60" s="161"/>
    </row>
    <row r="61" spans="2:8" ht="18" thickBot="1">
      <c r="B61" s="174" t="s">
        <v>612</v>
      </c>
      <c r="C61" s="161">
        <v>156.4</v>
      </c>
      <c r="D61" s="161">
        <v>168.6</v>
      </c>
      <c r="E61" s="161">
        <v>145.9</v>
      </c>
      <c r="F61" s="161">
        <v>160.69999999999999</v>
      </c>
      <c r="G61" s="161">
        <v>140.9</v>
      </c>
      <c r="H61" s="162">
        <v>-12.3</v>
      </c>
    </row>
    <row r="62" spans="2:8" ht="18" thickBot="1">
      <c r="B62" s="176" t="s">
        <v>613</v>
      </c>
      <c r="C62" s="161">
        <v>134.5</v>
      </c>
      <c r="D62" s="161">
        <v>144.6</v>
      </c>
      <c r="E62" s="161">
        <v>130.19999999999999</v>
      </c>
      <c r="F62" s="161">
        <v>116</v>
      </c>
      <c r="G62" s="161">
        <v>91.7</v>
      </c>
      <c r="H62" s="162">
        <v>-20.9</v>
      </c>
    </row>
    <row r="63" spans="2:8" ht="18" thickBot="1">
      <c r="B63" s="176" t="s">
        <v>614</v>
      </c>
      <c r="C63" s="161">
        <v>6.7</v>
      </c>
      <c r="D63" s="161">
        <v>7.4</v>
      </c>
      <c r="E63" s="161">
        <v>6.4</v>
      </c>
      <c r="F63" s="161">
        <v>25.8</v>
      </c>
      <c r="G63" s="161">
        <v>25.2</v>
      </c>
      <c r="H63" s="162">
        <v>-2.2000000000000002</v>
      </c>
    </row>
    <row r="64" spans="2:8" ht="18" thickBot="1">
      <c r="B64" s="174" t="s">
        <v>615</v>
      </c>
      <c r="C64" s="161"/>
      <c r="D64" s="161"/>
      <c r="E64" s="161"/>
      <c r="F64" s="161"/>
      <c r="G64" s="161"/>
      <c r="H64" s="161"/>
    </row>
    <row r="65" spans="2:8" ht="18" thickBot="1">
      <c r="B65" s="176" t="s">
        <v>616</v>
      </c>
      <c r="C65" s="161"/>
      <c r="D65" s="161"/>
      <c r="E65" s="161"/>
      <c r="F65" s="161"/>
      <c r="G65" s="161"/>
      <c r="H65" s="161"/>
    </row>
    <row r="66" spans="2:8" ht="18" thickBot="1">
      <c r="B66" s="176" t="s">
        <v>617</v>
      </c>
      <c r="C66" s="161">
        <v>10.5</v>
      </c>
      <c r="D66" s="161">
        <v>11.6</v>
      </c>
      <c r="E66" s="161">
        <v>5.3</v>
      </c>
      <c r="F66" s="161">
        <v>14.7</v>
      </c>
      <c r="G66" s="161">
        <v>11.7</v>
      </c>
      <c r="H66" s="162">
        <v>-20.6</v>
      </c>
    </row>
    <row r="67" spans="2:8" ht="18" thickBot="1">
      <c r="B67" s="176" t="s">
        <v>618</v>
      </c>
      <c r="C67" s="161"/>
      <c r="D67" s="161"/>
      <c r="E67" s="161"/>
      <c r="F67" s="161"/>
      <c r="G67" s="161"/>
      <c r="H67" s="161"/>
    </row>
    <row r="68" spans="2:8" ht="18" thickBot="1">
      <c r="B68" s="174" t="s">
        <v>619</v>
      </c>
      <c r="C68" s="161">
        <v>4.5999999999999996</v>
      </c>
      <c r="D68" s="161">
        <v>4.0999999999999996</v>
      </c>
      <c r="E68" s="161">
        <v>3</v>
      </c>
      <c r="F68" s="161">
        <v>2.6</v>
      </c>
      <c r="G68" s="161">
        <v>0.4</v>
      </c>
      <c r="H68" s="162">
        <v>-84.8</v>
      </c>
    </row>
    <row r="69" spans="2:8" ht="18" thickBot="1">
      <c r="B69" s="174" t="s">
        <v>620</v>
      </c>
      <c r="C69" s="161"/>
      <c r="D69" s="161"/>
      <c r="E69" s="161"/>
      <c r="F69" s="161"/>
      <c r="G69" s="161"/>
      <c r="H69" s="161"/>
    </row>
    <row r="70" spans="2:8" ht="18" thickBot="1">
      <c r="B70" s="174" t="s">
        <v>606</v>
      </c>
      <c r="C70" s="161"/>
      <c r="D70" s="161"/>
      <c r="E70" s="161"/>
      <c r="F70" s="161"/>
      <c r="G70" s="161"/>
      <c r="H70" s="161"/>
    </row>
    <row r="71" spans="2:8" ht="18" thickBot="1">
      <c r="B71" s="174" t="s">
        <v>607</v>
      </c>
      <c r="C71" s="161"/>
      <c r="D71" s="161"/>
      <c r="E71" s="161"/>
      <c r="F71" s="161"/>
      <c r="G71" s="161"/>
      <c r="H71" s="161"/>
    </row>
    <row r="72" spans="2:8" ht="18" thickBot="1">
      <c r="B72" s="174" t="s">
        <v>608</v>
      </c>
      <c r="C72" s="161"/>
      <c r="D72" s="161"/>
      <c r="E72" s="161"/>
      <c r="F72" s="161"/>
      <c r="G72" s="161"/>
      <c r="H72" s="161"/>
    </row>
    <row r="73" spans="2:8" ht="18" thickBot="1">
      <c r="B73" s="176" t="s">
        <v>621</v>
      </c>
      <c r="C73" s="161"/>
      <c r="D73" s="161">
        <v>0.9</v>
      </c>
      <c r="E73" s="161">
        <v>1.1000000000000001</v>
      </c>
      <c r="F73" s="161">
        <v>1.6</v>
      </c>
      <c r="G73" s="161">
        <v>11.8</v>
      </c>
      <c r="H73" s="161">
        <v>633</v>
      </c>
    </row>
    <row r="74" spans="2:8" ht="18" thickBot="1">
      <c r="B74" s="174" t="s">
        <v>622</v>
      </c>
      <c r="C74" s="161"/>
      <c r="D74" s="161"/>
      <c r="E74" s="161"/>
      <c r="F74" s="161"/>
      <c r="G74" s="161"/>
      <c r="H74" s="161"/>
    </row>
    <row r="75" spans="2:8" ht="18" thickBot="1">
      <c r="B75" s="174" t="s">
        <v>623</v>
      </c>
      <c r="C75" s="161">
        <v>451.8</v>
      </c>
      <c r="D75" s="161">
        <v>444.9</v>
      </c>
      <c r="E75" s="161">
        <v>416.1</v>
      </c>
      <c r="F75" s="161">
        <v>392.9</v>
      </c>
      <c r="G75" s="161">
        <v>374.9</v>
      </c>
      <c r="H75" s="162">
        <v>-4.5999999999999996</v>
      </c>
    </row>
    <row r="76" spans="2:8" ht="18" thickBot="1">
      <c r="B76" s="174" t="s">
        <v>624</v>
      </c>
      <c r="C76" s="161">
        <v>445.1</v>
      </c>
      <c r="D76" s="161">
        <v>437.6</v>
      </c>
      <c r="E76" s="161">
        <v>409.7</v>
      </c>
      <c r="F76" s="161">
        <v>367.1</v>
      </c>
      <c r="G76" s="161">
        <v>349.6</v>
      </c>
      <c r="H76" s="162">
        <v>-4.8</v>
      </c>
    </row>
    <row r="77" spans="2:8" ht="18" thickBot="1">
      <c r="B77" s="174" t="s">
        <v>625</v>
      </c>
      <c r="C77" s="161">
        <v>34.4</v>
      </c>
      <c r="D77" s="161">
        <v>34.4</v>
      </c>
      <c r="E77" s="161">
        <v>25.6</v>
      </c>
      <c r="F77" s="161">
        <v>23.5</v>
      </c>
      <c r="G77" s="161">
        <v>34.4</v>
      </c>
      <c r="H77" s="161">
        <v>46.2</v>
      </c>
    </row>
    <row r="78" spans="2:8" ht="18" thickBot="1">
      <c r="B78" s="174" t="s">
        <v>626</v>
      </c>
      <c r="C78" s="161">
        <v>33.1</v>
      </c>
      <c r="D78" s="161">
        <v>32.200000000000003</v>
      </c>
      <c r="E78" s="161">
        <v>25.5</v>
      </c>
      <c r="F78" s="161">
        <v>23.5</v>
      </c>
      <c r="G78" s="161">
        <v>27.8</v>
      </c>
      <c r="H78" s="161">
        <v>18.3</v>
      </c>
    </row>
    <row r="79" spans="2:8" ht="18" thickBot="1">
      <c r="B79" s="174" t="s">
        <v>627</v>
      </c>
      <c r="C79" s="161"/>
      <c r="D79" s="161"/>
      <c r="E79" s="161"/>
      <c r="F79" s="161"/>
      <c r="G79" s="161"/>
      <c r="H79" s="161"/>
    </row>
    <row r="80" spans="2:8" ht="18" thickBot="1">
      <c r="B80" s="174" t="s">
        <v>628</v>
      </c>
      <c r="C80" s="161"/>
      <c r="D80" s="161">
        <v>0.2</v>
      </c>
      <c r="E80" s="161"/>
      <c r="F80" s="161"/>
      <c r="G80" s="161"/>
      <c r="H80" s="161"/>
    </row>
    <row r="81" spans="2:8" ht="18" thickBot="1">
      <c r="B81" s="176" t="s">
        <v>629</v>
      </c>
      <c r="C81" s="161"/>
      <c r="D81" s="161"/>
      <c r="E81" s="161"/>
      <c r="F81" s="161"/>
      <c r="G81" s="161"/>
      <c r="H81" s="161"/>
    </row>
    <row r="82" spans="2:8" ht="18" thickBot="1">
      <c r="B82" s="174" t="s">
        <v>630</v>
      </c>
      <c r="C82" s="161"/>
      <c r="D82" s="161"/>
      <c r="E82" s="161"/>
      <c r="F82" s="161"/>
      <c r="G82" s="161"/>
      <c r="H82" s="161"/>
    </row>
    <row r="83" spans="2:8" ht="18" thickBot="1">
      <c r="B83" s="174" t="s">
        <v>631</v>
      </c>
      <c r="C83" s="161"/>
      <c r="D83" s="161"/>
      <c r="E83" s="161"/>
      <c r="F83" s="161"/>
      <c r="G83" s="161"/>
      <c r="H83" s="161"/>
    </row>
    <row r="84" spans="2:8" ht="18" thickBot="1">
      <c r="B84" s="176" t="s">
        <v>632</v>
      </c>
      <c r="C84" s="161"/>
      <c r="D84" s="161"/>
      <c r="E84" s="161"/>
      <c r="F84" s="161"/>
      <c r="G84" s="161">
        <v>3.5</v>
      </c>
      <c r="H84" s="161"/>
    </row>
    <row r="85" spans="2:8" ht="18" thickBot="1">
      <c r="B85" s="176" t="s">
        <v>633</v>
      </c>
      <c r="C85" s="161">
        <v>33.1</v>
      </c>
      <c r="D85" s="161">
        <v>31.5</v>
      </c>
      <c r="E85" s="161">
        <v>25.5</v>
      </c>
      <c r="F85" s="161">
        <v>23.5</v>
      </c>
      <c r="G85" s="161">
        <v>23.6</v>
      </c>
      <c r="H85" s="161">
        <v>0.5</v>
      </c>
    </row>
    <row r="86" spans="2:8" ht="18" thickBot="1">
      <c r="B86" s="174" t="s">
        <v>634</v>
      </c>
      <c r="C86" s="161"/>
      <c r="D86" s="161"/>
      <c r="E86" s="161"/>
      <c r="F86" s="161"/>
      <c r="G86" s="161"/>
      <c r="H86" s="161"/>
    </row>
    <row r="87" spans="2:8" ht="18" thickBot="1">
      <c r="B87" s="174" t="s">
        <v>635</v>
      </c>
      <c r="C87" s="161"/>
      <c r="D87" s="161"/>
      <c r="E87" s="161"/>
      <c r="F87" s="161"/>
      <c r="G87" s="161"/>
      <c r="H87" s="161"/>
    </row>
    <row r="88" spans="2:8" ht="18" thickBot="1">
      <c r="B88" s="174" t="s">
        <v>636</v>
      </c>
      <c r="C88" s="161"/>
      <c r="D88" s="161"/>
      <c r="E88" s="161"/>
      <c r="F88" s="161"/>
      <c r="G88" s="161">
        <v>0.7</v>
      </c>
      <c r="H88" s="161"/>
    </row>
    <row r="89" spans="2:8" ht="18" thickBot="1">
      <c r="B89" s="174" t="s">
        <v>637</v>
      </c>
      <c r="C89" s="161"/>
      <c r="D89" s="161"/>
      <c r="E89" s="161"/>
      <c r="F89" s="161"/>
      <c r="G89" s="161"/>
      <c r="H89" s="161"/>
    </row>
    <row r="90" spans="2:8" ht="18" thickBot="1">
      <c r="B90" s="174" t="s">
        <v>638</v>
      </c>
      <c r="C90" s="161"/>
      <c r="D90" s="161"/>
      <c r="E90" s="161"/>
      <c r="F90" s="161"/>
      <c r="G90" s="161"/>
      <c r="H90" s="161"/>
    </row>
    <row r="91" spans="2:8" ht="18" thickBot="1">
      <c r="B91" s="174" t="s">
        <v>639</v>
      </c>
      <c r="C91" s="161"/>
      <c r="D91" s="161"/>
      <c r="E91" s="161"/>
      <c r="F91" s="161"/>
      <c r="G91" s="161"/>
      <c r="H91" s="161"/>
    </row>
    <row r="92" spans="2:8" ht="18" thickBot="1">
      <c r="B92" s="176" t="s">
        <v>640</v>
      </c>
      <c r="C92" s="161"/>
      <c r="D92" s="161">
        <v>0.5</v>
      </c>
      <c r="E92" s="161"/>
      <c r="F92" s="161"/>
      <c r="G92" s="161"/>
      <c r="H92" s="161"/>
    </row>
    <row r="93" spans="2:8" ht="22.2" thickBot="1">
      <c r="B93" s="176" t="s">
        <v>641</v>
      </c>
      <c r="C93" s="161"/>
      <c r="D93" s="161"/>
      <c r="E93" s="161"/>
      <c r="F93" s="161"/>
      <c r="G93" s="161"/>
      <c r="H93" s="161"/>
    </row>
    <row r="94" spans="2:8" ht="18" thickBot="1">
      <c r="B94" s="174" t="s">
        <v>642</v>
      </c>
      <c r="C94" s="161">
        <v>1.3</v>
      </c>
      <c r="D94" s="161">
        <v>2.2000000000000002</v>
      </c>
      <c r="E94" s="161">
        <v>0.1</v>
      </c>
      <c r="F94" s="161"/>
      <c r="G94" s="161">
        <v>6.6</v>
      </c>
      <c r="H94" s="161"/>
    </row>
    <row r="95" spans="2:8" ht="18" thickBot="1">
      <c r="B95" s="176" t="s">
        <v>643</v>
      </c>
      <c r="C95" s="161"/>
      <c r="D95" s="161"/>
      <c r="E95" s="161"/>
      <c r="F95" s="161"/>
      <c r="G95" s="161"/>
      <c r="H95" s="161"/>
    </row>
    <row r="96" spans="2:8" ht="18" thickBot="1">
      <c r="B96" s="174" t="s">
        <v>644</v>
      </c>
      <c r="C96" s="161"/>
      <c r="D96" s="161"/>
      <c r="E96" s="161"/>
      <c r="F96" s="161"/>
      <c r="G96" s="161"/>
      <c r="H96" s="161"/>
    </row>
    <row r="97" spans="2:8" ht="18" thickBot="1">
      <c r="B97" s="174" t="s">
        <v>630</v>
      </c>
      <c r="C97" s="161"/>
      <c r="D97" s="161"/>
      <c r="E97" s="161"/>
      <c r="F97" s="161"/>
      <c r="G97" s="161"/>
      <c r="H97" s="161"/>
    </row>
    <row r="98" spans="2:8" ht="18" thickBot="1">
      <c r="B98" s="174" t="s">
        <v>631</v>
      </c>
      <c r="C98" s="161"/>
      <c r="D98" s="161"/>
      <c r="E98" s="161"/>
      <c r="F98" s="161"/>
      <c r="G98" s="161"/>
      <c r="H98" s="161"/>
    </row>
    <row r="99" spans="2:8" ht="18" thickBot="1">
      <c r="B99" s="176" t="s">
        <v>645</v>
      </c>
      <c r="C99" s="161"/>
      <c r="D99" s="161"/>
      <c r="E99" s="161"/>
      <c r="F99" s="161"/>
      <c r="G99" s="161">
        <v>6.6</v>
      </c>
      <c r="H99" s="161"/>
    </row>
    <row r="100" spans="2:8" ht="18" thickBot="1">
      <c r="B100" s="176" t="s">
        <v>646</v>
      </c>
      <c r="C100" s="161"/>
      <c r="D100" s="161"/>
      <c r="E100" s="161"/>
      <c r="F100" s="161"/>
      <c r="G100" s="161"/>
      <c r="H100" s="161"/>
    </row>
    <row r="101" spans="2:8" ht="18" thickBot="1">
      <c r="B101" s="174" t="s">
        <v>647</v>
      </c>
      <c r="C101" s="161">
        <v>1.3</v>
      </c>
      <c r="D101" s="161">
        <v>2.2000000000000002</v>
      </c>
      <c r="E101" s="161">
        <v>0.1</v>
      </c>
      <c r="F101" s="161"/>
      <c r="G101" s="161"/>
      <c r="H101" s="161"/>
    </row>
    <row r="102" spans="2:8" ht="18" thickBot="1">
      <c r="B102" s="174" t="s">
        <v>648</v>
      </c>
      <c r="C102" s="161"/>
      <c r="D102" s="161"/>
      <c r="E102" s="161"/>
      <c r="F102" s="161"/>
      <c r="G102" s="161"/>
      <c r="H102" s="161"/>
    </row>
    <row r="103" spans="2:8" ht="18" thickBot="1">
      <c r="B103" s="174" t="s">
        <v>649</v>
      </c>
      <c r="C103" s="161"/>
      <c r="D103" s="161"/>
      <c r="E103" s="161"/>
      <c r="F103" s="161"/>
      <c r="G103" s="161"/>
      <c r="H103" s="161"/>
    </row>
    <row r="104" spans="2:8" ht="18" thickBot="1">
      <c r="B104" s="174" t="s">
        <v>650</v>
      </c>
      <c r="C104" s="161"/>
      <c r="D104" s="161"/>
      <c r="E104" s="161"/>
      <c r="F104" s="161"/>
      <c r="G104" s="161"/>
      <c r="H104" s="161"/>
    </row>
    <row r="105" spans="2:8" ht="18" thickBot="1">
      <c r="B105" s="174" t="s">
        <v>637</v>
      </c>
      <c r="C105" s="161"/>
      <c r="D105" s="161"/>
      <c r="E105" s="161"/>
      <c r="F105" s="161"/>
      <c r="G105" s="161"/>
      <c r="H105" s="161"/>
    </row>
    <row r="106" spans="2:8" ht="18" thickBot="1">
      <c r="B106" s="174" t="s">
        <v>638</v>
      </c>
      <c r="C106" s="161"/>
      <c r="D106" s="161"/>
      <c r="E106" s="161"/>
      <c r="F106" s="161"/>
      <c r="G106" s="161"/>
      <c r="H106" s="161"/>
    </row>
    <row r="107" spans="2:8" ht="18" thickBot="1">
      <c r="B107" s="174" t="s">
        <v>639</v>
      </c>
      <c r="C107" s="161"/>
      <c r="D107" s="161"/>
      <c r="E107" s="161"/>
      <c r="F107" s="161"/>
      <c r="G107" s="161"/>
      <c r="H107" s="161"/>
    </row>
    <row r="108" spans="2:8" ht="18" thickBot="1">
      <c r="B108" s="176" t="s">
        <v>651</v>
      </c>
      <c r="C108" s="161"/>
      <c r="D108" s="161"/>
      <c r="E108" s="161"/>
      <c r="F108" s="161"/>
      <c r="G108" s="161"/>
      <c r="H108" s="161"/>
    </row>
    <row r="109" spans="2:8" ht="18" thickBot="1">
      <c r="B109" s="174" t="s">
        <v>652</v>
      </c>
      <c r="C109" s="161"/>
      <c r="D109" s="161"/>
      <c r="E109" s="161"/>
      <c r="F109" s="161"/>
      <c r="G109" s="161"/>
      <c r="H109" s="161"/>
    </row>
    <row r="110" spans="2:8" ht="18" thickBot="1">
      <c r="B110" s="174" t="s">
        <v>653</v>
      </c>
      <c r="C110" s="161"/>
      <c r="D110" s="161">
        <v>0.2</v>
      </c>
      <c r="E110" s="161"/>
      <c r="F110" s="161"/>
      <c r="G110" s="161">
        <v>10</v>
      </c>
      <c r="H110" s="161"/>
    </row>
    <row r="111" spans="2:8" ht="18" thickBot="1">
      <c r="B111" s="174" t="s">
        <v>654</v>
      </c>
      <c r="C111" s="162">
        <v>-252.2</v>
      </c>
      <c r="D111" s="162">
        <v>-235.4</v>
      </c>
      <c r="E111" s="162">
        <v>-242.9</v>
      </c>
      <c r="F111" s="162">
        <v>-213.4</v>
      </c>
      <c r="G111" s="162">
        <v>-211.2</v>
      </c>
      <c r="H111" s="161">
        <v>1</v>
      </c>
    </row>
    <row r="112" spans="2:8" ht="18" thickBot="1">
      <c r="B112" s="174" t="s">
        <v>655</v>
      </c>
      <c r="C112" s="161">
        <v>9.5</v>
      </c>
      <c r="D112" s="161">
        <v>30.7</v>
      </c>
      <c r="E112" s="161">
        <v>24.8</v>
      </c>
      <c r="F112" s="161">
        <v>16.600000000000001</v>
      </c>
      <c r="G112" s="161">
        <v>8.1999999999999993</v>
      </c>
      <c r="H112" s="162">
        <v>-50.7</v>
      </c>
    </row>
    <row r="113" spans="2:10" ht="18" thickBot="1">
      <c r="B113" s="174" t="s">
        <v>656</v>
      </c>
      <c r="C113" s="161">
        <v>451.8</v>
      </c>
      <c r="D113" s="161">
        <v>444.9</v>
      </c>
      <c r="E113" s="161">
        <v>416.1</v>
      </c>
      <c r="F113" s="161">
        <v>392.9</v>
      </c>
      <c r="G113" s="161">
        <v>374.9</v>
      </c>
      <c r="H113" s="162">
        <v>-4.5999999999999996</v>
      </c>
    </row>
    <row r="114" spans="2:10" ht="18" thickBot="1">
      <c r="B114" s="174" t="s">
        <v>657</v>
      </c>
      <c r="C114" s="161">
        <v>451.8</v>
      </c>
      <c r="D114" s="161">
        <v>444.9</v>
      </c>
      <c r="E114" s="161">
        <v>416.1</v>
      </c>
      <c r="F114" s="161">
        <v>392.9</v>
      </c>
      <c r="G114" s="161">
        <v>374.9</v>
      </c>
      <c r="H114" s="162">
        <v>-4.5999999999999996</v>
      </c>
    </row>
    <row r="115" spans="2:10" ht="18" thickBot="1">
      <c r="B115" s="176" t="s">
        <v>658</v>
      </c>
      <c r="C115" s="161">
        <v>42</v>
      </c>
      <c r="D115" s="161">
        <v>42</v>
      </c>
      <c r="E115" s="161">
        <v>42</v>
      </c>
      <c r="F115" s="161">
        <v>42</v>
      </c>
      <c r="G115" s="161">
        <v>42</v>
      </c>
      <c r="H115" s="161">
        <v>0</v>
      </c>
    </row>
    <row r="116" spans="2:10" ht="18" thickBot="1">
      <c r="B116" s="174" t="s">
        <v>659</v>
      </c>
      <c r="C116" s="161"/>
      <c r="D116" s="161"/>
      <c r="E116" s="161"/>
      <c r="F116" s="161"/>
      <c r="G116" s="161"/>
      <c r="H116" s="161"/>
    </row>
    <row r="117" spans="2:10" ht="18" thickBot="1">
      <c r="B117" s="176" t="s">
        <v>660</v>
      </c>
      <c r="C117" s="161">
        <v>133.19999999999999</v>
      </c>
      <c r="D117" s="161">
        <v>133.19999999999999</v>
      </c>
      <c r="E117" s="161">
        <v>133.19999999999999</v>
      </c>
      <c r="F117" s="161">
        <v>133.19999999999999</v>
      </c>
      <c r="G117" s="161">
        <v>133.19999999999999</v>
      </c>
      <c r="H117" s="161">
        <v>0</v>
      </c>
    </row>
    <row r="118" spans="2:10" ht="18" thickBot="1">
      <c r="B118" s="176" t="s">
        <v>661</v>
      </c>
      <c r="C118" s="162">
        <v>-3.2</v>
      </c>
      <c r="D118" s="162">
        <v>-3.2</v>
      </c>
      <c r="E118" s="162">
        <v>-3.1</v>
      </c>
      <c r="F118" s="162">
        <v>-3.1</v>
      </c>
      <c r="G118" s="162">
        <v>-3.1</v>
      </c>
      <c r="H118" s="161">
        <v>0</v>
      </c>
    </row>
    <row r="119" spans="2:10" ht="18" thickBot="1">
      <c r="B119" s="176" t="s">
        <v>662</v>
      </c>
      <c r="C119" s="161">
        <v>15.6</v>
      </c>
      <c r="D119" s="161">
        <v>12.5</v>
      </c>
      <c r="E119" s="161">
        <v>8.1999999999999993</v>
      </c>
      <c r="F119" s="161">
        <v>8.8000000000000007</v>
      </c>
      <c r="G119" s="161">
        <v>11.8</v>
      </c>
      <c r="H119" s="161">
        <v>34</v>
      </c>
    </row>
    <row r="120" spans="2:10" ht="18" thickBot="1">
      <c r="B120" s="174" t="s">
        <v>663</v>
      </c>
      <c r="C120" s="161">
        <v>264.3</v>
      </c>
      <c r="D120" s="161">
        <v>260.5</v>
      </c>
      <c r="E120" s="161">
        <v>235.9</v>
      </c>
      <c r="F120" s="161">
        <v>212.1</v>
      </c>
      <c r="G120" s="161">
        <v>191</v>
      </c>
      <c r="H120" s="162">
        <v>-9.9</v>
      </c>
      <c r="I120" s="107">
        <f>(G119-C119)/C119*100*0.5</f>
        <v>-12.179487179487177</v>
      </c>
      <c r="J120" s="107" t="s">
        <v>684</v>
      </c>
    </row>
    <row r="121" spans="2:10" ht="18" thickBot="1">
      <c r="B121" s="174" t="s">
        <v>664</v>
      </c>
      <c r="C121" s="162">
        <v>-55.7</v>
      </c>
      <c r="D121" s="162">
        <v>-4.5</v>
      </c>
      <c r="E121" s="162">
        <v>-24.6</v>
      </c>
      <c r="F121" s="162">
        <v>-23.8</v>
      </c>
      <c r="G121" s="162">
        <v>-21.1</v>
      </c>
      <c r="H121" s="161">
        <v>11.3</v>
      </c>
    </row>
    <row r="122" spans="2:10" ht="18" thickBot="1">
      <c r="B122" s="174" t="s">
        <v>665</v>
      </c>
      <c r="C122" s="161"/>
      <c r="D122" s="161"/>
      <c r="E122" s="161"/>
      <c r="F122" s="161"/>
      <c r="G122" s="161"/>
      <c r="H122" s="161"/>
    </row>
    <row r="123" spans="2:10" ht="18" thickBot="1">
      <c r="B123" s="174" t="s">
        <v>666</v>
      </c>
      <c r="C123" s="161"/>
      <c r="D123" s="161"/>
      <c r="E123" s="161"/>
      <c r="F123" s="161"/>
      <c r="G123" s="161"/>
      <c r="H123" s="161"/>
    </row>
    <row r="124" spans="2:10" ht="18" thickBot="1">
      <c r="B124" s="174" t="s">
        <v>667</v>
      </c>
      <c r="C124" s="178">
        <v>30000</v>
      </c>
      <c r="D124" s="178">
        <v>30000</v>
      </c>
      <c r="E124" s="178">
        <v>30000</v>
      </c>
      <c r="F124" s="178">
        <v>30000</v>
      </c>
      <c r="G124" s="178">
        <v>30000</v>
      </c>
      <c r="H124" s="161">
        <v>0</v>
      </c>
    </row>
    <row r="125" spans="2:10" ht="18" thickBot="1">
      <c r="B125" s="174" t="s">
        <v>668</v>
      </c>
      <c r="C125" s="161">
        <v>500</v>
      </c>
      <c r="D125" s="161">
        <v>500</v>
      </c>
      <c r="E125" s="161">
        <v>500</v>
      </c>
      <c r="F125" s="161">
        <v>500</v>
      </c>
      <c r="G125" s="161">
        <v>500</v>
      </c>
      <c r="H125" s="161">
        <v>0</v>
      </c>
    </row>
    <row r="126" spans="2:10" ht="18" thickBot="1">
      <c r="B126" s="174" t="s">
        <v>669</v>
      </c>
      <c r="C126" s="178">
        <v>8397</v>
      </c>
      <c r="D126" s="178">
        <v>8397</v>
      </c>
      <c r="E126" s="178">
        <v>8397</v>
      </c>
      <c r="F126" s="178">
        <v>8397</v>
      </c>
      <c r="G126" s="178">
        <v>8397</v>
      </c>
      <c r="H126" s="161">
        <v>0</v>
      </c>
    </row>
    <row r="127" spans="2:10" ht="18" thickBot="1">
      <c r="B127" s="174" t="s">
        <v>670</v>
      </c>
      <c r="C127" s="178">
        <v>8397</v>
      </c>
      <c r="D127" s="178">
        <v>8397</v>
      </c>
      <c r="E127" s="178">
        <v>8397</v>
      </c>
      <c r="F127" s="178">
        <v>8397</v>
      </c>
      <c r="G127" s="178">
        <v>8397</v>
      </c>
      <c r="H127" s="161">
        <v>0</v>
      </c>
    </row>
    <row r="128" spans="2:10" ht="18" thickBot="1">
      <c r="B128" s="181" t="s">
        <v>671</v>
      </c>
      <c r="C128" s="182"/>
      <c r="D128" s="182"/>
      <c r="E128" s="182"/>
      <c r="F128" s="182"/>
      <c r="G128" s="182"/>
      <c r="H128" s="166"/>
    </row>
    <row r="129" ht="18" thickTop="1"/>
  </sheetData>
  <mergeCells count="1">
    <mergeCell ref="A45:A46"/>
  </mergeCells>
  <phoneticPr fontId="1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9"/>
  <sheetViews>
    <sheetView tabSelected="1" topLeftCell="B33" workbookViewId="0">
      <selection activeCell="C43" sqref="C43"/>
    </sheetView>
  </sheetViews>
  <sheetFormatPr defaultRowHeight="17.399999999999999"/>
  <cols>
    <col min="1" max="1" width="0" hidden="1" customWidth="1"/>
    <col min="2" max="2" width="15.8984375" bestFit="1" customWidth="1"/>
    <col min="3" max="3" width="11.19921875" customWidth="1"/>
    <col min="5" max="5" width="17.59765625" style="23" bestFit="1" customWidth="1"/>
    <col min="6" max="6" width="12.5" style="27" bestFit="1" customWidth="1"/>
    <col min="8" max="9" width="0" hidden="1" customWidth="1"/>
    <col min="10" max="10" width="10.59765625" bestFit="1" customWidth="1"/>
    <col min="11" max="11" width="21" bestFit="1" customWidth="1"/>
    <col min="12" max="12" width="15.09765625" bestFit="1" customWidth="1"/>
    <col min="13" max="13" width="12.8984375" bestFit="1" customWidth="1"/>
    <col min="15" max="15" width="21.59765625" bestFit="1" customWidth="1"/>
    <col min="16" max="16" width="12.69921875" bestFit="1" customWidth="1"/>
    <col min="17" max="17" width="27.19921875" bestFit="1" customWidth="1"/>
  </cols>
  <sheetData>
    <row r="2" spans="2:17">
      <c r="B2" t="s">
        <v>69</v>
      </c>
      <c r="C2" s="20">
        <v>3696</v>
      </c>
      <c r="E2" s="23" t="s">
        <v>70</v>
      </c>
      <c r="F2" s="30">
        <f>E24</f>
        <v>0</v>
      </c>
      <c r="H2" t="s">
        <v>82</v>
      </c>
      <c r="J2" s="30">
        <v>37528</v>
      </c>
      <c r="L2" t="s">
        <v>85</v>
      </c>
      <c r="M2" s="25">
        <f>C25</f>
        <v>9774</v>
      </c>
      <c r="O2" t="s">
        <v>89</v>
      </c>
      <c r="P2" s="30">
        <f>C30</f>
        <v>356670</v>
      </c>
      <c r="Q2" s="33" t="s">
        <v>91</v>
      </c>
    </row>
    <row r="3" spans="2:17">
      <c r="B3" t="s">
        <v>66</v>
      </c>
      <c r="C3" s="20">
        <v>11.47</v>
      </c>
      <c r="F3" s="30">
        <f>D24</f>
        <v>0</v>
      </c>
      <c r="H3" t="s">
        <v>83</v>
      </c>
      <c r="J3" s="30">
        <v>3166</v>
      </c>
      <c r="L3" t="s">
        <v>68</v>
      </c>
      <c r="M3">
        <f>H23</f>
        <v>15.102</v>
      </c>
      <c r="O3" t="s">
        <v>88</v>
      </c>
      <c r="P3">
        <f>C27</f>
        <v>7.94</v>
      </c>
    </row>
    <row r="4" spans="2:17" ht="104.4">
      <c r="C4" s="20">
        <v>13.18</v>
      </c>
      <c r="F4" s="30">
        <f>C24</f>
        <v>12526</v>
      </c>
      <c r="H4" t="s">
        <v>84</v>
      </c>
      <c r="J4" s="32">
        <v>8.69</v>
      </c>
      <c r="L4" t="s">
        <v>79</v>
      </c>
      <c r="M4" s="28">
        <f>C31</f>
        <v>200000000</v>
      </c>
      <c r="O4" t="s">
        <v>90</v>
      </c>
      <c r="Q4" s="34" t="s">
        <v>92</v>
      </c>
    </row>
    <row r="5" spans="2:17">
      <c r="C5" s="20">
        <v>9.4</v>
      </c>
      <c r="E5" s="23" t="s">
        <v>81</v>
      </c>
      <c r="F5" s="26">
        <f>AVERAGE(F2:F4)</f>
        <v>4175.333333333333</v>
      </c>
      <c r="L5" t="s">
        <v>80</v>
      </c>
      <c r="M5">
        <f>M2*M3*100000000/M4</f>
        <v>73803.474000000002</v>
      </c>
      <c r="O5" t="s">
        <v>95</v>
      </c>
      <c r="P5">
        <f>E28</f>
        <v>3.26</v>
      </c>
    </row>
    <row r="6" spans="2:17">
      <c r="C6" s="20">
        <v>6.42</v>
      </c>
      <c r="E6" s="23" t="s">
        <v>72</v>
      </c>
      <c r="F6" s="26">
        <v>25</v>
      </c>
      <c r="H6" t="s">
        <v>82</v>
      </c>
      <c r="J6" s="28">
        <f>J2</f>
        <v>37528</v>
      </c>
      <c r="L6" t="s">
        <v>87</v>
      </c>
      <c r="M6" s="30">
        <f>C26</f>
        <v>10517</v>
      </c>
      <c r="O6" t="s">
        <v>96</v>
      </c>
      <c r="P6">
        <f>D28</f>
        <v>5.95</v>
      </c>
    </row>
    <row r="7" spans="2:17">
      <c r="C7" s="20">
        <v>17.63</v>
      </c>
      <c r="E7" s="23" t="s">
        <v>73</v>
      </c>
      <c r="F7" s="26">
        <f>C27</f>
        <v>7.94</v>
      </c>
      <c r="H7" t="s">
        <v>83</v>
      </c>
      <c r="J7">
        <f>J3*10</f>
        <v>31660</v>
      </c>
      <c r="L7" t="s">
        <v>80</v>
      </c>
      <c r="M7">
        <f>M6*M3*100000000/M4</f>
        <v>79413.866999999998</v>
      </c>
      <c r="O7" t="s">
        <v>94</v>
      </c>
      <c r="P7">
        <f>C28</f>
        <v>4.51</v>
      </c>
    </row>
    <row r="8" spans="2:17">
      <c r="B8" t="s">
        <v>68</v>
      </c>
      <c r="C8" s="19">
        <f>SUM(C3:C7)/5</f>
        <v>11.62</v>
      </c>
      <c r="E8" s="23" t="s">
        <v>71</v>
      </c>
      <c r="F8" s="26">
        <f>F5*((100-F6)/F7)</f>
        <v>39439.546599496214</v>
      </c>
      <c r="H8" t="s">
        <v>84</v>
      </c>
      <c r="J8">
        <f>J4*J3</f>
        <v>27512.539999999997</v>
      </c>
      <c r="M8" s="28"/>
      <c r="O8" t="s">
        <v>97</v>
      </c>
      <c r="P8">
        <f>(P5*3+P6*2+P7)/6</f>
        <v>4.3649999999999993</v>
      </c>
    </row>
    <row r="9" spans="2:17">
      <c r="B9" t="s">
        <v>67</v>
      </c>
      <c r="C9" s="21">
        <f>C2*C8</f>
        <v>42947.519999999997</v>
      </c>
      <c r="F9" s="26"/>
      <c r="O9" t="s">
        <v>93</v>
      </c>
      <c r="P9">
        <f>P2+P2*(P8-P3)/P3</f>
        <v>196078.65869017626</v>
      </c>
    </row>
    <row r="10" spans="2:17">
      <c r="E10" s="23" t="s">
        <v>74</v>
      </c>
      <c r="F10" s="25">
        <f>C33</f>
        <v>0</v>
      </c>
      <c r="O10" t="s">
        <v>98</v>
      </c>
      <c r="P10" s="29">
        <f>C31</f>
        <v>200000000</v>
      </c>
    </row>
    <row r="11" spans="2:17">
      <c r="E11" s="23" t="s">
        <v>75</v>
      </c>
      <c r="F11" s="25">
        <f>C34</f>
        <v>0</v>
      </c>
      <c r="O11" t="s">
        <v>99</v>
      </c>
      <c r="P11" s="28">
        <f>C32</f>
        <v>0</v>
      </c>
    </row>
    <row r="12" spans="2:17">
      <c r="E12" s="23" t="s">
        <v>76</v>
      </c>
      <c r="F12" s="25">
        <f>C35</f>
        <v>0</v>
      </c>
      <c r="O12" t="s">
        <v>80</v>
      </c>
      <c r="P12">
        <f>P9/(P10-P11)*100000000</f>
        <v>98039.329345088147</v>
      </c>
    </row>
    <row r="13" spans="2:17">
      <c r="E13" s="23" t="s">
        <v>77</v>
      </c>
      <c r="F13" s="26">
        <f>F10-(F11*1.2)+F12</f>
        <v>0</v>
      </c>
    </row>
    <row r="14" spans="2:17">
      <c r="F14" s="26"/>
      <c r="O14" t="s">
        <v>100</v>
      </c>
      <c r="P14">
        <f>(P2+P2*(P8-P3)/P3*(0.8/(1+P3-0.8)))/(P10-P11)*100000000</f>
        <v>170443.53359656886</v>
      </c>
    </row>
    <row r="15" spans="2:17">
      <c r="E15" s="23" t="s">
        <v>78</v>
      </c>
      <c r="F15" s="25">
        <f>C36</f>
        <v>0</v>
      </c>
      <c r="O15" t="s">
        <v>101</v>
      </c>
      <c r="P15">
        <f>(P2+P2*(P8-P3)/P3*(0.9/(1+P3-0.9)))/(P10-P11)*100000000</f>
        <v>169346.67865803227</v>
      </c>
    </row>
    <row r="16" spans="2:17">
      <c r="F16" s="26"/>
    </row>
    <row r="17" spans="2:15">
      <c r="E17" s="23" t="s">
        <v>79</v>
      </c>
      <c r="F17" s="31">
        <f>C31</f>
        <v>200000000</v>
      </c>
    </row>
    <row r="18" spans="2:15">
      <c r="F18" s="24"/>
    </row>
    <row r="19" spans="2:15">
      <c r="E19" s="23" t="s">
        <v>80</v>
      </c>
      <c r="F19" s="26">
        <f>(F8+F13-F15)/F17*100000000</f>
        <v>19719.773299748107</v>
      </c>
    </row>
    <row r="20" spans="2:15" ht="27" customHeight="1">
      <c r="B20" s="269" t="s">
        <v>198</v>
      </c>
      <c r="C20" s="269"/>
      <c r="D20" s="269"/>
      <c r="E20" s="269"/>
      <c r="F20" s="269"/>
      <c r="G20" s="269"/>
      <c r="H20" s="89"/>
      <c r="I20" s="89"/>
      <c r="J20" s="269" t="s">
        <v>200</v>
      </c>
      <c r="K20" s="269"/>
      <c r="L20" s="269"/>
    </row>
    <row r="21" spans="2:15">
      <c r="B21" s="81"/>
      <c r="C21" s="82"/>
      <c r="D21" s="82"/>
      <c r="E21" s="83"/>
      <c r="F21" s="84"/>
      <c r="G21" s="85"/>
      <c r="J21" s="86" t="s">
        <v>80</v>
      </c>
      <c r="K21" s="87" t="s">
        <v>135</v>
      </c>
      <c r="L21" s="88" t="s">
        <v>136</v>
      </c>
    </row>
    <row r="22" spans="2:15" ht="18" thickBot="1">
      <c r="B22" s="58" t="s">
        <v>102</v>
      </c>
      <c r="C22" s="226">
        <f>(4887+5778)/2</f>
        <v>5332.5</v>
      </c>
      <c r="D22" s="44"/>
      <c r="E22" s="45"/>
      <c r="F22" s="46"/>
      <c r="G22" s="59"/>
      <c r="J22" s="38" t="s">
        <v>67</v>
      </c>
      <c r="K22" s="2" t="s">
        <v>123</v>
      </c>
      <c r="L22" s="42">
        <f>C22*H23</f>
        <v>80531.415000000008</v>
      </c>
    </row>
    <row r="23" spans="2:15" ht="18" thickBot="1">
      <c r="B23" s="58" t="s">
        <v>121</v>
      </c>
      <c r="C23" s="225">
        <v>18.16</v>
      </c>
      <c r="D23" s="225">
        <v>10.95</v>
      </c>
      <c r="E23" s="225">
        <v>21.35</v>
      </c>
      <c r="F23" s="225">
        <v>9.81</v>
      </c>
      <c r="G23" s="225">
        <v>15.24</v>
      </c>
      <c r="H23">
        <f>AVERAGE(C23:G23)</f>
        <v>15.102</v>
      </c>
      <c r="J23" s="38" t="s">
        <v>128</v>
      </c>
      <c r="K23" s="2" t="s">
        <v>127</v>
      </c>
      <c r="L23" s="42">
        <f>F19</f>
        <v>19719.773299748107</v>
      </c>
    </row>
    <row r="24" spans="2:15" ht="18" thickBot="1">
      <c r="B24" s="58" t="s">
        <v>122</v>
      </c>
      <c r="C24" s="226">
        <v>12526</v>
      </c>
      <c r="D24" s="225"/>
      <c r="E24" s="225"/>
      <c r="F24" s="46"/>
      <c r="G24" s="59"/>
      <c r="H24">
        <f>AVERAGE(C24:G24)</f>
        <v>12526</v>
      </c>
      <c r="J24" s="38" t="s">
        <v>137</v>
      </c>
      <c r="K24" s="2" t="s">
        <v>82</v>
      </c>
      <c r="L24" s="42">
        <f>C29</f>
        <v>198619</v>
      </c>
      <c r="N24" s="223">
        <v>3166</v>
      </c>
      <c r="O24" s="224">
        <v>4021</v>
      </c>
    </row>
    <row r="25" spans="2:15" ht="18" thickBot="1">
      <c r="B25" s="58" t="s">
        <v>119</v>
      </c>
      <c r="C25" s="226">
        <v>9774</v>
      </c>
      <c r="D25" s="44"/>
      <c r="E25" s="45"/>
      <c r="F25" s="46"/>
      <c r="G25" s="59"/>
      <c r="J25" s="38" t="s">
        <v>137</v>
      </c>
      <c r="K25" s="2" t="s">
        <v>125</v>
      </c>
      <c r="L25" s="42">
        <f>C22*10</f>
        <v>53325</v>
      </c>
    </row>
    <row r="26" spans="2:15" ht="18" thickBot="1">
      <c r="B26" s="58" t="s">
        <v>120</v>
      </c>
      <c r="C26" s="222">
        <v>10517</v>
      </c>
      <c r="D26" s="44"/>
      <c r="E26" s="45"/>
      <c r="F26" s="46"/>
      <c r="G26" s="59"/>
      <c r="J26" s="38" t="s">
        <v>124</v>
      </c>
      <c r="K26" s="2" t="s">
        <v>126</v>
      </c>
      <c r="L26" s="42">
        <f>C22*P8</f>
        <v>23276.362499999996</v>
      </c>
    </row>
    <row r="27" spans="2:15" ht="18" thickBot="1">
      <c r="B27" s="58" t="s">
        <v>111</v>
      </c>
      <c r="C27" s="44">
        <v>7.94</v>
      </c>
      <c r="D27" s="270" t="s">
        <v>595</v>
      </c>
      <c r="E27" s="271"/>
      <c r="F27" s="271"/>
      <c r="G27" s="272"/>
      <c r="J27" s="38" t="s">
        <v>129</v>
      </c>
      <c r="K27" s="2" t="s">
        <v>130</v>
      </c>
      <c r="L27" s="42">
        <f>M5</f>
        <v>73803.474000000002</v>
      </c>
    </row>
    <row r="28" spans="2:15" ht="18" thickBot="1">
      <c r="B28" s="58" t="s">
        <v>113</v>
      </c>
      <c r="C28" s="225">
        <v>4.51</v>
      </c>
      <c r="D28" s="225">
        <v>5.95</v>
      </c>
      <c r="E28" s="225">
        <v>3.26</v>
      </c>
      <c r="F28" s="46"/>
      <c r="G28" s="59"/>
      <c r="J28" s="38" t="s">
        <v>129</v>
      </c>
      <c r="K28" s="2" t="s">
        <v>131</v>
      </c>
      <c r="L28" s="42">
        <f>M7</f>
        <v>79413.866999999998</v>
      </c>
    </row>
    <row r="29" spans="2:15" ht="18" thickBot="1">
      <c r="B29" s="58" t="s">
        <v>112</v>
      </c>
      <c r="C29" s="222">
        <v>198619</v>
      </c>
      <c r="D29" s="44"/>
      <c r="E29" s="45"/>
      <c r="F29" s="46"/>
      <c r="G29" s="59"/>
      <c r="J29" s="273" t="s">
        <v>138</v>
      </c>
      <c r="K29" s="2" t="s">
        <v>132</v>
      </c>
      <c r="L29" s="43">
        <f>P12</f>
        <v>98039.329345088147</v>
      </c>
    </row>
    <row r="30" spans="2:15">
      <c r="B30" s="58" t="s">
        <v>116</v>
      </c>
      <c r="C30" s="226">
        <v>356670</v>
      </c>
      <c r="D30" s="44"/>
      <c r="E30" s="45"/>
      <c r="F30" s="46"/>
      <c r="G30" s="59"/>
      <c r="J30" s="274"/>
      <c r="K30" s="2" t="s">
        <v>133</v>
      </c>
      <c r="L30" s="40">
        <f>P14</f>
        <v>170443.53359656886</v>
      </c>
    </row>
    <row r="31" spans="2:15" ht="18" thickBot="1">
      <c r="B31" s="58" t="s">
        <v>117</v>
      </c>
      <c r="C31" s="226">
        <v>200000000</v>
      </c>
      <c r="D31" s="44"/>
      <c r="E31" s="45"/>
      <c r="F31" s="46"/>
      <c r="G31" s="59"/>
      <c r="J31" s="275"/>
      <c r="K31" s="39" t="s">
        <v>134</v>
      </c>
      <c r="L31" s="41">
        <f>P15</f>
        <v>169346.67865803227</v>
      </c>
    </row>
    <row r="32" spans="2:15" ht="18" thickTop="1">
      <c r="B32" s="183" t="s">
        <v>118</v>
      </c>
      <c r="C32" s="227"/>
      <c r="D32" s="44"/>
      <c r="E32" s="45"/>
      <c r="F32" s="46"/>
      <c r="G32" s="59"/>
    </row>
    <row r="33" spans="2:13">
      <c r="B33" s="58" t="s">
        <v>74</v>
      </c>
      <c r="C33" s="229"/>
      <c r="D33" s="44"/>
      <c r="E33" s="45"/>
      <c r="F33" s="46"/>
      <c r="G33" s="59"/>
      <c r="K33" s="15" t="s">
        <v>141</v>
      </c>
      <c r="L33" s="2">
        <v>82600</v>
      </c>
    </row>
    <row r="34" spans="2:13">
      <c r="B34" s="58" t="s">
        <v>75</v>
      </c>
      <c r="C34" s="229"/>
      <c r="D34" s="44"/>
      <c r="E34" s="45"/>
      <c r="F34" s="46"/>
      <c r="G34" s="59"/>
      <c r="K34" s="69" t="s">
        <v>144</v>
      </c>
      <c r="L34" s="220">
        <v>73803.474000000002</v>
      </c>
    </row>
    <row r="35" spans="2:13">
      <c r="B35" s="58" t="s">
        <v>76</v>
      </c>
      <c r="C35" s="228"/>
      <c r="D35" s="44"/>
      <c r="E35" s="45"/>
      <c r="F35" s="46"/>
      <c r="G35" s="59"/>
      <c r="K35" s="69" t="s">
        <v>145</v>
      </c>
      <c r="L35" s="230">
        <v>98039.329345088147</v>
      </c>
    </row>
    <row r="36" spans="2:13" ht="18" thickBot="1">
      <c r="B36" s="61" t="s">
        <v>78</v>
      </c>
      <c r="C36" s="62"/>
      <c r="D36" s="63"/>
      <c r="E36" s="64"/>
      <c r="F36" s="65"/>
      <c r="G36" s="66"/>
      <c r="K36" s="15" t="s">
        <v>142</v>
      </c>
      <c r="L36" s="2">
        <f>(L33-L34)/L34*100</f>
        <v>11.918850866017497</v>
      </c>
    </row>
    <row r="37" spans="2:13" ht="18" thickTop="1">
      <c r="K37" s="15" t="s">
        <v>143</v>
      </c>
      <c r="L37" s="2">
        <f>(L35-L33)/L35*100</f>
        <v>15.748097674906901</v>
      </c>
    </row>
    <row r="38" spans="2:13">
      <c r="B38" s="168" t="s">
        <v>140</v>
      </c>
      <c r="C38" s="169"/>
      <c r="D38" s="169"/>
      <c r="E38" s="170"/>
      <c r="F38" s="171"/>
      <c r="G38" s="169"/>
      <c r="J38" s="167"/>
      <c r="K38" s="15" t="s">
        <v>146</v>
      </c>
      <c r="L38" s="2" t="s">
        <v>147</v>
      </c>
      <c r="M38" s="13" t="s">
        <v>55</v>
      </c>
    </row>
    <row r="39" spans="2:13">
      <c r="M39" t="str">
        <f>0.5-(1-0.5)/(L37/L36)&amp;"%"</f>
        <v>0.121578075267813%</v>
      </c>
    </row>
    <row r="41" spans="2:13" ht="21">
      <c r="B41" s="269" t="s">
        <v>198</v>
      </c>
      <c r="C41" s="269"/>
      <c r="D41" s="269"/>
      <c r="E41" s="269"/>
      <c r="F41" s="269"/>
      <c r="G41" s="269"/>
      <c r="H41" s="89"/>
      <c r="I41" s="89"/>
      <c r="J41" s="269" t="s">
        <v>200</v>
      </c>
      <c r="K41" s="269"/>
      <c r="L41" s="269"/>
    </row>
    <row r="42" spans="2:13">
      <c r="B42" s="81"/>
      <c r="C42" s="82"/>
      <c r="D42" s="82"/>
      <c r="E42" s="83"/>
      <c r="F42" s="84"/>
      <c r="G42" s="85"/>
      <c r="J42" s="86" t="s">
        <v>80</v>
      </c>
      <c r="K42" s="87" t="s">
        <v>135</v>
      </c>
      <c r="L42" s="88" t="s">
        <v>136</v>
      </c>
    </row>
    <row r="43" spans="2:13">
      <c r="B43" s="58" t="s">
        <v>69</v>
      </c>
      <c r="C43" s="44" t="s">
        <v>701</v>
      </c>
      <c r="D43" s="44"/>
      <c r="E43" s="45"/>
      <c r="F43" s="46"/>
      <c r="G43" s="59"/>
      <c r="J43" s="38" t="s">
        <v>67</v>
      </c>
      <c r="K43" s="213" t="s">
        <v>123</v>
      </c>
      <c r="L43" s="42" t="e">
        <f>C43*H44</f>
        <v>#VALUE!</v>
      </c>
    </row>
    <row r="44" spans="2:13">
      <c r="B44" s="58" t="s">
        <v>121</v>
      </c>
      <c r="C44" s="47">
        <f>네이버금융복붙!C49</f>
        <v>0</v>
      </c>
      <c r="D44" s="47">
        <f>네이버금융복붙!D49</f>
        <v>0</v>
      </c>
      <c r="E44" s="47">
        <f>네이버금융복붙!E49</f>
        <v>0</v>
      </c>
      <c r="F44" s="47">
        <f>네이버금융복붙!F49</f>
        <v>0</v>
      </c>
      <c r="G44" s="47">
        <f>네이버금융복붙!G49</f>
        <v>0</v>
      </c>
      <c r="H44">
        <f>AVERAGE(C44:G44)</f>
        <v>0</v>
      </c>
      <c r="J44" s="38" t="s">
        <v>128</v>
      </c>
      <c r="K44" s="213" t="s">
        <v>127</v>
      </c>
      <c r="L44" s="42">
        <f>F40</f>
        <v>0</v>
      </c>
    </row>
    <row r="45" spans="2:13">
      <c r="B45" s="58" t="s">
        <v>122</v>
      </c>
      <c r="C45" s="48">
        <f>네이버금융복붙!E25</f>
        <v>6.15</v>
      </c>
      <c r="D45" s="48">
        <f>네이버금융복붙!F25</f>
        <v>5.98</v>
      </c>
      <c r="E45" s="48">
        <f>네이버금융복붙!G25</f>
        <v>9.16</v>
      </c>
      <c r="F45" s="46"/>
      <c r="G45" s="59"/>
      <c r="H45">
        <f>AVERAGE(C45:G45)</f>
        <v>7.0966666666666667</v>
      </c>
      <c r="J45" s="38" t="s">
        <v>137</v>
      </c>
      <c r="K45" s="213" t="s">
        <v>82</v>
      </c>
      <c r="L45" s="42">
        <f>C50</f>
        <v>0</v>
      </c>
    </row>
    <row r="46" spans="2:13">
      <c r="B46" s="58" t="s">
        <v>119</v>
      </c>
      <c r="C46" s="44" t="s">
        <v>702</v>
      </c>
      <c r="D46" s="44"/>
      <c r="E46" s="45"/>
      <c r="F46" s="46"/>
      <c r="G46" s="59"/>
      <c r="J46" s="38" t="s">
        <v>137</v>
      </c>
      <c r="K46" s="213" t="s">
        <v>125</v>
      </c>
      <c r="L46" s="42" t="e">
        <f>C43*10</f>
        <v>#VALUE!</v>
      </c>
    </row>
    <row r="47" spans="2:13">
      <c r="B47" s="58" t="s">
        <v>87</v>
      </c>
      <c r="C47" s="49">
        <f>네이버금융복붙!G27</f>
        <v>-251</v>
      </c>
      <c r="D47" s="44"/>
      <c r="E47" s="45"/>
      <c r="F47" s="46"/>
      <c r="G47" s="59"/>
      <c r="J47" s="38" t="s">
        <v>124</v>
      </c>
      <c r="K47" s="213" t="s">
        <v>126</v>
      </c>
      <c r="L47" s="42" t="e">
        <f>C43*P29</f>
        <v>#VALUE!</v>
      </c>
    </row>
    <row r="48" spans="2:13">
      <c r="B48" s="58" t="s">
        <v>88</v>
      </c>
      <c r="C48" s="44">
        <v>7.94</v>
      </c>
      <c r="D48" s="270" t="s">
        <v>595</v>
      </c>
      <c r="E48" s="271"/>
      <c r="F48" s="271"/>
      <c r="G48" s="272"/>
      <c r="J48" s="38" t="s">
        <v>129</v>
      </c>
      <c r="K48" s="213" t="s">
        <v>130</v>
      </c>
      <c r="L48" s="42">
        <f>M26</f>
        <v>0</v>
      </c>
    </row>
    <row r="49" spans="2:12">
      <c r="B49" s="58" t="s">
        <v>113</v>
      </c>
      <c r="C49" s="47">
        <f>네이버금융복붙!E44</f>
        <v>441.7</v>
      </c>
      <c r="D49" s="47">
        <f>네이버금융복붙!F44</f>
        <v>416.4</v>
      </c>
      <c r="E49" s="47">
        <f>네이버금융복붙!G44</f>
        <v>409.2</v>
      </c>
      <c r="F49" s="46"/>
      <c r="G49" s="59"/>
      <c r="J49" s="38" t="s">
        <v>129</v>
      </c>
      <c r="K49" s="213" t="s">
        <v>131</v>
      </c>
      <c r="L49" s="42">
        <f>M28</f>
        <v>0</v>
      </c>
    </row>
    <row r="50" spans="2:12">
      <c r="B50" s="58" t="s">
        <v>82</v>
      </c>
      <c r="C50" s="49">
        <f>네이버금융복붙!G50</f>
        <v>0</v>
      </c>
      <c r="D50" s="44"/>
      <c r="E50" s="45"/>
      <c r="F50" s="46"/>
      <c r="G50" s="59"/>
      <c r="J50" s="273" t="s">
        <v>138</v>
      </c>
      <c r="K50" s="213" t="s">
        <v>132</v>
      </c>
      <c r="L50" s="43">
        <f>P33</f>
        <v>0</v>
      </c>
    </row>
    <row r="51" spans="2:12">
      <c r="B51" s="58" t="s">
        <v>89</v>
      </c>
      <c r="C51" s="49" t="s">
        <v>703</v>
      </c>
      <c r="D51" s="44"/>
      <c r="E51" s="45"/>
      <c r="F51" s="46"/>
      <c r="G51" s="59"/>
      <c r="J51" s="274"/>
      <c r="K51" s="213" t="s">
        <v>133</v>
      </c>
      <c r="L51" s="40">
        <f>P35</f>
        <v>0</v>
      </c>
    </row>
    <row r="52" spans="2:12" ht="18" thickBot="1">
      <c r="B52" s="58" t="s">
        <v>98</v>
      </c>
      <c r="C52" s="51" t="s">
        <v>593</v>
      </c>
      <c r="D52" s="44"/>
      <c r="E52" s="45"/>
      <c r="F52" s="46"/>
      <c r="G52" s="59"/>
      <c r="J52" s="275"/>
      <c r="K52" s="214" t="s">
        <v>134</v>
      </c>
      <c r="L52" s="41">
        <f>P36</f>
        <v>0</v>
      </c>
    </row>
    <row r="53" spans="2:12" ht="18" thickTop="1">
      <c r="B53" s="183" t="s">
        <v>118</v>
      </c>
      <c r="C53" s="49" t="s">
        <v>704</v>
      </c>
      <c r="D53" s="44"/>
      <c r="E53" s="45"/>
      <c r="F53" s="46"/>
      <c r="G53" s="59"/>
    </row>
    <row r="54" spans="2:12">
      <c r="B54" s="58" t="s">
        <v>74</v>
      </c>
      <c r="C54" s="50">
        <f>네이버금융복붙!G65</f>
        <v>0</v>
      </c>
      <c r="D54" s="44"/>
      <c r="E54" s="45"/>
      <c r="F54" s="46"/>
      <c r="G54" s="59"/>
      <c r="K54" s="15" t="s">
        <v>141</v>
      </c>
      <c r="L54" s="213">
        <v>58600</v>
      </c>
    </row>
    <row r="55" spans="2:12">
      <c r="B55" s="58" t="s">
        <v>75</v>
      </c>
      <c r="C55" s="50">
        <f>네이버금융복붙!G98</f>
        <v>0</v>
      </c>
      <c r="D55" s="44"/>
      <c r="E55" s="45"/>
      <c r="F55" s="46"/>
      <c r="G55" s="59"/>
      <c r="K55" s="69" t="s">
        <v>144</v>
      </c>
      <c r="L55" s="213">
        <v>43000</v>
      </c>
    </row>
    <row r="56" spans="2:12">
      <c r="B56" s="58" t="s">
        <v>76</v>
      </c>
      <c r="C56" s="50">
        <f>네이버금융복붙!G86</f>
        <v>0</v>
      </c>
      <c r="D56" s="44"/>
      <c r="E56" s="45"/>
      <c r="F56" s="46"/>
      <c r="G56" s="59"/>
      <c r="K56" s="69" t="s">
        <v>145</v>
      </c>
      <c r="L56" s="213">
        <v>80000</v>
      </c>
    </row>
    <row r="57" spans="2:12" ht="18" thickBot="1">
      <c r="B57" s="61" t="s">
        <v>78</v>
      </c>
      <c r="C57" s="62" t="s">
        <v>705</v>
      </c>
      <c r="D57" s="63"/>
      <c r="E57" s="64"/>
      <c r="F57" s="65"/>
      <c r="G57" s="66"/>
      <c r="K57" s="15" t="s">
        <v>57</v>
      </c>
      <c r="L57" s="213">
        <f>(L54-L55)/L55*100</f>
        <v>36.279069767441861</v>
      </c>
    </row>
    <row r="58" spans="2:12" ht="18" thickTop="1">
      <c r="E58" s="212"/>
      <c r="K58" s="15" t="s">
        <v>143</v>
      </c>
      <c r="L58" s="213">
        <f>(L56-L54)/L56*100</f>
        <v>26.75</v>
      </c>
    </row>
    <row r="59" spans="2:12">
      <c r="B59" s="168" t="s">
        <v>140</v>
      </c>
      <c r="C59" s="169"/>
      <c r="D59" s="169"/>
      <c r="E59" s="170"/>
      <c r="F59" s="171"/>
      <c r="G59" s="169"/>
      <c r="J59" s="167"/>
      <c r="K59" s="15" t="s">
        <v>146</v>
      </c>
      <c r="L59" s="213" t="s">
        <v>147</v>
      </c>
    </row>
  </sheetData>
  <autoFilter ref="A21:Q21"/>
  <mergeCells count="8">
    <mergeCell ref="D48:G48"/>
    <mergeCell ref="J50:J52"/>
    <mergeCell ref="J29:J31"/>
    <mergeCell ref="B20:G20"/>
    <mergeCell ref="J20:L20"/>
    <mergeCell ref="D27:G27"/>
    <mergeCell ref="B41:G41"/>
    <mergeCell ref="J41:L41"/>
  </mergeCells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8"/>
  <sheetViews>
    <sheetView topLeftCell="B20" workbookViewId="0">
      <selection activeCell="E53" sqref="E53:E54"/>
    </sheetView>
  </sheetViews>
  <sheetFormatPr defaultRowHeight="17.399999999999999"/>
  <cols>
    <col min="1" max="1" width="0" hidden="1" customWidth="1"/>
    <col min="2" max="2" width="15.8984375" bestFit="1" customWidth="1"/>
    <col min="3" max="3" width="11.19921875" customWidth="1"/>
    <col min="5" max="5" width="17.59765625" style="23" bestFit="1" customWidth="1"/>
    <col min="6" max="6" width="12.5" style="27" bestFit="1" customWidth="1"/>
    <col min="8" max="9" width="0" hidden="1" customWidth="1"/>
    <col min="10" max="10" width="10.59765625" bestFit="1" customWidth="1"/>
    <col min="11" max="11" width="21" bestFit="1" customWidth="1"/>
    <col min="12" max="12" width="15.09765625" bestFit="1" customWidth="1"/>
    <col min="13" max="13" width="12.8984375" bestFit="1" customWidth="1"/>
    <col min="15" max="15" width="21.59765625" bestFit="1" customWidth="1"/>
    <col min="16" max="16" width="12.69921875" bestFit="1" customWidth="1"/>
    <col min="17" max="17" width="27.19921875" bestFit="1" customWidth="1"/>
  </cols>
  <sheetData>
    <row r="1" spans="2:17" hidden="1"/>
    <row r="2" spans="2:17" hidden="1">
      <c r="B2" t="s">
        <v>69</v>
      </c>
      <c r="C2" s="20">
        <v>3696</v>
      </c>
      <c r="E2" s="23" t="s">
        <v>70</v>
      </c>
      <c r="F2" s="30">
        <f>E24</f>
        <v>42618</v>
      </c>
      <c r="H2" t="s">
        <v>82</v>
      </c>
      <c r="J2" s="30">
        <v>37528</v>
      </c>
      <c r="L2" t="s">
        <v>85</v>
      </c>
      <c r="M2" s="25">
        <f>C25</f>
        <v>0</v>
      </c>
      <c r="O2" t="s">
        <v>89</v>
      </c>
      <c r="P2" s="30">
        <f>C30</f>
        <v>102330</v>
      </c>
      <c r="Q2" s="33" t="s">
        <v>91</v>
      </c>
    </row>
    <row r="3" spans="2:17" hidden="1">
      <c r="B3" t="s">
        <v>66</v>
      </c>
      <c r="C3" s="20">
        <v>11.47</v>
      </c>
      <c r="F3" s="30">
        <f>D24</f>
        <v>34873</v>
      </c>
      <c r="H3" t="s">
        <v>83</v>
      </c>
      <c r="J3" s="30">
        <v>3166</v>
      </c>
      <c r="L3" t="s">
        <v>68</v>
      </c>
      <c r="M3">
        <f>H23</f>
        <v>30.481999999999999</v>
      </c>
      <c r="O3" t="s">
        <v>88</v>
      </c>
      <c r="P3">
        <f>C27</f>
        <v>7.9</v>
      </c>
    </row>
    <row r="4" spans="2:17" ht="104.4" hidden="1">
      <c r="C4" s="20">
        <v>13.18</v>
      </c>
      <c r="F4" s="30">
        <f>C24</f>
        <v>24468</v>
      </c>
      <c r="H4" t="s">
        <v>84</v>
      </c>
      <c r="J4" s="32">
        <v>8.69</v>
      </c>
      <c r="L4" t="s">
        <v>79</v>
      </c>
      <c r="M4" s="28">
        <f>C31</f>
        <v>7583440000</v>
      </c>
      <c r="O4" t="s">
        <v>90</v>
      </c>
      <c r="Q4" s="34" t="s">
        <v>92</v>
      </c>
    </row>
    <row r="5" spans="2:17" hidden="1">
      <c r="C5" s="20">
        <v>9.4</v>
      </c>
      <c r="E5" s="23" t="s">
        <v>81</v>
      </c>
      <c r="F5" s="26">
        <f>AVERAGE(F2:F4)</f>
        <v>33986.333333333336</v>
      </c>
      <c r="L5" t="s">
        <v>80</v>
      </c>
      <c r="M5">
        <f>M2*M3*100000000/M4</f>
        <v>0</v>
      </c>
      <c r="O5" t="s">
        <v>95</v>
      </c>
      <c r="P5">
        <f>E28</f>
        <v>42.41</v>
      </c>
    </row>
    <row r="6" spans="2:17" hidden="1">
      <c r="C6" s="20">
        <v>6.42</v>
      </c>
      <c r="E6" s="23" t="s">
        <v>72</v>
      </c>
      <c r="F6" s="26">
        <v>25</v>
      </c>
      <c r="H6" t="s">
        <v>82</v>
      </c>
      <c r="J6" s="28">
        <f>J2</f>
        <v>37528</v>
      </c>
      <c r="L6" t="s">
        <v>87</v>
      </c>
      <c r="M6" s="30">
        <f>C26</f>
        <v>39240</v>
      </c>
      <c r="O6" t="s">
        <v>96</v>
      </c>
      <c r="P6">
        <f>D28</f>
        <v>42.41</v>
      </c>
    </row>
    <row r="7" spans="2:17" hidden="1">
      <c r="C7" s="20">
        <v>17.63</v>
      </c>
      <c r="E7" s="23" t="s">
        <v>73</v>
      </c>
      <c r="F7" s="26">
        <f>C27</f>
        <v>7.9</v>
      </c>
      <c r="H7" t="s">
        <v>83</v>
      </c>
      <c r="J7">
        <f>J3*10</f>
        <v>31660</v>
      </c>
      <c r="L7" t="s">
        <v>80</v>
      </c>
      <c r="M7">
        <f>M6*M3*100000000/M4</f>
        <v>15772.705790511958</v>
      </c>
      <c r="O7" t="s">
        <v>94</v>
      </c>
      <c r="P7">
        <f>C28</f>
        <v>42.41</v>
      </c>
    </row>
    <row r="8" spans="2:17" hidden="1">
      <c r="B8" t="s">
        <v>68</v>
      </c>
      <c r="C8" s="19">
        <f>SUM(C3:C7)/5</f>
        <v>11.62</v>
      </c>
      <c r="E8" s="23" t="s">
        <v>71</v>
      </c>
      <c r="F8" s="26">
        <f>F5*((100-F6)/F7)</f>
        <v>322655.06329113926</v>
      </c>
      <c r="H8" t="s">
        <v>84</v>
      </c>
      <c r="J8">
        <f>J4*J3</f>
        <v>27512.539999999997</v>
      </c>
      <c r="M8" s="28"/>
      <c r="O8" t="s">
        <v>97</v>
      </c>
      <c r="P8">
        <f>(P5*3+P6*2+P7)/6</f>
        <v>42.41</v>
      </c>
    </row>
    <row r="9" spans="2:17" hidden="1">
      <c r="B9" t="s">
        <v>67</v>
      </c>
      <c r="C9" s="21">
        <f>C2*C8</f>
        <v>42947.519999999997</v>
      </c>
      <c r="F9" s="26"/>
      <c r="O9" t="s">
        <v>93</v>
      </c>
      <c r="P9">
        <f>P2+P2*(P8-P3)/P3</f>
        <v>549343.70886075939</v>
      </c>
    </row>
    <row r="10" spans="2:17" hidden="1">
      <c r="E10" s="23" t="s">
        <v>74</v>
      </c>
      <c r="F10" s="25">
        <f>C33</f>
        <v>175552</v>
      </c>
      <c r="O10" t="s">
        <v>98</v>
      </c>
      <c r="P10" s="29">
        <f>C31</f>
        <v>7583440000</v>
      </c>
    </row>
    <row r="11" spans="2:17" hidden="1">
      <c r="E11" s="23" t="s">
        <v>75</v>
      </c>
      <c r="F11" s="25">
        <f>C34</f>
        <v>69420</v>
      </c>
      <c r="O11" t="s">
        <v>99</v>
      </c>
      <c r="P11" s="28">
        <f>C32</f>
        <v>0</v>
      </c>
    </row>
    <row r="12" spans="2:17" hidden="1">
      <c r="E12" s="23" t="s">
        <v>76</v>
      </c>
      <c r="F12" s="25">
        <f>C35</f>
        <v>122463</v>
      </c>
      <c r="O12" t="s">
        <v>80</v>
      </c>
      <c r="P12">
        <f>P9/(P10-P11)*100000000</f>
        <v>7243.9909705985592</v>
      </c>
    </row>
    <row r="13" spans="2:17" hidden="1">
      <c r="E13" s="23" t="s">
        <v>77</v>
      </c>
      <c r="F13" s="26">
        <f>F10-(F11*1.2)+F12</f>
        <v>214711</v>
      </c>
    </row>
    <row r="14" spans="2:17" hidden="1">
      <c r="F14" s="26"/>
      <c r="O14" t="s">
        <v>100</v>
      </c>
      <c r="P14">
        <f>(P2+P2*(P8-P3)/P3*(0.8/(1+P3-0.8)))/(P10-P11)*100000000</f>
        <v>1931.5706606725266</v>
      </c>
    </row>
    <row r="15" spans="2:17" hidden="1">
      <c r="E15" s="23" t="s">
        <v>78</v>
      </c>
      <c r="F15" s="25">
        <f>C36</f>
        <v>114806</v>
      </c>
      <c r="O15" t="s">
        <v>101</v>
      </c>
      <c r="P15">
        <f>(P2+P2*(P8-P3)/P3*(0.9/(1+P3-0.9)))/(P10-P11)*100000000</f>
        <v>2012.5304907381799</v>
      </c>
    </row>
    <row r="16" spans="2:17" hidden="1">
      <c r="F16" s="26"/>
    </row>
    <row r="17" spans="2:13" hidden="1">
      <c r="E17" s="23" t="s">
        <v>79</v>
      </c>
      <c r="F17" s="31">
        <f>C31</f>
        <v>7583440000</v>
      </c>
    </row>
    <row r="18" spans="2:13" hidden="1">
      <c r="F18" s="24"/>
    </row>
    <row r="19" spans="2:13" hidden="1">
      <c r="E19" s="23" t="s">
        <v>80</v>
      </c>
      <c r="F19" s="26">
        <f>(F8+F13-F15)/F17*100000000</f>
        <v>5572.1422374428912</v>
      </c>
    </row>
    <row r="20" spans="2:13" ht="30" customHeight="1" thickBot="1">
      <c r="B20" s="269" t="s">
        <v>198</v>
      </c>
      <c r="C20" s="269"/>
      <c r="D20" s="269"/>
      <c r="E20" s="269"/>
      <c r="F20" s="269"/>
      <c r="G20" s="269"/>
      <c r="J20" s="269" t="s">
        <v>199</v>
      </c>
      <c r="K20" s="269"/>
      <c r="L20" s="269"/>
      <c r="M20" s="269"/>
    </row>
    <row r="21" spans="2:13" ht="18" thickTop="1">
      <c r="B21" s="53"/>
      <c r="C21" s="54"/>
      <c r="D21" s="54"/>
      <c r="E21" s="55"/>
      <c r="F21" s="56"/>
      <c r="G21" s="57"/>
      <c r="J21" s="35" t="s">
        <v>80</v>
      </c>
      <c r="K21" s="36" t="s">
        <v>135</v>
      </c>
      <c r="L21" s="37" t="s">
        <v>136</v>
      </c>
      <c r="M21" s="52" t="s">
        <v>139</v>
      </c>
    </row>
    <row r="22" spans="2:13">
      <c r="B22" s="58" t="s">
        <v>102</v>
      </c>
      <c r="C22" s="44">
        <v>6</v>
      </c>
      <c r="D22" s="44"/>
      <c r="E22" s="45"/>
      <c r="F22" s="46"/>
      <c r="G22" s="59"/>
      <c r="J22" s="38" t="s">
        <v>67</v>
      </c>
      <c r="K22" s="2" t="s">
        <v>123</v>
      </c>
      <c r="L22" s="42">
        <f>C22*H23</f>
        <v>182.892</v>
      </c>
      <c r="M22" s="42">
        <f>L22</f>
        <v>182.892</v>
      </c>
    </row>
    <row r="23" spans="2:13">
      <c r="B23" s="58" t="s">
        <v>121</v>
      </c>
      <c r="C23" s="47">
        <v>29.83</v>
      </c>
      <c r="D23" s="47">
        <v>24.37</v>
      </c>
      <c r="E23" s="47">
        <v>25.44</v>
      </c>
      <c r="F23" s="47">
        <v>46.3</v>
      </c>
      <c r="G23" s="60">
        <v>26.47</v>
      </c>
      <c r="H23">
        <f>AVERAGE(C23:G23)</f>
        <v>30.481999999999999</v>
      </c>
      <c r="J23" s="38" t="s">
        <v>128</v>
      </c>
      <c r="K23" s="2" t="s">
        <v>127</v>
      </c>
      <c r="L23" s="42">
        <f>F19</f>
        <v>5572.1422374428912</v>
      </c>
      <c r="M23" s="42">
        <f>L23/100</f>
        <v>55.721422374428911</v>
      </c>
    </row>
    <row r="24" spans="2:13">
      <c r="B24" s="58" t="s">
        <v>122</v>
      </c>
      <c r="C24" s="48">
        <v>24468</v>
      </c>
      <c r="D24" s="48">
        <v>34873</v>
      </c>
      <c r="E24" s="48">
        <v>42618</v>
      </c>
      <c r="F24" s="46"/>
      <c r="G24" s="59"/>
      <c r="H24">
        <f>AVERAGE(C24:G24)</f>
        <v>33986.333333333336</v>
      </c>
      <c r="J24" s="38" t="s">
        <v>137</v>
      </c>
      <c r="K24" s="2" t="s">
        <v>82</v>
      </c>
      <c r="L24" s="42">
        <f>C29</f>
        <v>13.3887</v>
      </c>
      <c r="M24" s="42">
        <f>L24</f>
        <v>13.3887</v>
      </c>
    </row>
    <row r="25" spans="2:13">
      <c r="B25" s="58" t="s">
        <v>119</v>
      </c>
      <c r="C25" s="44">
        <v>0</v>
      </c>
      <c r="D25" s="44"/>
      <c r="E25" s="45"/>
      <c r="F25" s="46"/>
      <c r="G25" s="59"/>
      <c r="J25" s="38" t="s">
        <v>137</v>
      </c>
      <c r="K25" s="2" t="s">
        <v>125</v>
      </c>
      <c r="L25" s="42">
        <f>C22*10</f>
        <v>60</v>
      </c>
      <c r="M25" s="42">
        <f>L25</f>
        <v>60</v>
      </c>
    </row>
    <row r="26" spans="2:13">
      <c r="B26" s="58" t="s">
        <v>120</v>
      </c>
      <c r="C26" s="49">
        <v>39240</v>
      </c>
      <c r="D26" s="44"/>
      <c r="E26" s="45"/>
      <c r="F26" s="46"/>
      <c r="G26" s="59"/>
      <c r="J26" s="38" t="s">
        <v>124</v>
      </c>
      <c r="K26" s="2" t="s">
        <v>126</v>
      </c>
      <c r="L26" s="42">
        <f>C22*P8</f>
        <v>254.45999999999998</v>
      </c>
      <c r="M26" s="42">
        <f>L26</f>
        <v>254.45999999999998</v>
      </c>
    </row>
    <row r="27" spans="2:13">
      <c r="B27" s="58" t="s">
        <v>111</v>
      </c>
      <c r="C27" s="44">
        <v>7.9</v>
      </c>
      <c r="D27" s="44"/>
      <c r="E27" s="45"/>
      <c r="F27" s="46"/>
      <c r="G27" s="59"/>
      <c r="J27" s="38" t="s">
        <v>129</v>
      </c>
      <c r="K27" s="2" t="s">
        <v>130</v>
      </c>
      <c r="L27" s="42">
        <f>M5</f>
        <v>0</v>
      </c>
      <c r="M27" s="42">
        <f>L27/100</f>
        <v>0</v>
      </c>
    </row>
    <row r="28" spans="2:13">
      <c r="B28" s="58" t="s">
        <v>113</v>
      </c>
      <c r="C28" s="47">
        <v>42.41</v>
      </c>
      <c r="D28" s="47">
        <v>42.41</v>
      </c>
      <c r="E28" s="47">
        <v>42.41</v>
      </c>
      <c r="F28" s="46"/>
      <c r="G28" s="59"/>
      <c r="J28" s="38" t="s">
        <v>129</v>
      </c>
      <c r="K28" s="2" t="s">
        <v>131</v>
      </c>
      <c r="L28" s="42">
        <f>M7</f>
        <v>15772.705790511958</v>
      </c>
      <c r="M28" s="42">
        <f>L28/100</f>
        <v>157.72705790511958</v>
      </c>
    </row>
    <row r="29" spans="2:13">
      <c r="B29" s="58" t="s">
        <v>112</v>
      </c>
      <c r="C29" s="49">
        <v>13.3887</v>
      </c>
      <c r="D29" s="44"/>
      <c r="E29" s="45"/>
      <c r="F29" s="46"/>
      <c r="G29" s="59"/>
      <c r="J29" s="273" t="s">
        <v>138</v>
      </c>
      <c r="K29" s="2" t="s">
        <v>132</v>
      </c>
      <c r="L29" s="43">
        <f>P12</f>
        <v>7243.9909705985592</v>
      </c>
      <c r="M29" s="42">
        <f>L29/100</f>
        <v>72.439909705985599</v>
      </c>
    </row>
    <row r="30" spans="2:13">
      <c r="B30" s="58" t="s">
        <v>116</v>
      </c>
      <c r="C30" s="49">
        <v>102330</v>
      </c>
      <c r="D30" s="44"/>
      <c r="E30" s="45"/>
      <c r="F30" s="46"/>
      <c r="G30" s="59"/>
      <c r="J30" s="274"/>
      <c r="K30" s="2" t="s">
        <v>133</v>
      </c>
      <c r="L30" s="40">
        <f>P14</f>
        <v>1931.5706606725266</v>
      </c>
      <c r="M30" s="40">
        <f>L30/100</f>
        <v>19.315706606725268</v>
      </c>
    </row>
    <row r="31" spans="2:13" ht="18" thickBot="1">
      <c r="B31" s="58" t="s">
        <v>117</v>
      </c>
      <c r="C31" s="67">
        <v>7583440000</v>
      </c>
      <c r="D31" s="44"/>
      <c r="E31" s="45"/>
      <c r="F31" s="46"/>
      <c r="G31" s="59"/>
      <c r="J31" s="275"/>
      <c r="K31" s="39" t="s">
        <v>134</v>
      </c>
      <c r="L31" s="41">
        <f>P15</f>
        <v>2012.5304907381799</v>
      </c>
      <c r="M31" s="41">
        <f>L31/100</f>
        <v>20.1253049073818</v>
      </c>
    </row>
    <row r="32" spans="2:13" ht="18" thickTop="1">
      <c r="B32" s="58" t="s">
        <v>118</v>
      </c>
      <c r="C32" s="49">
        <v>0</v>
      </c>
      <c r="D32" s="44"/>
      <c r="E32" s="45"/>
      <c r="F32" s="46"/>
      <c r="G32" s="59"/>
    </row>
    <row r="33" spans="2:7">
      <c r="B33" s="58" t="s">
        <v>74</v>
      </c>
      <c r="C33" s="50">
        <v>175552</v>
      </c>
      <c r="D33" s="44"/>
      <c r="E33" s="45"/>
      <c r="F33" s="46"/>
      <c r="G33" s="59"/>
    </row>
    <row r="34" spans="2:7">
      <c r="B34" s="58" t="s">
        <v>75</v>
      </c>
      <c r="C34" s="50">
        <v>69420</v>
      </c>
      <c r="D34" s="44"/>
      <c r="E34" s="45"/>
      <c r="F34" s="46"/>
      <c r="G34" s="59"/>
    </row>
    <row r="35" spans="2:7">
      <c r="B35" s="58" t="s">
        <v>76</v>
      </c>
      <c r="C35" s="50">
        <v>122463</v>
      </c>
      <c r="D35" s="44"/>
      <c r="E35" s="45"/>
      <c r="F35" s="46"/>
      <c r="G35" s="59"/>
    </row>
    <row r="36" spans="2:7" ht="18" thickBot="1">
      <c r="B36" s="61" t="s">
        <v>78</v>
      </c>
      <c r="C36" s="62">
        <v>114806</v>
      </c>
      <c r="D36" s="63"/>
      <c r="E36" s="64"/>
      <c r="F36" s="65"/>
      <c r="G36" s="66"/>
    </row>
    <row r="37" spans="2:7" ht="18" thickTop="1"/>
    <row r="38" spans="2:7">
      <c r="B38" s="68" t="s">
        <v>140</v>
      </c>
    </row>
  </sheetData>
  <autoFilter ref="A21:Q21"/>
  <mergeCells count="3">
    <mergeCell ref="J29:J31"/>
    <mergeCell ref="B20:G20"/>
    <mergeCell ref="J20:M20"/>
  </mergeCells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9"/>
  <sheetViews>
    <sheetView workbookViewId="0">
      <selection activeCell="H32" sqref="H32"/>
    </sheetView>
  </sheetViews>
  <sheetFormatPr defaultRowHeight="17.399999999999999"/>
  <cols>
    <col min="2" max="2" width="15.8984375" bestFit="1" customWidth="1"/>
    <col min="5" max="5" width="17.59765625" style="22" bestFit="1" customWidth="1"/>
    <col min="6" max="6" width="12.5" style="27" bestFit="1" customWidth="1"/>
    <col min="11" max="11" width="15.09765625" bestFit="1" customWidth="1"/>
    <col min="12" max="12" width="12.8984375" bestFit="1" customWidth="1"/>
    <col min="14" max="14" width="21.59765625" bestFit="1" customWidth="1"/>
    <col min="15" max="15" width="12.69921875" bestFit="1" customWidth="1"/>
    <col min="16" max="16" width="27.19921875" bestFit="1" customWidth="1"/>
  </cols>
  <sheetData>
    <row r="2" spans="2:16">
      <c r="B2" t="s">
        <v>69</v>
      </c>
      <c r="C2" s="20">
        <v>3696</v>
      </c>
      <c r="E2" s="22" t="s">
        <v>70</v>
      </c>
      <c r="F2" s="30">
        <v>277685</v>
      </c>
      <c r="H2" t="s">
        <v>82</v>
      </c>
      <c r="I2" s="30">
        <v>37528</v>
      </c>
      <c r="K2" t="s">
        <v>85</v>
      </c>
      <c r="L2" s="25">
        <v>215050.5</v>
      </c>
      <c r="N2" t="s">
        <v>89</v>
      </c>
      <c r="O2" s="30">
        <v>102330</v>
      </c>
      <c r="P2" s="33" t="s">
        <v>91</v>
      </c>
    </row>
    <row r="3" spans="2:16">
      <c r="B3" t="s">
        <v>66</v>
      </c>
      <c r="C3" s="20">
        <v>11.47</v>
      </c>
      <c r="F3" s="30">
        <v>588867</v>
      </c>
      <c r="H3" t="s">
        <v>83</v>
      </c>
      <c r="I3" s="30">
        <v>3166</v>
      </c>
      <c r="K3" t="s">
        <v>86</v>
      </c>
      <c r="L3">
        <f>C8</f>
        <v>11.62</v>
      </c>
      <c r="N3" t="s">
        <v>88</v>
      </c>
      <c r="O3">
        <v>7.9</v>
      </c>
    </row>
    <row r="4" spans="2:16" ht="104.4">
      <c r="C4" s="20">
        <v>13.18</v>
      </c>
      <c r="F4" s="30">
        <v>536450</v>
      </c>
      <c r="H4" t="s">
        <v>84</v>
      </c>
      <c r="I4" s="32">
        <v>8.69</v>
      </c>
      <c r="K4" t="s">
        <v>79</v>
      </c>
      <c r="L4" s="28">
        <f>F17</f>
        <v>5969782550</v>
      </c>
      <c r="N4" t="s">
        <v>90</v>
      </c>
      <c r="P4" s="34" t="s">
        <v>92</v>
      </c>
    </row>
    <row r="5" spans="2:16">
      <c r="C5" s="20">
        <v>9.4</v>
      </c>
      <c r="E5" s="22" t="s">
        <v>81</v>
      </c>
      <c r="F5" s="26">
        <f>AVERAGE(F2:F4)</f>
        <v>467667.33333333331</v>
      </c>
      <c r="K5" t="s">
        <v>80</v>
      </c>
      <c r="L5">
        <f>L2*L3*100000000/L4</f>
        <v>41858.925163027925</v>
      </c>
      <c r="N5" t="s">
        <v>95</v>
      </c>
      <c r="O5">
        <v>42.41</v>
      </c>
    </row>
    <row r="6" spans="2:16">
      <c r="C6" s="20">
        <v>6.42</v>
      </c>
      <c r="E6" s="22" t="s">
        <v>72</v>
      </c>
      <c r="F6" s="26">
        <v>25</v>
      </c>
      <c r="H6" t="s">
        <v>82</v>
      </c>
      <c r="I6" s="28">
        <f>I2</f>
        <v>37528</v>
      </c>
      <c r="K6" t="s">
        <v>87</v>
      </c>
      <c r="L6" s="30">
        <v>217389</v>
      </c>
      <c r="N6" t="s">
        <v>96</v>
      </c>
      <c r="O6">
        <v>42.41</v>
      </c>
    </row>
    <row r="7" spans="2:16">
      <c r="C7" s="20">
        <v>17.63</v>
      </c>
      <c r="E7" s="22" t="s">
        <v>73</v>
      </c>
      <c r="F7" s="26">
        <v>7.9</v>
      </c>
      <c r="H7" t="s">
        <v>83</v>
      </c>
      <c r="I7">
        <f>I3*10</f>
        <v>31660</v>
      </c>
      <c r="K7" t="s">
        <v>80</v>
      </c>
      <c r="L7">
        <f>L6*L3*100000000/L4</f>
        <v>42314.107069109239</v>
      </c>
      <c r="N7" t="s">
        <v>94</v>
      </c>
      <c r="O7">
        <v>42.41</v>
      </c>
    </row>
    <row r="8" spans="2:16">
      <c r="B8" t="s">
        <v>68</v>
      </c>
      <c r="C8" s="19">
        <f>SUM(C3:C7)/5</f>
        <v>11.62</v>
      </c>
      <c r="E8" s="22" t="s">
        <v>71</v>
      </c>
      <c r="F8" s="26">
        <f>F5*((100-F6)/F7)</f>
        <v>4439879.7468354423</v>
      </c>
      <c r="H8" t="s">
        <v>84</v>
      </c>
      <c r="I8">
        <f>I4*I3</f>
        <v>27512.539999999997</v>
      </c>
      <c r="L8" s="28"/>
      <c r="N8" t="s">
        <v>97</v>
      </c>
      <c r="O8">
        <f>(O5*3+O6*2+O7)/6</f>
        <v>42.41</v>
      </c>
    </row>
    <row r="9" spans="2:16">
      <c r="B9" t="s">
        <v>67</v>
      </c>
      <c r="C9" s="21">
        <f>C2*C8</f>
        <v>42947.519999999997</v>
      </c>
      <c r="F9" s="26"/>
      <c r="N9" t="s">
        <v>93</v>
      </c>
      <c r="O9">
        <f>O2+O2*(O8-O3)/O3</f>
        <v>549343.70886075939</v>
      </c>
    </row>
    <row r="10" spans="2:16">
      <c r="E10" s="22" t="s">
        <v>74</v>
      </c>
      <c r="F10" s="25">
        <v>1813852.6</v>
      </c>
      <c r="N10" t="s">
        <v>98</v>
      </c>
      <c r="O10" s="29">
        <v>7583440000</v>
      </c>
    </row>
    <row r="11" spans="2:16">
      <c r="E11" s="22" t="s">
        <v>75</v>
      </c>
      <c r="F11" s="25">
        <v>637827.6</v>
      </c>
      <c r="N11" t="s">
        <v>99</v>
      </c>
      <c r="O11">
        <v>0</v>
      </c>
    </row>
    <row r="12" spans="2:16">
      <c r="E12" s="22" t="s">
        <v>76</v>
      </c>
      <c r="F12" s="25">
        <v>175613.3</v>
      </c>
      <c r="N12" t="s">
        <v>80</v>
      </c>
      <c r="O12">
        <f>O9/(O10-O11)*1000000</f>
        <v>72.439909705985599</v>
      </c>
    </row>
    <row r="13" spans="2:16">
      <c r="E13" s="22" t="s">
        <v>77</v>
      </c>
      <c r="F13" s="26">
        <f>F10-(F11*1.2)+F12</f>
        <v>1224072.78</v>
      </c>
    </row>
    <row r="14" spans="2:16">
      <c r="F14" s="26"/>
      <c r="N14" t="s">
        <v>100</v>
      </c>
      <c r="O14">
        <f>(O2+O2*(O8-O3)/O3*(0.8/(1+O3-0.8)))/(O10-O11)*100000000</f>
        <v>1931.5706606725266</v>
      </c>
    </row>
    <row r="15" spans="2:16">
      <c r="E15" s="22" t="s">
        <v>78</v>
      </c>
      <c r="F15" s="25">
        <v>259013.1</v>
      </c>
      <c r="N15" t="s">
        <v>101</v>
      </c>
      <c r="O15">
        <f>(O2+O2*(O8-O3)/O3*(0.9/(1+O3-0.9)))/(O10-O11)*100000000</f>
        <v>2012.5304907381799</v>
      </c>
    </row>
    <row r="16" spans="2:16">
      <c r="F16" s="26"/>
    </row>
    <row r="17" spans="2:6">
      <c r="E17" s="22" t="s">
        <v>79</v>
      </c>
      <c r="F17" s="31">
        <v>5969782550</v>
      </c>
    </row>
    <row r="18" spans="2:6">
      <c r="F18" s="24"/>
    </row>
    <row r="19" spans="2:6">
      <c r="E19" s="22" t="s">
        <v>80</v>
      </c>
      <c r="F19" s="26">
        <f>(F8+F13-F15)/F17*100000000</f>
        <v>90538.296521963639</v>
      </c>
    </row>
    <row r="21" spans="2:6">
      <c r="B21" t="s">
        <v>102</v>
      </c>
    </row>
    <row r="22" spans="2:6">
      <c r="B22" t="s">
        <v>103</v>
      </c>
    </row>
    <row r="23" spans="2:6">
      <c r="B23" t="s">
        <v>104</v>
      </c>
    </row>
    <row r="24" spans="2:6">
      <c r="B24" t="s">
        <v>105</v>
      </c>
    </row>
    <row r="25" spans="2:6">
      <c r="B25" t="s">
        <v>106</v>
      </c>
    </row>
    <row r="26" spans="2:6">
      <c r="B26" t="s">
        <v>107</v>
      </c>
    </row>
    <row r="27" spans="2:6">
      <c r="B27" t="s">
        <v>108</v>
      </c>
    </row>
    <row r="28" spans="2:6">
      <c r="B28" t="s">
        <v>109</v>
      </c>
    </row>
    <row r="29" spans="2:6">
      <c r="B29" t="s">
        <v>110</v>
      </c>
    </row>
    <row r="30" spans="2:6">
      <c r="B30" t="s">
        <v>119</v>
      </c>
      <c r="E30" s="23"/>
    </row>
    <row r="31" spans="2:6">
      <c r="B31" t="s">
        <v>120</v>
      </c>
      <c r="E31" s="23"/>
    </row>
    <row r="32" spans="2:6">
      <c r="B32" t="s">
        <v>111</v>
      </c>
    </row>
    <row r="33" spans="2:5">
      <c r="B33" t="s">
        <v>113</v>
      </c>
    </row>
    <row r="34" spans="2:5">
      <c r="B34" t="s">
        <v>114</v>
      </c>
      <c r="E34" s="23"/>
    </row>
    <row r="35" spans="2:5">
      <c r="B35" t="s">
        <v>115</v>
      </c>
      <c r="E35" s="23"/>
    </row>
    <row r="36" spans="2:5">
      <c r="B36" t="s">
        <v>112</v>
      </c>
    </row>
    <row r="37" spans="2:5">
      <c r="B37" t="s">
        <v>116</v>
      </c>
    </row>
    <row r="38" spans="2:5">
      <c r="B38" t="s">
        <v>117</v>
      </c>
    </row>
    <row r="39" spans="2:5">
      <c r="B39" t="s">
        <v>118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15" sqref="B15"/>
    </sheetView>
  </sheetViews>
  <sheetFormatPr defaultRowHeight="17.399999999999999"/>
  <cols>
    <col min="2" max="2" width="73.5" customWidth="1"/>
    <col min="3" max="3" width="77.69921875" bestFit="1" customWidth="1"/>
  </cols>
  <sheetData>
    <row r="1" spans="1:3" ht="61.5" customHeight="1">
      <c r="A1" s="276" t="s">
        <v>195</v>
      </c>
      <c r="B1" s="276"/>
      <c r="C1" s="276"/>
    </row>
    <row r="2" spans="1:3" ht="39.9" customHeight="1">
      <c r="A2" s="78" t="s">
        <v>189</v>
      </c>
      <c r="B2" s="78" t="s">
        <v>190</v>
      </c>
      <c r="C2" s="78" t="s">
        <v>191</v>
      </c>
    </row>
    <row r="3" spans="1:3" ht="39.9" customHeight="1">
      <c r="A3" s="76">
        <v>1</v>
      </c>
      <c r="B3" s="79" t="s">
        <v>193</v>
      </c>
      <c r="C3" s="77" t="s">
        <v>192</v>
      </c>
    </row>
    <row r="4" spans="1:3" ht="39.9" customHeight="1">
      <c r="A4" s="77">
        <v>2</v>
      </c>
      <c r="B4" s="80" t="s">
        <v>186</v>
      </c>
      <c r="C4" s="77" t="s">
        <v>187</v>
      </c>
    </row>
    <row r="5" spans="1:3" ht="39.9" customHeight="1">
      <c r="A5" s="77">
        <v>3</v>
      </c>
      <c r="B5" s="79" t="s">
        <v>194</v>
      </c>
      <c r="C5" s="77" t="s">
        <v>188</v>
      </c>
    </row>
    <row r="6" spans="1:3" ht="39.9" customHeight="1">
      <c r="A6" s="2"/>
      <c r="B6" s="2"/>
      <c r="C6" s="2"/>
    </row>
    <row r="7" spans="1:3" ht="39.9" customHeight="1">
      <c r="A7" s="2"/>
      <c r="B7" s="2"/>
      <c r="C7" s="2"/>
    </row>
    <row r="8" spans="1:3" ht="39.9" customHeight="1">
      <c r="A8" s="2"/>
      <c r="B8" s="2"/>
      <c r="C8" s="2"/>
    </row>
    <row r="9" spans="1:3" ht="39.9" customHeight="1">
      <c r="A9" s="2"/>
      <c r="B9" s="2"/>
      <c r="C9" s="2"/>
    </row>
    <row r="10" spans="1:3" ht="39.9" customHeight="1">
      <c r="A10" s="2"/>
      <c r="B10" s="2"/>
      <c r="C10" s="2"/>
    </row>
    <row r="11" spans="1:3" ht="39.9" customHeight="1">
      <c r="A11" s="2"/>
      <c r="B11" s="2"/>
      <c r="C11" s="2"/>
    </row>
    <row r="12" spans="1:3" ht="39.9" customHeight="1">
      <c r="A12" s="2"/>
      <c r="B12" s="2"/>
      <c r="C12" s="2"/>
    </row>
    <row r="13" spans="1:3" ht="39.9" customHeight="1"/>
    <row r="14" spans="1:3" ht="39.9" customHeight="1"/>
    <row r="15" spans="1:3" ht="39.9" customHeight="1"/>
    <row r="16" spans="1:3" ht="39.9" customHeight="1"/>
    <row r="17" ht="39.9" customHeight="1"/>
    <row r="18" ht="39.9" customHeight="1"/>
    <row r="19" ht="39.9" customHeight="1"/>
    <row r="20" ht="39.9" customHeight="1"/>
    <row r="21" ht="39.9" customHeight="1"/>
    <row r="22" ht="39.9" customHeight="1"/>
    <row r="23" ht="39.9" customHeight="1"/>
  </sheetData>
  <mergeCells count="1">
    <mergeCell ref="A1:C1"/>
  </mergeCells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G33" sqref="G33"/>
    </sheetView>
  </sheetViews>
  <sheetFormatPr defaultRowHeight="17.399999999999999"/>
  <cols>
    <col min="1" max="1" width="16" bestFit="1" customWidth="1"/>
    <col min="2" max="2" width="9.5" bestFit="1" customWidth="1"/>
    <col min="4" max="4" width="17.8984375" customWidth="1"/>
    <col min="7" max="7" width="121.5" customWidth="1"/>
  </cols>
  <sheetData>
    <row r="1" spans="1:15">
      <c r="A1" s="278" t="s">
        <v>64</v>
      </c>
      <c r="B1" s="279"/>
      <c r="C1" s="279"/>
      <c r="D1" s="279"/>
      <c r="E1" s="279"/>
      <c r="F1" s="279"/>
      <c r="G1" s="279"/>
      <c r="H1" s="279"/>
      <c r="I1" s="279"/>
      <c r="J1" s="279"/>
      <c r="K1" s="4"/>
    </row>
    <row r="2" spans="1:1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4"/>
      <c r="L2" s="277" t="s">
        <v>1</v>
      </c>
      <c r="M2" s="277"/>
      <c r="N2" s="277"/>
      <c r="O2" s="277"/>
    </row>
    <row r="3" spans="1:15" ht="30">
      <c r="A3" s="16" t="s">
        <v>62</v>
      </c>
      <c r="B3" s="16">
        <f>E5+E6</f>
        <v>1123</v>
      </c>
      <c r="C3" s="16" t="s">
        <v>63</v>
      </c>
      <c r="D3" s="16">
        <f>E7+E8</f>
        <v>1330</v>
      </c>
      <c r="E3" s="16"/>
      <c r="F3" s="16"/>
      <c r="G3" s="6"/>
      <c r="H3" s="6"/>
      <c r="I3" s="6"/>
      <c r="J3" s="6"/>
      <c r="K3" s="4"/>
      <c r="L3" s="277"/>
      <c r="M3" s="277"/>
      <c r="N3" s="277"/>
      <c r="O3" s="277"/>
    </row>
    <row r="4" spans="1:15" ht="31.2">
      <c r="A4" s="1" t="s">
        <v>2</v>
      </c>
      <c r="B4" s="2" t="s">
        <v>3</v>
      </c>
      <c r="C4" s="2" t="s">
        <v>4</v>
      </c>
      <c r="D4" s="17" t="s">
        <v>60</v>
      </c>
      <c r="E4" s="17" t="s">
        <v>61</v>
      </c>
      <c r="F4" s="3" t="s">
        <v>6</v>
      </c>
      <c r="G4" s="5" t="s">
        <v>8</v>
      </c>
      <c r="H4" s="5"/>
      <c r="I4" s="5"/>
      <c r="J4" s="5"/>
      <c r="L4" s="277"/>
      <c r="M4" s="277"/>
      <c r="N4" s="277"/>
      <c r="O4" s="277"/>
    </row>
    <row r="5" spans="1:15">
      <c r="A5" s="1">
        <v>44002</v>
      </c>
      <c r="B5" s="2">
        <v>5</v>
      </c>
      <c r="C5" s="2">
        <v>180</v>
      </c>
      <c r="D5" s="2">
        <v>190</v>
      </c>
      <c r="E5" s="18">
        <f>(D5-C5)*0.75*B5+C5*B5</f>
        <v>937.5</v>
      </c>
      <c r="F5" s="3">
        <f>D5*1.75-C5*0.75</f>
        <v>197.5</v>
      </c>
      <c r="G5" s="5" t="s">
        <v>9</v>
      </c>
      <c r="H5" s="5"/>
      <c r="I5" s="5"/>
      <c r="J5" s="5"/>
      <c r="L5" s="277"/>
      <c r="M5" s="277"/>
      <c r="N5" s="277"/>
      <c r="O5" s="277"/>
    </row>
    <row r="6" spans="1:15">
      <c r="A6" s="1">
        <v>44032</v>
      </c>
      <c r="B6" s="2">
        <v>1</v>
      </c>
      <c r="C6" s="2">
        <v>172</v>
      </c>
      <c r="D6" s="2">
        <v>190</v>
      </c>
      <c r="E6" s="18">
        <f>(D6-C6)*0.75*B6+C6*B6</f>
        <v>185.5</v>
      </c>
      <c r="F6" s="3">
        <f t="shared" ref="F6:F31" si="0">D6*1.75-C6*0.75</f>
        <v>203.5</v>
      </c>
      <c r="G6" s="5"/>
      <c r="H6" s="5"/>
      <c r="I6" s="5"/>
      <c r="J6" s="5"/>
      <c r="L6" s="277"/>
      <c r="M6" s="277"/>
      <c r="N6" s="277"/>
      <c r="O6" s="277"/>
    </row>
    <row r="7" spans="1:15">
      <c r="A7" s="1">
        <v>44063</v>
      </c>
      <c r="B7" s="2">
        <v>5</v>
      </c>
      <c r="C7" s="2">
        <v>192</v>
      </c>
      <c r="D7" s="2">
        <v>190</v>
      </c>
      <c r="E7" s="2">
        <f t="shared" ref="E7:E8" si="1">D7*B7</f>
        <v>950</v>
      </c>
      <c r="F7" s="3">
        <f t="shared" si="0"/>
        <v>188.5</v>
      </c>
      <c r="G7" s="5"/>
      <c r="H7" s="5"/>
      <c r="I7" s="5"/>
      <c r="J7" s="5"/>
      <c r="L7" s="277"/>
      <c r="M7" s="277"/>
      <c r="N7" s="277"/>
      <c r="O7" s="277"/>
    </row>
    <row r="8" spans="1:15">
      <c r="A8" s="1">
        <v>44094</v>
      </c>
      <c r="B8" s="2">
        <v>2</v>
      </c>
      <c r="C8" s="2">
        <v>197</v>
      </c>
      <c r="D8" s="2">
        <v>190</v>
      </c>
      <c r="E8" s="2">
        <f t="shared" si="1"/>
        <v>380</v>
      </c>
      <c r="F8" s="3">
        <f t="shared" si="0"/>
        <v>184.75</v>
      </c>
      <c r="G8" s="5"/>
      <c r="H8" s="5"/>
      <c r="I8" s="5"/>
      <c r="J8" s="5"/>
      <c r="L8" s="277"/>
      <c r="M8" s="277"/>
      <c r="N8" s="277"/>
      <c r="O8" s="277"/>
    </row>
    <row r="9" spans="1:15">
      <c r="A9" s="1">
        <v>44019</v>
      </c>
      <c r="B9" s="2">
        <v>1</v>
      </c>
      <c r="C9" s="2">
        <v>214</v>
      </c>
      <c r="D9" s="2"/>
      <c r="E9" s="2"/>
      <c r="F9" s="3">
        <f t="shared" si="0"/>
        <v>-160.5</v>
      </c>
      <c r="G9" s="5" t="s">
        <v>65</v>
      </c>
      <c r="H9" s="5"/>
      <c r="I9" s="5"/>
      <c r="J9" s="5"/>
      <c r="L9" s="277"/>
      <c r="M9" s="277"/>
      <c r="N9" s="277"/>
      <c r="O9" s="277"/>
    </row>
    <row r="10" spans="1:15">
      <c r="A10" s="1"/>
      <c r="B10" s="2"/>
      <c r="C10" s="2"/>
      <c r="D10" s="2"/>
      <c r="E10" s="2"/>
      <c r="F10" s="3">
        <f t="shared" si="0"/>
        <v>0</v>
      </c>
      <c r="G10" s="5"/>
      <c r="H10" s="5"/>
      <c r="I10" s="5"/>
      <c r="J10" s="5"/>
    </row>
    <row r="11" spans="1:15">
      <c r="A11" s="1"/>
      <c r="B11" s="2"/>
      <c r="C11" s="2"/>
      <c r="D11" s="2"/>
      <c r="E11" s="2"/>
      <c r="F11" s="3">
        <f t="shared" si="0"/>
        <v>0</v>
      </c>
      <c r="G11" s="5"/>
      <c r="H11" s="5"/>
      <c r="I11" s="5"/>
      <c r="J11" s="5"/>
    </row>
    <row r="12" spans="1:15">
      <c r="A12" s="1"/>
      <c r="B12" s="2"/>
      <c r="C12" s="2"/>
      <c r="D12" s="2"/>
      <c r="E12" s="2"/>
      <c r="F12" s="3">
        <f t="shared" si="0"/>
        <v>0</v>
      </c>
      <c r="G12" s="5"/>
      <c r="H12" s="5"/>
      <c r="I12" s="5"/>
      <c r="J12" s="5"/>
    </row>
    <row r="13" spans="1:15">
      <c r="A13" s="1"/>
      <c r="B13" s="2"/>
      <c r="C13" s="2"/>
      <c r="D13" s="2"/>
      <c r="E13" s="2"/>
      <c r="F13" s="3">
        <f t="shared" si="0"/>
        <v>0</v>
      </c>
      <c r="G13" s="5"/>
      <c r="H13" s="5"/>
      <c r="I13" s="5"/>
      <c r="J13" s="5"/>
    </row>
    <row r="14" spans="1:15">
      <c r="A14" s="1"/>
      <c r="B14" s="2"/>
      <c r="C14" s="2"/>
      <c r="D14" s="2"/>
      <c r="E14" s="2"/>
      <c r="F14" s="3">
        <f t="shared" si="0"/>
        <v>0</v>
      </c>
      <c r="G14" s="5"/>
      <c r="H14" s="5"/>
      <c r="I14" s="5"/>
      <c r="J14" s="5"/>
    </row>
    <row r="15" spans="1:15">
      <c r="A15" s="1"/>
      <c r="B15" s="2"/>
      <c r="C15" s="2"/>
      <c r="D15" s="2"/>
      <c r="E15" s="2"/>
      <c r="F15" s="3">
        <f t="shared" si="0"/>
        <v>0</v>
      </c>
      <c r="G15" s="5"/>
      <c r="H15" s="5"/>
      <c r="I15" s="5"/>
      <c r="J15" s="5"/>
    </row>
    <row r="16" spans="1:15">
      <c r="A16" s="1"/>
      <c r="B16" s="2"/>
      <c r="C16" s="2"/>
      <c r="D16" s="2"/>
      <c r="E16" s="2"/>
      <c r="F16" s="3">
        <f t="shared" si="0"/>
        <v>0</v>
      </c>
      <c r="G16" s="5"/>
      <c r="H16" s="5"/>
      <c r="I16" s="5"/>
      <c r="J16" s="5"/>
    </row>
    <row r="17" spans="1:10">
      <c r="A17" s="1"/>
      <c r="B17" s="2"/>
      <c r="C17" s="2"/>
      <c r="D17" s="2"/>
      <c r="E17" s="2"/>
      <c r="F17" s="3">
        <f t="shared" si="0"/>
        <v>0</v>
      </c>
      <c r="G17" s="5"/>
      <c r="H17" s="5"/>
      <c r="I17" s="5"/>
      <c r="J17" s="5"/>
    </row>
    <row r="18" spans="1:10">
      <c r="A18" s="1"/>
      <c r="B18" s="2"/>
      <c r="C18" s="2"/>
      <c r="D18" s="2"/>
      <c r="E18" s="2"/>
      <c r="F18" s="3">
        <f t="shared" si="0"/>
        <v>0</v>
      </c>
      <c r="G18" s="5"/>
      <c r="H18" s="5"/>
      <c r="I18" s="5"/>
      <c r="J18" s="5"/>
    </row>
    <row r="19" spans="1:10">
      <c r="A19" s="1"/>
      <c r="B19" s="2"/>
      <c r="C19" s="2"/>
      <c r="D19" s="2"/>
      <c r="E19" s="2"/>
      <c r="F19" s="3">
        <f t="shared" si="0"/>
        <v>0</v>
      </c>
      <c r="G19" s="5"/>
      <c r="H19" s="5"/>
      <c r="I19" s="5"/>
      <c r="J19" s="5"/>
    </row>
    <row r="20" spans="1:10">
      <c r="A20" s="1"/>
      <c r="B20" s="2"/>
      <c r="C20" s="2"/>
      <c r="D20" s="2"/>
      <c r="E20" s="2"/>
      <c r="F20" s="3">
        <f t="shared" si="0"/>
        <v>0</v>
      </c>
      <c r="G20" s="5"/>
      <c r="H20" s="5"/>
      <c r="I20" s="5"/>
      <c r="J20" s="5"/>
    </row>
    <row r="21" spans="1:10">
      <c r="A21" s="1"/>
      <c r="B21" s="2"/>
      <c r="C21" s="2"/>
      <c r="D21" s="2"/>
      <c r="E21" s="2"/>
      <c r="F21" s="3">
        <f t="shared" si="0"/>
        <v>0</v>
      </c>
      <c r="G21" s="5"/>
      <c r="H21" s="5"/>
      <c r="I21" s="5"/>
      <c r="J21" s="5"/>
    </row>
    <row r="22" spans="1:10">
      <c r="A22" s="1"/>
      <c r="B22" s="2"/>
      <c r="C22" s="2"/>
      <c r="D22" s="2"/>
      <c r="E22" s="2"/>
      <c r="F22" s="3">
        <f t="shared" si="0"/>
        <v>0</v>
      </c>
      <c r="G22" s="5"/>
      <c r="H22" s="5"/>
      <c r="I22" s="5"/>
      <c r="J22" s="5"/>
    </row>
    <row r="23" spans="1:10">
      <c r="A23" s="1"/>
      <c r="B23" s="2"/>
      <c r="C23" s="2"/>
      <c r="D23" s="2"/>
      <c r="E23" s="2"/>
      <c r="F23" s="3">
        <f t="shared" si="0"/>
        <v>0</v>
      </c>
      <c r="G23" s="5"/>
      <c r="H23" s="5"/>
      <c r="I23" s="5"/>
      <c r="J23" s="5"/>
    </row>
    <row r="24" spans="1:10">
      <c r="A24" s="1"/>
      <c r="B24" s="2"/>
      <c r="C24" s="2"/>
      <c r="D24" s="2"/>
      <c r="E24" s="2"/>
      <c r="F24" s="3">
        <f t="shared" si="0"/>
        <v>0</v>
      </c>
      <c r="G24" s="5"/>
      <c r="H24" s="5"/>
      <c r="I24" s="5"/>
      <c r="J24" s="5"/>
    </row>
    <row r="25" spans="1:10">
      <c r="A25" s="1"/>
      <c r="B25" s="2"/>
      <c r="C25" s="2"/>
      <c r="D25" s="2"/>
      <c r="E25" s="2"/>
      <c r="F25" s="3">
        <f t="shared" si="0"/>
        <v>0</v>
      </c>
      <c r="G25" s="5"/>
      <c r="H25" s="5"/>
      <c r="I25" s="5"/>
      <c r="J25" s="5"/>
    </row>
    <row r="26" spans="1:10">
      <c r="A26" s="1"/>
      <c r="B26" s="2"/>
      <c r="C26" s="2"/>
      <c r="D26" s="2"/>
      <c r="E26" s="2"/>
      <c r="F26" s="3">
        <f t="shared" si="0"/>
        <v>0</v>
      </c>
      <c r="G26" s="5"/>
      <c r="H26" s="5"/>
      <c r="I26" s="5"/>
      <c r="J26" s="5"/>
    </row>
    <row r="27" spans="1:10">
      <c r="A27" s="1"/>
      <c r="B27" s="2"/>
      <c r="C27" s="2"/>
      <c r="D27" s="2"/>
      <c r="E27" s="2"/>
      <c r="F27" s="3">
        <f t="shared" si="0"/>
        <v>0</v>
      </c>
      <c r="G27" s="5"/>
      <c r="H27" s="5"/>
      <c r="I27" s="5"/>
      <c r="J27" s="5"/>
    </row>
    <row r="28" spans="1:10">
      <c r="A28" s="1"/>
      <c r="B28" s="2"/>
      <c r="C28" s="2"/>
      <c r="D28" s="2"/>
      <c r="E28" s="2"/>
      <c r="F28" s="3">
        <f t="shared" si="0"/>
        <v>0</v>
      </c>
      <c r="G28" s="5"/>
      <c r="H28" s="5"/>
      <c r="I28" s="5"/>
      <c r="J28" s="5"/>
    </row>
    <row r="29" spans="1:10">
      <c r="A29" s="1"/>
      <c r="B29" s="2"/>
      <c r="C29" s="2"/>
      <c r="D29" s="2"/>
      <c r="E29" s="2"/>
      <c r="F29" s="3">
        <f t="shared" si="0"/>
        <v>0</v>
      </c>
      <c r="G29" s="5"/>
      <c r="H29" s="5"/>
      <c r="I29" s="5"/>
      <c r="J29" s="5"/>
    </row>
    <row r="30" spans="1:10">
      <c r="A30" s="1"/>
      <c r="B30" s="2"/>
      <c r="C30" s="2"/>
      <c r="D30" s="2"/>
      <c r="E30" s="2"/>
      <c r="F30" s="3">
        <f t="shared" si="0"/>
        <v>0</v>
      </c>
      <c r="G30" s="5"/>
      <c r="H30" s="5"/>
      <c r="I30" s="5"/>
      <c r="J30" s="5"/>
    </row>
    <row r="31" spans="1:10">
      <c r="A31" s="1"/>
      <c r="B31" s="2"/>
      <c r="C31" s="2"/>
      <c r="D31" s="2"/>
      <c r="E31" s="2"/>
      <c r="F31" s="3">
        <f t="shared" si="0"/>
        <v>0</v>
      </c>
      <c r="G31" s="5"/>
      <c r="H31" s="5"/>
      <c r="I31" s="5"/>
      <c r="J31" s="5"/>
    </row>
  </sheetData>
  <mergeCells count="2">
    <mergeCell ref="L2:O9"/>
    <mergeCell ref="A1:J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2</vt:i4>
      </vt:variant>
    </vt:vector>
  </HeadingPairs>
  <TitlesOfParts>
    <vt:vector size="17" baseType="lpstr">
      <vt:lpstr>매뉴얼(알고리즘)</vt:lpstr>
      <vt:lpstr>체크리스트</vt:lpstr>
      <vt:lpstr>기업비교분석</vt:lpstr>
      <vt:lpstr>네이버금융복붙</vt:lpstr>
      <vt:lpstr>적정주가 계산-국내주식</vt:lpstr>
      <vt:lpstr>적정주가 계산-해외주식</vt:lpstr>
      <vt:lpstr>적정주가 계산식</vt:lpstr>
      <vt:lpstr>부자가 되기위한 조건</vt:lpstr>
      <vt:lpstr>투자일지 포폴 1</vt:lpstr>
      <vt:lpstr>투자일지 포폴 2</vt:lpstr>
      <vt:lpstr>주식분석기준표</vt:lpstr>
      <vt:lpstr>투자용어총정리</vt:lpstr>
      <vt:lpstr>투자기법</vt:lpstr>
      <vt:lpstr>손절가 구하기</vt:lpstr>
      <vt:lpstr>PER</vt:lpstr>
      <vt:lpstr>'매뉴얼(알고리즘)'!Print_Area</vt:lpstr>
      <vt:lpstr>체크리스트!Print_Area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한솔</cp:lastModifiedBy>
  <cp:lastPrinted>2020-12-31T08:00:02Z</cp:lastPrinted>
  <dcterms:created xsi:type="dcterms:W3CDTF">2020-06-25T10:49:05Z</dcterms:created>
  <dcterms:modified xsi:type="dcterms:W3CDTF">2021-01-26T08:39:46Z</dcterms:modified>
</cp:coreProperties>
</file>