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20" windowWidth="8780" windowHeight="6230" firstSheet="2" activeTab="2"/>
  </bookViews>
  <sheets>
    <sheet name="NAV0" sheetId="1" state="hidden" r:id="rId1"/>
    <sheet name="NAV1" sheetId="2" state="hidden" r:id="rId2"/>
    <sheet name="Beta Data" sheetId="8" r:id="rId3"/>
    <sheet name="&quot;Rapid Bounce&quot; Base Case" sheetId="3" r:id="rId4"/>
    <sheet name="&quot;Persistence&quot; Base Case" sheetId="4" r:id="rId5"/>
    <sheet name="NPV Profiles" sheetId="9" r:id="rId6"/>
    <sheet name="Market Size Data" sheetId="10" r:id="rId7"/>
    <sheet name="Simulation" sheetId="18" r:id="rId8"/>
    <sheet name="Output" sheetId="20" r:id="rId9"/>
    <sheet name="Summary" sheetId="22" r:id="rId10"/>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localSheetId="8" hidden="1">8</definedName>
    <definedName name="_AtRisk_SimSetting_ReportsList" localSheetId="9" hidden="1">8</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marketmatrix">#REF!</definedName>
    <definedName name="NewMatrix">#REF!</definedName>
    <definedName name="NewMatrix1">Simulation!#REF!</definedName>
    <definedName name="PalisadeReportWorkbookCreatedBy">"AtRisk"</definedName>
    <definedName name="PalisadeReportWorksheetCreatedBy" localSheetId="8">"AtRisk"</definedName>
    <definedName name="PMktShareCorrelations">Simulation!$T$3:$V$5</definedName>
    <definedName name="_xlnm.Print_Area" localSheetId="4">'"Persistence" Base Case'!$A$1:$H$26</definedName>
    <definedName name="_xlnm.Print_Area" localSheetId="3">'"Rapid Bounce" Base Case'!$A$1:$H$32</definedName>
    <definedName name="RiskAfterRecalcMacro" hidden="1">""</definedName>
    <definedName name="RiskAfterSimMacro" hidden="1">""</definedName>
    <definedName name="RiskAutoStopPercChange">1.5</definedName>
    <definedName name="RiskBeforeRecalcMacro" hidden="1">""</definedName>
    <definedName name="RiskBeforeSimMacro" hidden="1">""</definedName>
    <definedName name="RiskCollectDistributionSamples" hidden="1">2</definedName>
    <definedName name="RiskCorrelationSheet">#REF!</definedName>
    <definedName name="RiskExcelReportsGoInNewWorkbook">TRUE</definedName>
    <definedName name="RiskExcelReportsToGenerate">0</definedName>
    <definedName name="RiskFixedSeed" hidden="1">1</definedName>
    <definedName name="RiskGenerateExcelReportsAtEndOfSimulation">FALSE</definedName>
    <definedName name="RiskHasSettings" hidden="1">5</definedName>
    <definedName name="RiskMinimizeOnStart" hidden="1">FALSE</definedName>
    <definedName name="RiskMonitorConvergence" hidden="1">FALSE</definedName>
    <definedName name="RiskNumIterations" hidden="1">100</definedName>
    <definedName name="RiskNumSimulations" hidden="1">1</definedName>
    <definedName name="RiskPauseOnError" hidden="1">FALSE</definedName>
    <definedName name="RiskRealTimeResults">FALSE</definedName>
    <definedName name="RiskReportGraphFormat">0</definedName>
    <definedName name="RiskResultsUpdateFreq">100</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howRiskWindowAtEndOfSimulation">TRUE</definedName>
    <definedName name="RiskStandardRecalc" hidden="1">1</definedName>
    <definedName name="RiskTemplateSheetName">"myTemplate"</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25725"/>
</workbook>
</file>

<file path=xl/calcChain.xml><?xml version="1.0" encoding="utf-8"?>
<calcChain xmlns="http://schemas.openxmlformats.org/spreadsheetml/2006/main">
  <c r="B8" i="22"/>
  <c r="C8"/>
  <c r="F8"/>
  <c r="S5" i="18"/>
  <c r="S4"/>
  <c r="V2"/>
  <c r="U2"/>
  <c r="T2"/>
  <c r="S3"/>
  <c r="Q8"/>
  <c r="P8"/>
  <c r="O8"/>
  <c r="O13"/>
  <c r="N14"/>
  <c r="E24" i="3"/>
  <c r="N15" i="18"/>
  <c r="Q14"/>
  <c r="N9"/>
  <c r="N10"/>
  <c r="Q13"/>
  <c r="P13"/>
  <c r="O7"/>
  <c r="P7"/>
  <c r="Q7"/>
  <c r="E19"/>
  <c r="E18"/>
  <c r="H17"/>
  <c r="E17"/>
  <c r="E20"/>
  <c r="H11"/>
  <c r="H16"/>
  <c r="G11"/>
  <c r="G16"/>
  <c r="F11"/>
  <c r="F16"/>
  <c r="H10"/>
  <c r="H15"/>
  <c r="G10"/>
  <c r="G15"/>
  <c r="F10"/>
  <c r="F15"/>
  <c r="H9"/>
  <c r="G9"/>
  <c r="F9"/>
  <c r="G8"/>
  <c r="F8"/>
  <c r="H7"/>
  <c r="G7"/>
  <c r="F7"/>
  <c r="B25" i="10"/>
  <c r="C4" i="9"/>
  <c r="C5"/>
  <c r="C6"/>
  <c r="C7"/>
  <c r="C8"/>
  <c r="C9"/>
  <c r="C10"/>
  <c r="C11"/>
  <c r="C12"/>
  <c r="C13"/>
  <c r="C14"/>
  <c r="C15"/>
  <c r="C16"/>
  <c r="C17"/>
  <c r="C18"/>
  <c r="C19"/>
  <c r="C20"/>
  <c r="C21"/>
  <c r="C22"/>
  <c r="C23"/>
  <c r="C24"/>
  <c r="C25"/>
  <c r="C26"/>
  <c r="C27"/>
  <c r="C28"/>
  <c r="C29"/>
  <c r="C30"/>
  <c r="C31"/>
  <c r="C32"/>
  <c r="C33"/>
  <c r="C34"/>
  <c r="C35"/>
  <c r="C36"/>
  <c r="C37"/>
  <c r="C38"/>
  <c r="C39"/>
  <c r="C40"/>
  <c r="C41"/>
  <c r="C42"/>
  <c r="C3"/>
  <c r="B4"/>
  <c r="B5"/>
  <c r="B6"/>
  <c r="B7"/>
  <c r="B8"/>
  <c r="B9"/>
  <c r="B10"/>
  <c r="B11"/>
  <c r="B12"/>
  <c r="B13"/>
  <c r="B14"/>
  <c r="B15"/>
  <c r="B16"/>
  <c r="B17"/>
  <c r="B18"/>
  <c r="B19"/>
  <c r="B20"/>
  <c r="B21"/>
  <c r="B22"/>
  <c r="B23"/>
  <c r="B24"/>
  <c r="B25"/>
  <c r="B26"/>
  <c r="B27"/>
  <c r="B28"/>
  <c r="B29"/>
  <c r="B30"/>
  <c r="B31"/>
  <c r="B32"/>
  <c r="B33"/>
  <c r="B34"/>
  <c r="B35"/>
  <c r="B36"/>
  <c r="B37"/>
  <c r="B38"/>
  <c r="B39"/>
  <c r="B40"/>
  <c r="B41"/>
  <c r="B42"/>
  <c r="B3"/>
  <c r="E3" i="8"/>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G2"/>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E2"/>
  <c r="D2"/>
  <c r="H14" i="4"/>
  <c r="E14"/>
  <c r="G8"/>
  <c r="H8"/>
  <c r="F8"/>
  <c r="H3" i="3"/>
  <c r="G3"/>
  <c r="H17"/>
  <c r="E17"/>
  <c r="G11"/>
  <c r="G16"/>
  <c r="H11"/>
  <c r="F11"/>
  <c r="G10"/>
  <c r="H10"/>
  <c r="H15"/>
  <c r="F10"/>
  <c r="F3"/>
  <c r="E9" i="4"/>
  <c r="E10"/>
  <c r="E11"/>
  <c r="E12"/>
  <c r="E16"/>
  <c r="E15"/>
  <c r="F4"/>
  <c r="F6"/>
  <c r="F7"/>
  <c r="G7"/>
  <c r="H7"/>
  <c r="H10"/>
  <c r="G4"/>
  <c r="G5"/>
  <c r="H4"/>
  <c r="H5"/>
  <c r="F4" i="3"/>
  <c r="F7"/>
  <c r="F8"/>
  <c r="F9"/>
  <c r="E18"/>
  <c r="G4"/>
  <c r="G7"/>
  <c r="G8"/>
  <c r="G9"/>
  <c r="H4"/>
  <c r="H7"/>
  <c r="H9"/>
  <c r="E19"/>
  <c r="B76" i="4"/>
  <c r="B77"/>
  <c r="B78"/>
  <c r="B83"/>
  <c r="B72"/>
  <c r="N11" i="18"/>
  <c r="N12"/>
  <c r="N16"/>
  <c r="H13" i="4"/>
  <c r="B74"/>
  <c r="B75"/>
  <c r="F5" i="3"/>
  <c r="F6"/>
  <c r="F12"/>
  <c r="F13"/>
  <c r="H5"/>
  <c r="H6"/>
  <c r="G5"/>
  <c r="G6"/>
  <c r="H16"/>
  <c r="G15"/>
  <c r="F15"/>
  <c r="E20"/>
  <c r="H12"/>
  <c r="H13"/>
  <c r="H14"/>
  <c r="F5" i="4"/>
  <c r="F13"/>
  <c r="G6"/>
  <c r="H6"/>
  <c r="G13"/>
  <c r="F10"/>
  <c r="F11"/>
  <c r="F12"/>
  <c r="F16"/>
  <c r="G12" i="3"/>
  <c r="F14"/>
  <c r="F16"/>
  <c r="B70" i="4"/>
  <c r="B73"/>
  <c r="G13" i="3"/>
  <c r="G14"/>
  <c r="G10" i="4"/>
  <c r="G11"/>
  <c r="G12"/>
  <c r="G16"/>
  <c r="G20" i="3"/>
  <c r="F20"/>
  <c r="B71" i="4"/>
  <c r="H20" i="3"/>
  <c r="E25"/>
  <c r="K2"/>
  <c r="H11" i="4"/>
  <c r="H12"/>
  <c r="H16"/>
  <c r="E20"/>
  <c r="K2"/>
  <c r="E21"/>
  <c r="B31" i="18"/>
  <c r="K7"/>
  <c r="K4"/>
  <c r="K8"/>
  <c r="B13"/>
  <c r="B4"/>
  <c r="K5"/>
  <c r="B5"/>
  <c r="K6"/>
  <c r="G4" l="1"/>
  <c r="F4"/>
  <c r="H4"/>
  <c r="O4"/>
  <c r="P4"/>
  <c r="Q4"/>
  <c r="B6"/>
  <c r="F3" l="1"/>
  <c r="F5" s="1"/>
  <c r="P5"/>
  <c r="P6"/>
  <c r="Q6"/>
  <c r="Q5"/>
  <c r="O5"/>
  <c r="O6"/>
  <c r="B7"/>
  <c r="G3" l="1"/>
  <c r="G5" s="1"/>
  <c r="G6" s="1"/>
  <c r="G12" s="1"/>
  <c r="Q10"/>
  <c r="P10"/>
  <c r="O10"/>
  <c r="O11" s="1"/>
  <c r="O12" s="1"/>
  <c r="O16" s="1"/>
  <c r="P11"/>
  <c r="P12" s="1"/>
  <c r="P16" s="1"/>
  <c r="F6"/>
  <c r="F12" s="1"/>
  <c r="Q11"/>
  <c r="Q12" s="1"/>
  <c r="Q16" s="1"/>
  <c r="B8"/>
  <c r="N20"/>
  <c r="H3" l="1"/>
  <c r="H5" s="1"/>
  <c r="H6" s="1"/>
  <c r="H12" s="1"/>
  <c r="H13" s="1"/>
  <c r="H14" s="1"/>
  <c r="H20" s="1"/>
  <c r="F13"/>
  <c r="F14" s="1"/>
  <c r="F20" s="1"/>
  <c r="G13"/>
  <c r="G14" s="1"/>
  <c r="G20" s="1"/>
  <c r="N21"/>
  <c r="E24"/>
  <c r="E25" l="1"/>
  <c r="N23"/>
</calcChain>
</file>

<file path=xl/comments1.xml><?xml version="1.0" encoding="utf-8"?>
<comments xmlns="http://schemas.openxmlformats.org/spreadsheetml/2006/main">
  <authors>
    <author>Dessislava Pachamanova</author>
  </authors>
  <commentList>
    <comment ref="S2" authorId="0">
      <text>
        <r>
          <rPr>
            <b/>
            <sz val="9"/>
            <color indexed="81"/>
            <rFont val="Tahoma"/>
            <family val="2"/>
          </rPr>
          <t>@RISK Correlation PMktShareCorrelations
Updated: 11/6/2009 10:20:29 PM</t>
        </r>
      </text>
    </comment>
  </commentList>
</comments>
</file>

<file path=xl/sharedStrings.xml><?xml version="1.0" encoding="utf-8"?>
<sst xmlns="http://schemas.openxmlformats.org/spreadsheetml/2006/main" count="438" uniqueCount="237">
  <si>
    <t>Year 0</t>
  </si>
  <si>
    <t>Year 1</t>
  </si>
  <si>
    <t>Year 2</t>
  </si>
  <si>
    <t>Year 3</t>
  </si>
  <si>
    <t>Revenues</t>
  </si>
  <si>
    <t>Equipment:</t>
  </si>
  <si>
    <t>Endorsement</t>
  </si>
  <si>
    <t>Taxes</t>
  </si>
  <si>
    <t>Cannibalization % of sales:</t>
  </si>
  <si>
    <t>Endorsement:</t>
  </si>
  <si>
    <t>Net Present Value:</t>
  </si>
  <si>
    <t>IRR:</t>
  </si>
  <si>
    <t>Purchase of technology:</t>
  </si>
  <si>
    <t>Growth in other hiking sales:</t>
  </si>
  <si>
    <t>SG&amp;A Expenses (% of sales):</t>
  </si>
  <si>
    <t>SOLUTIONS:</t>
  </si>
  <si>
    <t>Cost of Capital</t>
  </si>
  <si>
    <t>1.</t>
  </si>
  <si>
    <t>Payback (in years)</t>
  </si>
  <si>
    <t>Discounted Payback (in years)</t>
  </si>
  <si>
    <t xml:space="preserve">     Cash Outflow at Year 0</t>
  </si>
  <si>
    <t xml:space="preserve">     Discount of Year 1 CF</t>
  </si>
  <si>
    <t xml:space="preserve">     Discount of Year 2 CF</t>
  </si>
  <si>
    <t xml:space="preserve">     Discount of Year 3 CF</t>
  </si>
  <si>
    <t xml:space="preserve">     Discount of Year 4 CF</t>
  </si>
  <si>
    <t xml:space="preserve">     Discount of Year 5 CF</t>
  </si>
  <si>
    <t xml:space="preserve">     Discount of Year 6 CF</t>
  </si>
  <si>
    <t>Discounted Payback is more accurate than Payback because DPB takes into account the time value of money.</t>
  </si>
  <si>
    <t>2.</t>
  </si>
  <si>
    <t xml:space="preserve">Net Present Value </t>
  </si>
  <si>
    <t>3.</t>
  </si>
  <si>
    <t>Average Accounting Return</t>
  </si>
  <si>
    <t>4.</t>
  </si>
  <si>
    <t>Internal Rate of Return</t>
  </si>
  <si>
    <t>Modified Internal Rate of Return</t>
  </si>
  <si>
    <t>5.</t>
  </si>
  <si>
    <t>IRR assumes that the cash flow generated by the project will be invested at the project's cost of capital.  MIRR, however, assumes</t>
  </si>
  <si>
    <t>the cash flow from the project will be invested at the firm's cost of capital.  MIRR is a more accurate; generally management will use</t>
  </si>
  <si>
    <t>the project's cash flow in other areas of the firm.</t>
  </si>
  <si>
    <t>6.</t>
  </si>
  <si>
    <t>The cash flows are negative in Year 0 because the firm must first invest money in the project (building, equipment, NWC, etc) before</t>
  </si>
  <si>
    <t>cash will come into the firm.</t>
  </si>
  <si>
    <t>7.</t>
  </si>
  <si>
    <t xml:space="preserve">Cash flows are relatively high in Year 6 because of the return of working capital, gains from sale of the equipment, and depreciation, </t>
  </si>
  <si>
    <t>which offset the reduced sales.</t>
  </si>
  <si>
    <t>8.</t>
  </si>
  <si>
    <t xml:space="preserve">NPV is the cash inflow resulting from the project after the cost of capital has been repaid.  If NPV is greater than zero, </t>
  </si>
  <si>
    <t xml:space="preserve">technically the project should be accepted.  IRR is the rate of return which causes a project's NPV to be zero.  Therefore, a project </t>
  </si>
  <si>
    <t>should be accepted if its IRR is greater  than its cost of capital; the project will earn more than it costs to finance it.</t>
  </si>
  <si>
    <t>9.</t>
  </si>
  <si>
    <t xml:space="preserve">Other factors that should be taken into consideration are opportunity costs, externalities, the relative riskiness of the project, and </t>
  </si>
  <si>
    <t>expected future trends in the industry.  Also, management should evaluate the project's fit with the firm's strategic vision.</t>
  </si>
  <si>
    <t>10.</t>
  </si>
  <si>
    <t xml:space="preserve">I would go ahead with the project because it creates a positive residual, which is profit for the stockholders.  </t>
  </si>
  <si>
    <t>Cannibalization per year:</t>
  </si>
  <si>
    <t>Assumptions ($ millions)</t>
  </si>
  <si>
    <t>Persistence</t>
  </si>
  <si>
    <t>Change in NWC</t>
  </si>
  <si>
    <t xml:space="preserve">      EBIAT</t>
  </si>
  <si>
    <t>"Persistence" Projected Project Cash Flow Statements ($ millions)</t>
  </si>
  <si>
    <t>Rapid Bounce</t>
  </si>
  <si>
    <t>"Rapid Bounce" Projected Project Cash Flow Statements ($ millions)</t>
  </si>
  <si>
    <t>Cannibalization (Erosion of existing sales)</t>
  </si>
  <si>
    <t>Factory depreciation</t>
  </si>
  <si>
    <t>Equipment depreciation</t>
  </si>
  <si>
    <t>Net change in working capital</t>
  </si>
  <si>
    <t>Russell 3000 Close</t>
  </si>
  <si>
    <t>RBK Return</t>
  </si>
  <si>
    <t>Russell 3000 Return</t>
  </si>
  <si>
    <t>Calculation of beta using covariance formula</t>
  </si>
  <si>
    <t>Week</t>
  </si>
  <si>
    <t>AirMax Stock Price</t>
  </si>
  <si>
    <t>Calculation of beta using regression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</si>
  <si>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</si>
  <si>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</si>
  <si>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</si>
  <si>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</si>
  <si>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</si>
  <si>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</si>
  <si>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</si>
  <si>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</si>
  <si>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</si>
  <si>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</si>
  <si>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</si>
  <si>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</si>
  <si>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</si>
  <si>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</si>
  <si>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</si>
  <si>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</si>
  <si>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</si>
  <si>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</si>
  <si>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</si>
  <si>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</si>
  <si>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</si>
  <si>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</si>
  <si>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Cost of capital</t>
  </si>
  <si>
    <t>NPV Rapid Bounce</t>
  </si>
  <si>
    <t>NPV Persistence</t>
  </si>
  <si>
    <t>Year</t>
  </si>
  <si>
    <t>Size of athletic shoe market</t>
  </si>
  <si>
    <t>Market Size           ($ billions)</t>
  </si>
  <si>
    <t>Regression results</t>
  </si>
  <si>
    <t>(forecast)</t>
  </si>
  <si>
    <t xml:space="preserve">      EBIT (Earnings before interest and taxes)</t>
  </si>
  <si>
    <t>Variable costs as a % of sales:</t>
  </si>
  <si>
    <t>Percentage increase in VC/year</t>
  </si>
  <si>
    <t>Market share (year 1):</t>
  </si>
  <si>
    <t>Market share (year 2):</t>
  </si>
  <si>
    <t>Market share (year 3):</t>
  </si>
  <si>
    <t>Growth of market:</t>
  </si>
  <si>
    <t>Hiking &amp; walking market:</t>
  </si>
  <si>
    <t>Length of project (years):</t>
  </si>
  <si>
    <t>AirMax other hiking sales:</t>
  </si>
  <si>
    <t>Other advertising &amp; promotion:</t>
  </si>
  <si>
    <t>Tax rate:</t>
  </si>
  <si>
    <t>Variable costs</t>
  </si>
  <si>
    <t>G &amp; A expenses</t>
  </si>
  <si>
    <t>Advertising &amp; promotion</t>
  </si>
  <si>
    <t>Technology purchase</t>
  </si>
  <si>
    <t>Plus depreciation of equipment</t>
  </si>
  <si>
    <t>Equipment, freight &amp; installation</t>
  </si>
  <si>
    <t>Project net cash flows</t>
  </si>
  <si>
    <t>Analysis of project</t>
  </si>
  <si>
    <t>Assumed cost of capital:</t>
  </si>
  <si>
    <t>New  factory</t>
  </si>
  <si>
    <t>Plus depreciation of factory</t>
  </si>
  <si>
    <t>S G &amp; A expenses</t>
  </si>
  <si>
    <t>Net revenues (after erosion)</t>
  </si>
  <si>
    <t>SG&amp;A expenses:</t>
  </si>
  <si>
    <t>Freight and installation:</t>
  </si>
  <si>
    <t>Factory expansion:</t>
  </si>
  <si>
    <t>Market share scenarios for year 1</t>
  </si>
  <si>
    <t>Lower bound</t>
  </si>
  <si>
    <t>Upper bound</t>
  </si>
  <si>
    <t>Random scenario drawn</t>
  </si>
  <si>
    <t>Probability</t>
  </si>
  <si>
    <t xml:space="preserve">NPV(Rapid Bounce) - NPV(Persistence) </t>
  </si>
  <si>
    <t>@RISK Correlations</t>
  </si>
  <si>
    <t>Athletic footwear market:</t>
  </si>
  <si>
    <t>@RISK Detailed Statistics</t>
  </si>
  <si>
    <r>
      <t>Performed By:</t>
    </r>
    <r>
      <rPr>
        <sz val="8"/>
        <color theme="1"/>
        <rFont val="Tahoma"/>
        <family val="2"/>
      </rPr>
      <t xml:space="preserve"> Dessislava Pachamanova</t>
    </r>
  </si>
  <si>
    <t xml:space="preserve">Name  </t>
  </si>
  <si>
    <t>Persistence NPV</t>
  </si>
  <si>
    <t>NPV(Rapid Bounce) - NPV(Persistence)</t>
  </si>
  <si>
    <t>Rapid Bounce NPV</t>
  </si>
  <si>
    <t>Random scenario drawn / Lower bound</t>
  </si>
  <si>
    <t xml:space="preserve">Description  </t>
  </si>
  <si>
    <t>Output</t>
  </si>
  <si>
    <t>RiskNormal(18300,1100)</t>
  </si>
  <si>
    <t>RiskNormal(350,10)</t>
  </si>
  <si>
    <t>RiskBetaGeneral(5.5,4,-0.08,0.11)</t>
  </si>
  <si>
    <t>RiskBetaGeneral(2.6,1.9,0.08,0.2)</t>
  </si>
  <si>
    <t>RiskUniform(VLOOKUP(B31,A28:C30,2),VLOOKUP(B31,A28:C30,3))</t>
  </si>
  <si>
    <t>RiskNormal(0.1188,0.05,RiskTruncate(0,),RiskCorrmat(PMktShareCorrelations,1))</t>
  </si>
  <si>
    <t>RiskNormal(B6,0.007,RiskTruncate(0,))</t>
  </si>
  <si>
    <t>RiskNormal(0.1275,0.06,RiskTruncate(0,),RiskCorrmat(PMktShareCorrelations,2))</t>
  </si>
  <si>
    <t>RiskNormal(B7,0.007,RiskTruncate(0,))</t>
  </si>
  <si>
    <t>RiskNormal(0.1578,0.07,RiskTruncate(0,),RiskCorrmat(PMktShareCorrelations,3))</t>
  </si>
  <si>
    <t>RiskNormal(170,20,RiskStatic(170))</t>
  </si>
  <si>
    <t>RiskDiscrete(A28:A30,D28:D30)</t>
  </si>
  <si>
    <t xml:space="preserve">Cell  </t>
  </si>
  <si>
    <t>Simulation!B4</t>
  </si>
  <si>
    <t>Simulation!K4</t>
  </si>
  <si>
    <t>Simulation!B5</t>
  </si>
  <si>
    <t>Simulation!K5</t>
  </si>
  <si>
    <t>Simulation!B6</t>
  </si>
  <si>
    <t>Simulation!K6</t>
  </si>
  <si>
    <t>Simulation!B7</t>
  </si>
  <si>
    <t>Simulation!K7</t>
  </si>
  <si>
    <t>Simulation!N20</t>
  </si>
  <si>
    <t>Simulation!N23</t>
  </si>
  <si>
    <t>Simulation!E24</t>
  </si>
  <si>
    <t>Simulation!B8</t>
  </si>
  <si>
    <t>Simulation!K8</t>
  </si>
  <si>
    <t>Simulation!B13</t>
  </si>
  <si>
    <t>Simulation!B31</t>
  </si>
  <si>
    <t>Minimum</t>
  </si>
  <si>
    <t>Maximum</t>
  </si>
  <si>
    <t>Mean</t>
  </si>
  <si>
    <t>Std Deviation</t>
  </si>
  <si>
    <t>Variance</t>
  </si>
  <si>
    <t>Skewness</t>
  </si>
  <si>
    <t>Kurtosis</t>
  </si>
  <si>
    <t>Errors</t>
  </si>
  <si>
    <t>Mode</t>
  </si>
  <si>
    <t>5% Perc</t>
  </si>
  <si>
    <t>10% Perc</t>
  </si>
  <si>
    <t>15% Perc</t>
  </si>
  <si>
    <t>20% Perc</t>
  </si>
  <si>
    <t>25% Perc</t>
  </si>
  <si>
    <t>30% Perc</t>
  </si>
  <si>
    <t>35% Perc</t>
  </si>
  <si>
    <t>40% Perc</t>
  </si>
  <si>
    <t>45% Perc</t>
  </si>
  <si>
    <t>50% Perc</t>
  </si>
  <si>
    <t>55% Perc</t>
  </si>
  <si>
    <t>60% Perc</t>
  </si>
  <si>
    <t>65% Perc</t>
  </si>
  <si>
    <t>70% Perc</t>
  </si>
  <si>
    <t>75% Perc</t>
  </si>
  <si>
    <t>80% Perc</t>
  </si>
  <si>
    <t>85% Perc</t>
  </si>
  <si>
    <t>90% Perc</t>
  </si>
  <si>
    <t>95% Perc</t>
  </si>
  <si>
    <t>Filter Minimum</t>
  </si>
  <si>
    <t>Filter Maximum</t>
  </si>
  <si>
    <t>Filter Type</t>
  </si>
  <si>
    <t># Values Filtered</t>
  </si>
  <si>
    <t>Target #1 (Value)</t>
  </si>
  <si>
    <t>Target #1 (Perc%)</t>
  </si>
  <si>
    <t>Target #2 (Value)</t>
  </si>
  <si>
    <t>Target #2 (Perc%)</t>
  </si>
  <si>
    <t>Target #3 (Value)</t>
  </si>
  <si>
    <t>Target #3 (Perc%)</t>
  </si>
  <si>
    <t>Target #4 (Value)</t>
  </si>
  <si>
    <t>Target #4 (Perc%)</t>
  </si>
  <si>
    <t>Target #5 (Value)</t>
  </si>
  <si>
    <t>Target #5 (Perc%)</t>
  </si>
  <si>
    <t>Target #6 (Value)</t>
  </si>
  <si>
    <t>Target #6 (Perc%)</t>
  </si>
  <si>
    <t>Target #7 (Value)</t>
  </si>
  <si>
    <t>Target #7 (Perc%)</t>
  </si>
  <si>
    <t>Target #8 (Value)</t>
  </si>
  <si>
    <t>Target #8 (Perc%)</t>
  </si>
  <si>
    <t>Target #9 (Value)</t>
  </si>
  <si>
    <t>Target #9 (Perc%)</t>
  </si>
  <si>
    <t>Target #10 (Value)</t>
  </si>
  <si>
    <t>Target #10 (Perc%)</t>
  </si>
  <si>
    <t>"Rapid Bounce" NPV</t>
  </si>
  <si>
    <t>"Persistence" NPV</t>
  </si>
  <si>
    <t>NPV("Rapid Bounce") - NPV("Persistence")</t>
  </si>
  <si>
    <t>Standard deviation</t>
  </si>
  <si>
    <t>Coefficient of variation</t>
  </si>
  <si>
    <t>95% Percentile</t>
  </si>
  <si>
    <t>50% Percentile</t>
  </si>
  <si>
    <t>5% Percentile</t>
  </si>
  <si>
    <t>Prob. NPV &gt;= 0</t>
  </si>
</sst>
</file>

<file path=xl/styles.xml><?xml version="1.0" encoding="utf-8"?>
<styleSheet xmlns="http://schemas.openxmlformats.org/spreadsheetml/2006/main">
  <numFmts count="13">
    <numFmt numFmtId="6" formatCode="&quot;$&quot;#,##0_);[Red]\(&quot;$&quot;#,##0\)"/>
    <numFmt numFmtId="8" formatCode="&quot;$&quot;#,##0.00_);[Red]\(&quot;$&quot;#,##0.00\)"/>
    <numFmt numFmtId="44" formatCode="_(&quot;$&quot;* #,##0.00_);_(&quot;$&quot;* \(#,##0.00\);_(&quot;$&quot;* &quot;-&quot;??_);_(@_)"/>
    <numFmt numFmtId="43" formatCode="_(* #,##0.00_);_(* \(#,##0.00\);_(* &quot;-&quot;??_);_(@_)"/>
    <numFmt numFmtId="164" formatCode="0.0%"/>
    <numFmt numFmtId="165" formatCode="&quot;$&quot;#,##0"/>
    <numFmt numFmtId="166" formatCode="_(&quot;$&quot;* #,##0.0_);_(&quot;$&quot;* \(#,##0.0\);_(&quot;$&quot;* &quot;-&quot;??_);_(@_)"/>
    <numFmt numFmtId="167" formatCode="0.00_)"/>
    <numFmt numFmtId="168" formatCode="#,##0.0000_);[Red]\(#,##0.0000\)"/>
    <numFmt numFmtId="169" formatCode="0.0_);[Red]\(0.0\)"/>
    <numFmt numFmtId="170" formatCode="_(* #,##0.0_);_(* \(#,##0.0\);_(* &quot;-&quot;?_);_(@_)"/>
    <numFmt numFmtId="171" formatCode="&quot;$&quot;#,##0.00"/>
    <numFmt numFmtId="172" formatCode="0.0000"/>
  </numFmts>
  <fonts count="20">
    <font>
      <sz val="10"/>
      <name val="Arial"/>
    </font>
    <font>
      <sz val="11"/>
      <color theme="1"/>
      <name val="Calibri"/>
      <family val="2"/>
      <scheme val="minor"/>
    </font>
    <font>
      <sz val="10"/>
      <name val="Arial"/>
      <family val="2"/>
    </font>
    <font>
      <sz val="8"/>
      <name val="Arial"/>
      <family val="2"/>
    </font>
    <font>
      <b/>
      <i/>
      <sz val="16"/>
      <name val="Helv"/>
    </font>
    <font>
      <sz val="10"/>
      <name val="Calibri"/>
      <family val="2"/>
      <scheme val="minor"/>
    </font>
    <font>
      <b/>
      <i/>
      <sz val="10"/>
      <name val="Calibri"/>
      <family val="2"/>
      <scheme val="minor"/>
    </font>
    <font>
      <b/>
      <u/>
      <sz val="10"/>
      <name val="Calibri"/>
      <family val="2"/>
      <scheme val="minor"/>
    </font>
    <font>
      <b/>
      <sz val="10"/>
      <name val="Calibri"/>
      <family val="2"/>
      <scheme val="minor"/>
    </font>
    <font>
      <sz val="10"/>
      <color indexed="56"/>
      <name val="Calibri"/>
      <family val="2"/>
      <scheme val="minor"/>
    </font>
    <font>
      <sz val="10"/>
      <name val="Arial"/>
      <family val="2"/>
    </font>
    <font>
      <i/>
      <sz val="10"/>
      <name val="Calibri"/>
      <family val="2"/>
      <scheme val="minor"/>
    </font>
    <font>
      <b/>
      <sz val="10"/>
      <color rgb="FFFF0000"/>
      <name val="Calibri"/>
      <family val="2"/>
      <scheme val="minor"/>
    </font>
    <font>
      <sz val="8"/>
      <name val="Tahoma"/>
      <family val="2"/>
    </font>
    <font>
      <b/>
      <sz val="9"/>
      <color indexed="81"/>
      <name val="Tahoma"/>
      <family val="2"/>
    </font>
    <font>
      <b/>
      <sz val="14"/>
      <color theme="1"/>
      <name val="Tahoma"/>
      <family val="2"/>
    </font>
    <font>
      <sz val="8"/>
      <color theme="1"/>
      <name val="Tahoma"/>
      <family val="2"/>
    </font>
    <font>
      <b/>
      <sz val="8"/>
      <color theme="1"/>
      <name val="Tahoma"/>
      <family val="2"/>
    </font>
    <font>
      <sz val="8.5"/>
      <name val="Tahoma"/>
      <family val="2"/>
    </font>
    <font>
      <sz val="10"/>
      <color theme="1"/>
      <name val="Calibri"/>
      <family val="2"/>
      <scheme val="minor"/>
    </font>
  </fonts>
  <fills count="11">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theme="2" tint="-0.74999237037263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27"/>
        <bgColor indexed="64"/>
      </patternFill>
    </fill>
    <fill>
      <patternFill patternType="solid">
        <fgColor theme="9" tint="0.59999389629810485"/>
        <bgColor indexed="64"/>
      </patternFill>
    </fill>
    <fill>
      <patternFill patternType="solid">
        <fgColor rgb="FFC0C0C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style="medium">
        <color indexed="64"/>
      </left>
      <right/>
      <top style="medium">
        <color indexed="64"/>
      </top>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medium">
        <color indexed="64"/>
      </left>
      <right/>
      <top/>
      <bottom style="thin">
        <color indexed="64"/>
      </bottom>
      <diagonal/>
    </border>
    <border>
      <left style="medium">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style="thin">
        <color indexed="64"/>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1">
    <xf numFmtId="0" fontId="0" fillId="0" borderId="0"/>
    <xf numFmtId="44" fontId="2" fillId="0" borderId="0" applyFont="0" applyFill="0" applyBorder="0" applyAlignment="0" applyProtection="0"/>
    <xf numFmtId="38" fontId="3" fillId="2" borderId="0" applyNumberFormat="0" applyBorder="0" applyAlignment="0" applyProtection="0"/>
    <xf numFmtId="10" fontId="3" fillId="3" borderId="1" applyNumberFormat="0" applyBorder="0" applyAlignment="0" applyProtection="0"/>
    <xf numFmtId="167" fontId="4" fillId="0" borderId="0"/>
    <xf numFmtId="9" fontId="2" fillId="0" borderId="0" applyFont="0" applyFill="0" applyBorder="0" applyAlignment="0" applyProtection="0"/>
    <xf numFmtId="10" fontId="2" fillId="0" borderId="0" applyFont="0" applyFill="0" applyBorder="0" applyAlignment="0" applyProtection="0"/>
    <xf numFmtId="43" fontId="10"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cellStyleXfs>
  <cellXfs count="166">
    <xf numFmtId="0" fontId="0" fillId="0" borderId="0" xfId="0"/>
    <xf numFmtId="0" fontId="5" fillId="0" borderId="0" xfId="0" applyFont="1"/>
    <xf numFmtId="0" fontId="5" fillId="0" borderId="5" xfId="0" applyFont="1" applyBorder="1" applyAlignment="1">
      <alignment horizontal="right"/>
    </xf>
    <xf numFmtId="0" fontId="6" fillId="0" borderId="2" xfId="0" applyFont="1" applyBorder="1"/>
    <xf numFmtId="0" fontId="6" fillId="0" borderId="2" xfId="0" applyFont="1" applyBorder="1" applyAlignment="1">
      <alignment horizontal="centerContinuous"/>
    </xf>
    <xf numFmtId="0" fontId="7" fillId="0" borderId="0" xfId="0" quotePrefix="1" applyFont="1" applyBorder="1" applyAlignment="1">
      <alignment horizontal="left"/>
    </xf>
    <xf numFmtId="0" fontId="5" fillId="0" borderId="0" xfId="0" applyFont="1" applyBorder="1" applyAlignment="1">
      <alignment horizontal="right"/>
    </xf>
    <xf numFmtId="0" fontId="8" fillId="0" borderId="0" xfId="0" applyFont="1" applyAlignment="1">
      <alignment horizontal="center"/>
    </xf>
    <xf numFmtId="0" fontId="8" fillId="0" borderId="3" xfId="0" applyFont="1" applyBorder="1" applyAlignment="1">
      <alignment horizontal="center"/>
    </xf>
    <xf numFmtId="0" fontId="8" fillId="0" borderId="3" xfId="0" quotePrefix="1" applyFont="1" applyBorder="1" applyAlignment="1">
      <alignment horizontal="center"/>
    </xf>
    <xf numFmtId="0" fontId="5" fillId="0" borderId="0" xfId="0" quotePrefix="1" applyFont="1" applyBorder="1" applyAlignment="1">
      <alignment horizontal="left"/>
    </xf>
    <xf numFmtId="0" fontId="5" fillId="0" borderId="0" xfId="0" applyFont="1" applyAlignment="1">
      <alignment horizontal="center"/>
    </xf>
    <xf numFmtId="0" fontId="5" fillId="0" borderId="0" xfId="0" applyFont="1" applyBorder="1" applyAlignment="1">
      <alignment horizontal="left"/>
    </xf>
    <xf numFmtId="0" fontId="5" fillId="0" borderId="0" xfId="0" quotePrefix="1" applyFont="1" applyAlignment="1">
      <alignment horizontal="left"/>
    </xf>
    <xf numFmtId="10" fontId="9" fillId="0" borderId="0" xfId="5" applyNumberFormat="1" applyFont="1" applyBorder="1" applyAlignment="1">
      <alignment horizontal="right"/>
    </xf>
    <xf numFmtId="169" fontId="5" fillId="0" borderId="0" xfId="0" applyNumberFormat="1" applyFont="1" applyBorder="1"/>
    <xf numFmtId="0" fontId="5" fillId="0" borderId="0" xfId="0" applyFont="1" applyAlignment="1">
      <alignment horizontal="left"/>
    </xf>
    <xf numFmtId="0" fontId="5" fillId="0" borderId="0" xfId="0" applyFont="1" applyBorder="1"/>
    <xf numFmtId="0" fontId="5" fillId="0" borderId="3" xfId="0" applyFont="1" applyBorder="1"/>
    <xf numFmtId="0" fontId="8" fillId="0" borderId="0" xfId="0" quotePrefix="1" applyFont="1" applyBorder="1" applyAlignment="1">
      <alignment horizontal="left"/>
    </xf>
    <xf numFmtId="0" fontId="8" fillId="0" borderId="0" xfId="0" applyFont="1"/>
    <xf numFmtId="164" fontId="8" fillId="0" borderId="0" xfId="0" applyNumberFormat="1" applyFont="1" applyBorder="1"/>
    <xf numFmtId="0" fontId="8" fillId="0" borderId="0" xfId="0" applyFont="1" applyBorder="1"/>
    <xf numFmtId="0" fontId="7" fillId="0" borderId="0" xfId="0" quotePrefix="1" applyFont="1" applyAlignment="1">
      <alignment horizontal="left"/>
    </xf>
    <xf numFmtId="169" fontId="5" fillId="0" borderId="0" xfId="0" applyNumberFormat="1" applyFont="1" applyBorder="1" applyAlignment="1">
      <alignment horizontal="right"/>
    </xf>
    <xf numFmtId="8" fontId="5" fillId="0" borderId="0" xfId="0" applyNumberFormat="1" applyFont="1" applyBorder="1" applyAlignment="1">
      <alignment horizontal="right"/>
    </xf>
    <xf numFmtId="10" fontId="5" fillId="0" borderId="0" xfId="0" applyNumberFormat="1" applyFont="1" applyBorder="1" applyAlignment="1">
      <alignment horizontal="right"/>
    </xf>
    <xf numFmtId="0" fontId="5" fillId="0" borderId="0" xfId="0" applyFont="1" applyAlignment="1">
      <alignment horizontal="right"/>
    </xf>
    <xf numFmtId="166" fontId="5" fillId="0" borderId="0" xfId="0" applyNumberFormat="1" applyFont="1" applyBorder="1"/>
    <xf numFmtId="0" fontId="8" fillId="0" borderId="0" xfId="0" applyFont="1" applyFill="1" applyBorder="1"/>
    <xf numFmtId="0" fontId="5" fillId="0" borderId="0" xfId="0" applyFont="1" applyFill="1" applyBorder="1"/>
    <xf numFmtId="49" fontId="8" fillId="0" borderId="0" xfId="0" applyNumberFormat="1" applyFont="1" applyFill="1" applyBorder="1"/>
    <xf numFmtId="168" fontId="8" fillId="0" borderId="0" xfId="0" applyNumberFormat="1" applyFont="1" applyFill="1" applyBorder="1"/>
    <xf numFmtId="6" fontId="8" fillId="0" borderId="0" xfId="0" applyNumberFormat="1" applyFont="1" applyFill="1" applyBorder="1"/>
    <xf numFmtId="6" fontId="8" fillId="0" borderId="0" xfId="0" applyNumberFormat="1" applyFont="1"/>
    <xf numFmtId="49" fontId="8" fillId="0" borderId="0" xfId="0" applyNumberFormat="1" applyFont="1"/>
    <xf numFmtId="0" fontId="5" fillId="4" borderId="0" xfId="0" applyFont="1" applyFill="1"/>
    <xf numFmtId="10" fontId="8" fillId="4" borderId="0" xfId="0" applyNumberFormat="1" applyFont="1" applyFill="1"/>
    <xf numFmtId="0" fontId="8" fillId="0" borderId="2" xfId="0" applyFont="1" applyBorder="1" applyAlignment="1">
      <alignment horizontal="center"/>
    </xf>
    <xf numFmtId="0" fontId="8" fillId="0" borderId="0" xfId="0" applyFont="1" applyBorder="1" applyAlignment="1">
      <alignment horizontal="center"/>
    </xf>
    <xf numFmtId="6" fontId="5" fillId="0" borderId="0" xfId="0" applyNumberFormat="1" applyFont="1" applyBorder="1" applyAlignment="1">
      <alignment horizontal="right"/>
    </xf>
    <xf numFmtId="3" fontId="5" fillId="0" borderId="0" xfId="0" applyNumberFormat="1" applyFont="1" applyBorder="1"/>
    <xf numFmtId="165" fontId="5" fillId="0" borderId="0" xfId="0" applyNumberFormat="1" applyFont="1" applyBorder="1"/>
    <xf numFmtId="6" fontId="5" fillId="0" borderId="0" xfId="0" applyNumberFormat="1" applyFont="1" applyBorder="1"/>
    <xf numFmtId="6" fontId="5" fillId="0" borderId="0" xfId="0" applyNumberFormat="1" applyFont="1" applyFill="1" applyBorder="1"/>
    <xf numFmtId="0" fontId="5" fillId="0" borderId="0" xfId="0" applyFont="1" applyFill="1"/>
    <xf numFmtId="6" fontId="8" fillId="0" borderId="0" xfId="0" applyNumberFormat="1" applyFont="1" applyBorder="1"/>
    <xf numFmtId="0" fontId="5" fillId="0" borderId="4" xfId="0" applyFont="1" applyBorder="1"/>
    <xf numFmtId="10" fontId="8" fillId="0" borderId="0" xfId="0" applyNumberFormat="1" applyFont="1"/>
    <xf numFmtId="0" fontId="8" fillId="0" borderId="5" xfId="0" applyFont="1" applyBorder="1"/>
    <xf numFmtId="0" fontId="8" fillId="0" borderId="6" xfId="0" applyFont="1" applyBorder="1"/>
    <xf numFmtId="168" fontId="8" fillId="0" borderId="0" xfId="0" applyNumberFormat="1" applyFont="1" applyFill="1"/>
    <xf numFmtId="8" fontId="5" fillId="0" borderId="0" xfId="0" applyNumberFormat="1" applyFont="1"/>
    <xf numFmtId="10" fontId="5" fillId="0" borderId="0" xfId="0" applyNumberFormat="1" applyFont="1"/>
    <xf numFmtId="0" fontId="5" fillId="0" borderId="0" xfId="0" applyFont="1" applyFill="1" applyBorder="1" applyAlignment="1">
      <alignment horizontal="right"/>
    </xf>
    <xf numFmtId="0" fontId="6" fillId="5" borderId="2" xfId="0" applyFont="1" applyFill="1" applyBorder="1" applyAlignment="1">
      <alignment horizontal="center"/>
    </xf>
    <xf numFmtId="0" fontId="8" fillId="5" borderId="0" xfId="0" applyFont="1" applyFill="1" applyAlignment="1">
      <alignment horizontal="center"/>
    </xf>
    <xf numFmtId="0" fontId="5" fillId="5" borderId="0" xfId="0" applyFont="1" applyFill="1" applyAlignment="1">
      <alignment horizontal="center"/>
    </xf>
    <xf numFmtId="0" fontId="5" fillId="5" borderId="0" xfId="0" applyFont="1" applyFill="1" applyBorder="1" applyAlignment="1">
      <alignment horizontal="center"/>
    </xf>
    <xf numFmtId="0" fontId="5" fillId="5" borderId="0" xfId="0" applyFont="1" applyFill="1"/>
    <xf numFmtId="0" fontId="5" fillId="5" borderId="0" xfId="0" applyFont="1" applyFill="1" applyAlignment="1">
      <alignment horizontal="right"/>
    </xf>
    <xf numFmtId="0" fontId="5" fillId="5" borderId="0" xfId="0" applyFont="1" applyFill="1" applyBorder="1" applyAlignment="1">
      <alignment horizontal="right"/>
    </xf>
    <xf numFmtId="6" fontId="8" fillId="5" borderId="0" xfId="0" applyNumberFormat="1" applyFont="1" applyFill="1" applyAlignment="1">
      <alignment horizontal="right"/>
    </xf>
    <xf numFmtId="0" fontId="8" fillId="5" borderId="0" xfId="0" applyFont="1" applyFill="1" applyAlignment="1">
      <alignment horizontal="right"/>
    </xf>
    <xf numFmtId="9" fontId="5" fillId="0" borderId="0" xfId="5" applyNumberFormat="1" applyFont="1" applyAlignment="1">
      <alignment horizontal="right"/>
    </xf>
    <xf numFmtId="10" fontId="5" fillId="0" borderId="0" xfId="5" applyNumberFormat="1" applyFont="1" applyAlignment="1">
      <alignment horizontal="right"/>
    </xf>
    <xf numFmtId="9" fontId="5" fillId="0" borderId="0" xfId="0" applyNumberFormat="1" applyFont="1" applyAlignment="1">
      <alignment horizontal="right"/>
    </xf>
    <xf numFmtId="164" fontId="5" fillId="0" borderId="0" xfId="0" applyNumberFormat="1" applyFont="1" applyAlignment="1">
      <alignment horizontal="right"/>
    </xf>
    <xf numFmtId="9" fontId="5" fillId="0" borderId="0" xfId="5" applyFont="1" applyAlignment="1">
      <alignment horizontal="right"/>
    </xf>
    <xf numFmtId="10" fontId="5" fillId="0" borderId="0" xfId="5" applyNumberFormat="1" applyFont="1" applyBorder="1" applyAlignment="1">
      <alignment horizontal="right"/>
    </xf>
    <xf numFmtId="9" fontId="5" fillId="0" borderId="0" xfId="0" applyNumberFormat="1" applyFont="1" applyBorder="1" applyAlignment="1">
      <alignment horizontal="right"/>
    </xf>
    <xf numFmtId="164" fontId="5" fillId="0" borderId="0" xfId="0" applyNumberFormat="1" applyFont="1" applyBorder="1" applyAlignment="1">
      <alignment horizontal="right"/>
    </xf>
    <xf numFmtId="44" fontId="8" fillId="7" borderId="3" xfId="1" applyFont="1" applyFill="1" applyBorder="1" applyAlignment="1">
      <alignment horizontal="center" wrapText="1"/>
    </xf>
    <xf numFmtId="44" fontId="5" fillId="7" borderId="8" xfId="1" applyFont="1" applyFill="1" applyBorder="1"/>
    <xf numFmtId="2" fontId="5" fillId="0" borderId="8" xfId="0" applyNumberFormat="1" applyFont="1" applyBorder="1"/>
    <xf numFmtId="4" fontId="5" fillId="7" borderId="8" xfId="0" applyNumberFormat="1" applyFont="1" applyFill="1" applyBorder="1"/>
    <xf numFmtId="4" fontId="5" fillId="0" borderId="7" xfId="0" applyNumberFormat="1" applyFont="1" applyBorder="1"/>
    <xf numFmtId="44" fontId="5" fillId="7" borderId="0" xfId="1" applyFont="1" applyFill="1" applyBorder="1"/>
    <xf numFmtId="2" fontId="5" fillId="0" borderId="0" xfId="0" applyNumberFormat="1" applyFont="1" applyBorder="1"/>
    <xf numFmtId="4" fontId="5" fillId="7" borderId="0" xfId="0" applyNumberFormat="1" applyFont="1" applyFill="1" applyBorder="1"/>
    <xf numFmtId="4" fontId="5" fillId="0" borderId="9" xfId="0" applyNumberFormat="1" applyFont="1" applyBorder="1"/>
    <xf numFmtId="1" fontId="5" fillId="0" borderId="10" xfId="0" applyNumberFormat="1" applyFont="1" applyBorder="1"/>
    <xf numFmtId="1" fontId="5" fillId="0" borderId="11" xfId="0" applyNumberFormat="1" applyFont="1" applyBorder="1"/>
    <xf numFmtId="1" fontId="5" fillId="0" borderId="12" xfId="0" applyNumberFormat="1" applyFont="1" applyBorder="1"/>
    <xf numFmtId="44" fontId="5" fillId="7" borderId="3" xfId="1" applyFont="1" applyFill="1" applyBorder="1"/>
    <xf numFmtId="2" fontId="5" fillId="0" borderId="3" xfId="0" applyNumberFormat="1" applyFont="1" applyBorder="1"/>
    <xf numFmtId="4" fontId="5" fillId="7" borderId="3" xfId="0" applyNumberFormat="1" applyFont="1" applyFill="1" applyBorder="1"/>
    <xf numFmtId="4" fontId="5" fillId="0" borderId="13" xfId="0" applyNumberFormat="1" applyFont="1" applyBorder="1"/>
    <xf numFmtId="170" fontId="8" fillId="0" borderId="3" xfId="7" applyNumberFormat="1" applyFont="1" applyFill="1" applyBorder="1" applyAlignment="1">
      <alignment horizontal="center" wrapText="1"/>
    </xf>
    <xf numFmtId="0" fontId="11" fillId="0" borderId="14" xfId="0" applyFont="1" applyFill="1" applyBorder="1" applyAlignment="1">
      <alignment horizontal="centerContinuous"/>
    </xf>
    <xf numFmtId="0" fontId="5" fillId="0" borderId="0" xfId="0" applyFont="1" applyFill="1" applyBorder="1" applyAlignment="1"/>
    <xf numFmtId="0" fontId="5" fillId="0" borderId="4" xfId="0" applyFont="1" applyFill="1" applyBorder="1" applyAlignment="1"/>
    <xf numFmtId="0" fontId="11" fillId="0" borderId="14" xfId="0" applyFont="1" applyFill="1" applyBorder="1" applyAlignment="1">
      <alignment horizontal="center"/>
    </xf>
    <xf numFmtId="2" fontId="8" fillId="6" borderId="0" xfId="0" applyNumberFormat="1" applyFont="1" applyFill="1"/>
    <xf numFmtId="0" fontId="8" fillId="6" borderId="4" xfId="0" applyFont="1" applyFill="1" applyBorder="1" applyAlignment="1"/>
    <xf numFmtId="9" fontId="5" fillId="0" borderId="0" xfId="5" applyFont="1"/>
    <xf numFmtId="171" fontId="5" fillId="0" borderId="0" xfId="0" applyNumberFormat="1" applyFont="1"/>
    <xf numFmtId="171" fontId="5" fillId="0" borderId="0" xfId="0" applyNumberFormat="1" applyFont="1" applyBorder="1"/>
    <xf numFmtId="171" fontId="5" fillId="0" borderId="3" xfId="0" applyNumberFormat="1" applyFont="1" applyBorder="1"/>
    <xf numFmtId="171" fontId="8" fillId="0" borderId="0" xfId="1" applyNumberFormat="1" applyFont="1" applyBorder="1"/>
    <xf numFmtId="171" fontId="5" fillId="0" borderId="0" xfId="1" applyNumberFormat="1" applyFont="1"/>
    <xf numFmtId="0" fontId="12" fillId="0" borderId="0" xfId="0" applyFont="1"/>
    <xf numFmtId="2" fontId="5" fillId="0" borderId="0" xfId="0" applyNumberFormat="1" applyFont="1"/>
    <xf numFmtId="0" fontId="8" fillId="0" borderId="0" xfId="0" applyFont="1" applyAlignment="1">
      <alignment horizontal="center" wrapText="1"/>
    </xf>
    <xf numFmtId="0" fontId="8" fillId="0" borderId="3" xfId="0" applyFont="1" applyBorder="1" applyAlignment="1">
      <alignment horizontal="left"/>
    </xf>
    <xf numFmtId="0" fontId="8" fillId="0" borderId="2" xfId="0" applyFont="1" applyBorder="1"/>
    <xf numFmtId="171" fontId="5" fillId="0" borderId="0" xfId="1" applyNumberFormat="1" applyFont="1" applyBorder="1" applyAlignment="1">
      <alignment horizontal="right"/>
    </xf>
    <xf numFmtId="171" fontId="5" fillId="0" borderId="2" xfId="0" applyNumberFormat="1" applyFont="1" applyBorder="1"/>
    <xf numFmtId="10" fontId="5" fillId="0" borderId="0" xfId="0" applyNumberFormat="1" applyFont="1" applyAlignment="1">
      <alignment horizontal="right"/>
    </xf>
    <xf numFmtId="171" fontId="5" fillId="0" borderId="0" xfId="1" applyNumberFormat="1" applyFont="1" applyAlignment="1">
      <alignment horizontal="right"/>
    </xf>
    <xf numFmtId="171" fontId="5" fillId="0" borderId="0" xfId="0" quotePrefix="1" applyNumberFormat="1" applyFont="1"/>
    <xf numFmtId="10" fontId="5" fillId="0" borderId="0" xfId="5" applyNumberFormat="1" applyFont="1"/>
    <xf numFmtId="0" fontId="6" fillId="0" borderId="2" xfId="0" applyFont="1" applyFill="1" applyBorder="1" applyAlignment="1">
      <alignment horizontal="center"/>
    </xf>
    <xf numFmtId="0" fontId="8" fillId="0" borderId="0" xfId="0" applyFont="1" applyFill="1" applyAlignment="1">
      <alignment horizontal="center"/>
    </xf>
    <xf numFmtId="0" fontId="5" fillId="0" borderId="0" xfId="0" applyFont="1" applyFill="1" applyAlignment="1">
      <alignment horizontal="center"/>
    </xf>
    <xf numFmtId="0" fontId="5" fillId="0" borderId="0" xfId="0" applyFont="1" applyFill="1" applyBorder="1" applyAlignment="1">
      <alignment horizontal="center"/>
    </xf>
    <xf numFmtId="8" fontId="5" fillId="9" borderId="0" xfId="0" applyNumberFormat="1" applyFont="1" applyFill="1" applyBorder="1" applyAlignment="1">
      <alignment horizontal="right"/>
    </xf>
    <xf numFmtId="8" fontId="5" fillId="9" borderId="0" xfId="0" applyNumberFormat="1" applyFont="1" applyFill="1"/>
    <xf numFmtId="0" fontId="13" fillId="3" borderId="1" xfId="0" applyFont="1" applyFill="1" applyBorder="1" applyAlignment="1">
      <alignment horizontal="center" vertical="center"/>
    </xf>
    <xf numFmtId="0" fontId="13" fillId="8" borderId="10" xfId="0" quotePrefix="1" applyFont="1" applyFill="1" applyBorder="1"/>
    <xf numFmtId="0" fontId="13" fillId="3" borderId="5" xfId="0" applyFont="1" applyFill="1" applyBorder="1" applyAlignment="1">
      <alignment horizontal="center" vertical="center"/>
    </xf>
    <xf numFmtId="0" fontId="13" fillId="2" borderId="1" xfId="0" applyFont="1" applyFill="1" applyBorder="1" applyAlignment="1">
      <alignment horizontal="left" vertical="center"/>
    </xf>
    <xf numFmtId="0" fontId="13" fillId="3" borderId="13" xfId="0" applyFont="1" applyFill="1" applyBorder="1" applyAlignment="1">
      <alignment horizontal="center" vertical="center"/>
    </xf>
    <xf numFmtId="0" fontId="13" fillId="3" borderId="15" xfId="0" applyFont="1" applyFill="1" applyBorder="1" applyAlignment="1">
      <alignment horizontal="center" vertical="center"/>
    </xf>
    <xf numFmtId="0" fontId="15" fillId="10" borderId="0" xfId="8" applyFont="1" applyFill="1" applyBorder="1"/>
    <xf numFmtId="0" fontId="15" fillId="10" borderId="0" xfId="8" quotePrefix="1" applyFont="1" applyFill="1" applyBorder="1"/>
    <xf numFmtId="0" fontId="16" fillId="10" borderId="0" xfId="8" applyFont="1" applyFill="1" applyBorder="1"/>
    <xf numFmtId="0" fontId="17" fillId="10" borderId="0" xfId="8" applyFont="1" applyFill="1" applyBorder="1"/>
    <xf numFmtId="0" fontId="16" fillId="10" borderId="16" xfId="8" applyFont="1" applyFill="1" applyBorder="1"/>
    <xf numFmtId="0" fontId="17" fillId="10" borderId="16" xfId="8" applyFont="1" applyFill="1" applyBorder="1"/>
    <xf numFmtId="0" fontId="1" fillId="0" borderId="0" xfId="8"/>
    <xf numFmtId="0" fontId="18" fillId="0" borderId="17" xfId="9" applyNumberFormat="1" applyFont="1" applyFill="1" applyBorder="1" applyAlignment="1">
      <alignment vertical="top"/>
    </xf>
    <xf numFmtId="0" fontId="18" fillId="0" borderId="18" xfId="9" applyNumberFormat="1" applyFont="1" applyFill="1" applyBorder="1" applyAlignment="1">
      <alignment vertical="top"/>
    </xf>
    <xf numFmtId="0" fontId="18" fillId="0" borderId="19" xfId="9" applyNumberFormat="1" applyFont="1" applyFill="1" applyBorder="1" applyAlignment="1">
      <alignment vertical="top"/>
    </xf>
    <xf numFmtId="0" fontId="18" fillId="0" borderId="20" xfId="9" applyNumberFormat="1" applyFont="1" applyFill="1" applyBorder="1" applyAlignment="1">
      <alignment vertical="top"/>
    </xf>
    <xf numFmtId="0" fontId="18" fillId="0" borderId="21" xfId="9" applyNumberFormat="1" applyFont="1" applyFill="1" applyBorder="1" applyAlignment="1">
      <alignment horizontal="left" vertical="center"/>
    </xf>
    <xf numFmtId="0" fontId="18" fillId="0" borderId="22" xfId="9" applyNumberFormat="1" applyFont="1" applyFill="1" applyBorder="1" applyAlignment="1">
      <alignment horizontal="left" vertical="center"/>
    </xf>
    <xf numFmtId="0" fontId="18" fillId="0" borderId="23" xfId="9" applyNumberFormat="1" applyFont="1" applyFill="1" applyBorder="1" applyAlignment="1">
      <alignment horizontal="left" vertical="center"/>
    </xf>
    <xf numFmtId="0" fontId="18" fillId="0" borderId="24" xfId="9" applyNumberFormat="1" applyFont="1" applyFill="1" applyBorder="1" applyAlignment="1">
      <alignment horizontal="left" vertical="center"/>
    </xf>
    <xf numFmtId="0" fontId="18" fillId="0" borderId="25" xfId="9" applyNumberFormat="1" applyFont="1" applyFill="1" applyBorder="1" applyAlignment="1">
      <alignment horizontal="left" vertical="center"/>
    </xf>
    <xf numFmtId="0" fontId="18" fillId="0" borderId="26" xfId="9" applyNumberFormat="1" applyFont="1" applyFill="1" applyBorder="1" applyAlignment="1">
      <alignment horizontal="left" vertical="center"/>
    </xf>
    <xf numFmtId="0" fontId="18" fillId="0" borderId="27" xfId="9" applyNumberFormat="1" applyFont="1" applyFill="1" applyBorder="1" applyAlignment="1">
      <alignment horizontal="left" vertical="center"/>
    </xf>
    <xf numFmtId="0" fontId="18" fillId="0" borderId="28" xfId="9" applyNumberFormat="1" applyFont="1" applyFill="1" applyBorder="1" applyAlignment="1">
      <alignment horizontal="left" vertical="center"/>
    </xf>
    <xf numFmtId="0" fontId="18" fillId="0" borderId="29" xfId="9" applyNumberFormat="1" applyFont="1" applyFill="1" applyBorder="1" applyAlignment="1">
      <alignment horizontal="left" vertical="center"/>
    </xf>
    <xf numFmtId="0" fontId="18" fillId="0" borderId="30" xfId="9" applyNumberFormat="1" applyFont="1" applyFill="1" applyBorder="1" applyAlignment="1">
      <alignment horizontal="left" vertical="center"/>
    </xf>
    <xf numFmtId="0" fontId="18" fillId="0" borderId="31" xfId="9" applyNumberFormat="1" applyFont="1" applyFill="1" applyBorder="1" applyAlignment="1">
      <alignment horizontal="left" vertical="center"/>
    </xf>
    <xf numFmtId="0" fontId="18" fillId="0" borderId="32" xfId="9" applyNumberFormat="1" applyFont="1" applyFill="1" applyBorder="1" applyAlignment="1">
      <alignment horizontal="left" vertical="center"/>
    </xf>
    <xf numFmtId="0" fontId="18" fillId="0" borderId="33" xfId="9" applyNumberFormat="1" applyFont="1" applyFill="1" applyBorder="1" applyAlignment="1">
      <alignment horizontal="left" vertical="center"/>
    </xf>
    <xf numFmtId="0" fontId="18" fillId="0" borderId="34" xfId="9" applyNumberFormat="1" applyFont="1" applyFill="1" applyBorder="1" applyAlignment="1">
      <alignment horizontal="left" vertical="center"/>
    </xf>
    <xf numFmtId="0" fontId="18" fillId="0" borderId="35" xfId="9" applyNumberFormat="1" applyFont="1" applyFill="1" applyBorder="1" applyAlignment="1">
      <alignment horizontal="left" vertical="center"/>
    </xf>
    <xf numFmtId="0" fontId="18" fillId="0" borderId="36" xfId="9" applyNumberFormat="1" applyFont="1" applyFill="1" applyBorder="1" applyAlignment="1">
      <alignment horizontal="left" vertical="center"/>
    </xf>
    <xf numFmtId="0" fontId="18" fillId="0" borderId="37" xfId="9" applyNumberFormat="1" applyFont="1" applyFill="1" applyBorder="1" applyAlignment="1">
      <alignment horizontal="left" vertical="center"/>
    </xf>
    <xf numFmtId="0" fontId="18" fillId="0" borderId="38" xfId="9" applyNumberFormat="1" applyFont="1" applyFill="1" applyBorder="1" applyAlignment="1">
      <alignment horizontal="left" vertical="center"/>
    </xf>
    <xf numFmtId="0" fontId="18" fillId="0" borderId="39" xfId="9" applyNumberFormat="1" applyFont="1" applyFill="1" applyBorder="1" applyAlignment="1">
      <alignment horizontal="left" vertical="center"/>
    </xf>
    <xf numFmtId="0" fontId="18" fillId="0" borderId="40" xfId="9" applyNumberFormat="1" applyFont="1" applyFill="1" applyBorder="1" applyAlignment="1">
      <alignment horizontal="left" vertical="center"/>
    </xf>
    <xf numFmtId="0" fontId="19" fillId="0" borderId="0" xfId="8" applyFont="1"/>
    <xf numFmtId="171" fontId="5" fillId="0" borderId="1" xfId="9" applyNumberFormat="1" applyFont="1" applyFill="1" applyBorder="1" applyAlignment="1">
      <alignment horizontal="right" vertical="center"/>
    </xf>
    <xf numFmtId="0" fontId="5" fillId="0" borderId="1" xfId="9" applyNumberFormat="1" applyFont="1" applyFill="1" applyBorder="1" applyAlignment="1">
      <alignment horizontal="left" vertical="center"/>
    </xf>
    <xf numFmtId="172" fontId="5" fillId="0" borderId="1" xfId="9" applyNumberFormat="1" applyFont="1" applyFill="1" applyBorder="1" applyAlignment="1">
      <alignment horizontal="right" vertical="center"/>
    </xf>
    <xf numFmtId="171" fontId="5" fillId="0" borderId="1" xfId="10" applyNumberFormat="1" applyFont="1" applyFill="1" applyBorder="1" applyAlignment="1">
      <alignment horizontal="right" vertical="center"/>
    </xf>
    <xf numFmtId="0" fontId="5" fillId="0" borderId="1" xfId="9" applyNumberFormat="1" applyFont="1" applyFill="1" applyBorder="1" applyAlignment="1">
      <alignment horizontal="left" vertical="center" wrapText="1"/>
    </xf>
    <xf numFmtId="0" fontId="5" fillId="0" borderId="1" xfId="9" applyNumberFormat="1" applyFont="1" applyFill="1" applyBorder="1" applyAlignment="1">
      <alignment horizontal="center" vertical="center" wrapText="1"/>
    </xf>
    <xf numFmtId="0" fontId="5" fillId="0" borderId="23" xfId="9" applyNumberFormat="1" applyFont="1" applyFill="1" applyBorder="1" applyAlignment="1">
      <alignment horizontal="left" vertical="center"/>
    </xf>
    <xf numFmtId="0" fontId="5" fillId="0" borderId="21" xfId="9" applyNumberFormat="1" applyFont="1" applyFill="1" applyBorder="1" applyAlignment="1">
      <alignment horizontal="left" vertical="center"/>
    </xf>
    <xf numFmtId="10" fontId="5" fillId="0" borderId="1" xfId="5" applyNumberFormat="1" applyFont="1" applyFill="1" applyBorder="1" applyAlignment="1">
      <alignment horizontal="right" vertical="center"/>
    </xf>
    <xf numFmtId="0" fontId="8" fillId="0" borderId="2" xfId="0" quotePrefix="1" applyFont="1" applyBorder="1" applyAlignment="1">
      <alignment horizontal="center"/>
    </xf>
  </cellXfs>
  <cellStyles count="11">
    <cellStyle name="Comma" xfId="7" builtinId="3"/>
    <cellStyle name="Comma 2" xfId="9"/>
    <cellStyle name="Currency" xfId="1" builtinId="4"/>
    <cellStyle name="Currency 2" xfId="10"/>
    <cellStyle name="Grey" xfId="2"/>
    <cellStyle name="Input [yellow]" xfId="3"/>
    <cellStyle name="Normal" xfId="0" builtinId="0"/>
    <cellStyle name="Normal - Style1" xfId="4"/>
    <cellStyle name="Normal 2" xfId="8"/>
    <cellStyle name="Percent" xfId="5" builtinId="5"/>
    <cellStyle name="Percent [2]"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'NPV Profiles'!$B$2</c:f>
              <c:strCache>
                <c:ptCount val="1"/>
                <c:pt idx="0">
                  <c:v>NPV Rapid Bounce</c:v>
                </c:pt>
              </c:strCache>
            </c:strRef>
          </c:tx>
          <c:marker>
            <c:symbol val="none"/>
          </c:marker>
          <c:xVal>
            <c:numRef>
              <c:f>'NPV Profiles'!$A$3:$A$42</c:f>
              <c:numCache>
                <c:formatCode>0%</c:formatCode>
                <c:ptCount val="4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numCache>
            </c:numRef>
          </c:xVal>
          <c:yVal>
            <c:numRef>
              <c:f>'NPV Profiles'!$B$3:$B$42</c:f>
              <c:numCache>
                <c:formatCode>"$"#,##0.00</c:formatCode>
                <c:ptCount val="40"/>
                <c:pt idx="0">
                  <c:v>55.74515745311146</c:v>
                </c:pt>
                <c:pt idx="1">
                  <c:v>50.854858942919947</c:v>
                </c:pt>
                <c:pt idx="2">
                  <c:v>46.131717390618348</c:v>
                </c:pt>
                <c:pt idx="3">
                  <c:v>41.568288672317863</c:v>
                </c:pt>
                <c:pt idx="4">
                  <c:v>37.157532110224082</c:v>
                </c:pt>
                <c:pt idx="5">
                  <c:v>32.89278487366937</c:v>
                </c:pt>
                <c:pt idx="6">
                  <c:v>28.767738233758479</c:v>
                </c:pt>
                <c:pt idx="7">
                  <c:v>24.776415521244672</c:v>
                </c:pt>
                <c:pt idx="8">
                  <c:v>20.913151650733795</c:v>
                </c:pt>
                <c:pt idx="9">
                  <c:v>17.172574086474953</c:v>
                </c:pt>
                <c:pt idx="10">
                  <c:v>13.549585135974667</c:v>
                </c:pt>
                <c:pt idx="11">
                  <c:v>10.039345467595581</c:v>
                </c:pt>
                <c:pt idx="12">
                  <c:v>6.6372587572766975</c:v>
                </c:pt>
                <c:pt idx="13">
                  <c:v>3.3389573776399004</c:v>
                </c:pt>
                <c:pt idx="14">
                  <c:v>0.14028905011801385</c:v>
                </c:pt>
                <c:pt idx="15">
                  <c:v>-2.9626956125851791</c:v>
                </c:pt>
                <c:pt idx="16">
                  <c:v>-5.9737547403160249</c:v>
                </c:pt>
                <c:pt idx="17">
                  <c:v>-8.8964660766812642</c:v>
                </c:pt>
                <c:pt idx="18">
                  <c:v>-11.734237143736436</c:v>
                </c:pt>
                <c:pt idx="19">
                  <c:v>-14.490314751679279</c:v>
                </c:pt>
                <c:pt idx="20">
                  <c:v>-17.167793900916649</c:v>
                </c:pt>
                <c:pt idx="21">
                  <c:v>-19.769626120083728</c:v>
                </c:pt>
                <c:pt idx="22">
                  <c:v>-22.298627280134383</c:v>
                </c:pt>
                <c:pt idx="23">
                  <c:v>-24.757484921464226</c:v>
                </c:pt>
                <c:pt idx="24">
                  <c:v>-27.148765128141719</c:v>
                </c:pt>
                <c:pt idx="25">
                  <c:v>-29.474918980682531</c:v>
                </c:pt>
                <c:pt idx="26">
                  <c:v>-31.738288616387564</c:v>
                </c:pt>
                <c:pt idx="27">
                  <c:v>-33.941112924052163</c:v>
                </c:pt>
                <c:pt idx="28">
                  <c:v>-36.085532897826283</c:v>
                </c:pt>
                <c:pt idx="29">
                  <c:v>-38.173596673146037</c:v>
                </c:pt>
                <c:pt idx="30">
                  <c:v>-40.207264265949107</c:v>
                </c:pt>
                <c:pt idx="31">
                  <c:v>-42.188412034820388</c:v>
                </c:pt>
                <c:pt idx="32">
                  <c:v>-44.118836884271502</c:v>
                </c:pt>
                <c:pt idx="33">
                  <c:v>-46.000260226034229</c:v>
                </c:pt>
                <c:pt idx="34">
                  <c:v>-47.834331714028082</c:v>
                </c:pt>
                <c:pt idx="35">
                  <c:v>-49.622632767538661</c:v>
                </c:pt>
                <c:pt idx="36">
                  <c:v>-51.366679896109872</c:v>
                </c:pt>
                <c:pt idx="37">
                  <c:v>-53.067927838697614</c:v>
                </c:pt>
                <c:pt idx="38">
                  <c:v>-54.72777252875477</c:v>
                </c:pt>
                <c:pt idx="39">
                  <c:v>-56.347553896101232</c:v>
                </c:pt>
              </c:numCache>
            </c:numRef>
          </c:yVal>
          <c:smooth val="1"/>
        </c:ser>
        <c:ser>
          <c:idx val="1"/>
          <c:order val="1"/>
          <c:tx>
            <c:strRef>
              <c:f>'NPV Profiles'!$C$2</c:f>
              <c:strCache>
                <c:ptCount val="1"/>
                <c:pt idx="0">
                  <c:v>NPV Persistence</c:v>
                </c:pt>
              </c:strCache>
            </c:strRef>
          </c:tx>
          <c:spPr>
            <a:ln>
              <a:prstDash val="dash"/>
            </a:ln>
          </c:spPr>
          <c:marker>
            <c:symbol val="none"/>
          </c:marker>
          <c:xVal>
            <c:numRef>
              <c:f>'NPV Profiles'!$A$3:$A$42</c:f>
              <c:numCache>
                <c:formatCode>0%</c:formatCode>
                <c:ptCount val="4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numCache>
            </c:numRef>
          </c:xVal>
          <c:yVal>
            <c:numRef>
              <c:f>'NPV Profiles'!$C$3:$C$42</c:f>
              <c:numCache>
                <c:formatCode>"$"#,##0.00</c:formatCode>
                <c:ptCount val="40"/>
                <c:pt idx="0">
                  <c:v>21.073562094960579</c:v>
                </c:pt>
                <c:pt idx="1">
                  <c:v>19.360036298256318</c:v>
                </c:pt>
                <c:pt idx="2">
                  <c:v>17.706111316001142</c:v>
                </c:pt>
                <c:pt idx="3">
                  <c:v>16.109102611515681</c:v>
                </c:pt>
                <c:pt idx="4">
                  <c:v>14.566472303206993</c:v>
                </c:pt>
                <c:pt idx="5">
                  <c:v>13.075819804267937</c:v>
                </c:pt>
                <c:pt idx="6">
                  <c:v>11.634873143228432</c:v>
                </c:pt>
                <c:pt idx="7">
                  <c:v>10.241480909922245</c:v>
                </c:pt>
                <c:pt idx="8">
                  <c:v>8.8936047764181154</c:v>
                </c:pt>
                <c:pt idx="9">
                  <c:v>7.589312546957153</c:v>
                </c:pt>
                <c:pt idx="10">
                  <c:v>6.3267716949966655</c:v>
                </c:pt>
                <c:pt idx="11">
                  <c:v>5.1042433491253476</c:v>
                </c:pt>
                <c:pt idx="12">
                  <c:v>3.9200766929309694</c:v>
                </c:pt>
                <c:pt idx="13">
                  <c:v>2.7727037469018612</c:v>
                </c:pt>
                <c:pt idx="14">
                  <c:v>1.6606345031643102</c:v>
                </c:pt>
                <c:pt idx="15">
                  <c:v>0.58245238632169816</c:v>
                </c:pt>
                <c:pt idx="16">
                  <c:v>-0.46318998409727641</c:v>
                </c:pt>
                <c:pt idx="17">
                  <c:v>-1.477574752043779</c:v>
                </c:pt>
                <c:pt idx="18">
                  <c:v>-2.4619225248181351</c:v>
                </c:pt>
                <c:pt idx="19">
                  <c:v>-3.4173958333333374</c:v>
                </c:pt>
                <c:pt idx="20">
                  <c:v>-4.3451023701695917</c:v>
                </c:pt>
                <c:pt idx="21">
                  <c:v>-5.2460980214202948</c:v>
                </c:pt>
                <c:pt idx="22">
                  <c:v>-6.1213897070559042</c:v>
                </c:pt>
                <c:pt idx="23">
                  <c:v>-6.9719380433688087</c:v>
                </c:pt>
                <c:pt idx="24">
                  <c:v>-7.7986598400000062</c:v>
                </c:pt>
                <c:pt idx="25">
                  <c:v>-8.6024304430767131</c:v>
                </c:pt>
                <c:pt idx="26">
                  <c:v>-9.3840859351010124</c:v>
                </c:pt>
                <c:pt idx="27">
                  <c:v>-10.14442520141602</c:v>
                </c:pt>
                <c:pt idx="28">
                  <c:v>-10.884211872329907</c:v>
                </c:pt>
                <c:pt idx="29">
                  <c:v>-11.604176149294496</c:v>
                </c:pt>
                <c:pt idx="30">
                  <c:v>-12.305016522907664</c:v>
                </c:pt>
                <c:pt idx="31">
                  <c:v>-12.987401389932387</c:v>
                </c:pt>
                <c:pt idx="32">
                  <c:v>-13.651970575996216</c:v>
                </c:pt>
                <c:pt idx="33">
                  <c:v>-14.299336770147931</c:v>
                </c:pt>
                <c:pt idx="34">
                  <c:v>-14.93008687700047</c:v>
                </c:pt>
                <c:pt idx="35">
                  <c:v>-15.544783291776916</c:v>
                </c:pt>
                <c:pt idx="36">
                  <c:v>-16.143965103196656</c:v>
                </c:pt>
                <c:pt idx="37">
                  <c:v>-16.728149228788247</c:v>
                </c:pt>
                <c:pt idx="38">
                  <c:v>-17.29783148689372</c:v>
                </c:pt>
                <c:pt idx="39">
                  <c:v>-17.853487609329441</c:v>
                </c:pt>
              </c:numCache>
            </c:numRef>
          </c:yVal>
          <c:smooth val="1"/>
        </c:ser>
        <c:axId val="156015232"/>
        <c:axId val="176923776"/>
      </c:scatterChart>
      <c:valAx>
        <c:axId val="156015232"/>
        <c:scaling>
          <c:orientation val="minMax"/>
          <c:max val="0.41000000000000031"/>
          <c:min val="0"/>
        </c:scaling>
        <c:axPos val="b"/>
        <c:title>
          <c:tx>
            <c:rich>
              <a:bodyPr/>
              <a:lstStyle/>
              <a:p>
                <a:pPr>
                  <a:defRPr/>
                </a:pPr>
                <a:r>
                  <a:rPr lang="en-US"/>
                  <a:t>Cost of capital</a:t>
                </a:r>
              </a:p>
            </c:rich>
          </c:tx>
        </c:title>
        <c:numFmt formatCode="0%" sourceLinked="1"/>
        <c:minorTickMark val="out"/>
        <c:tickLblPos val="nextTo"/>
        <c:crossAx val="176923776"/>
        <c:crosses val="autoZero"/>
        <c:crossBetween val="midCat"/>
      </c:valAx>
      <c:valAx>
        <c:axId val="176923776"/>
        <c:scaling>
          <c:orientation val="minMax"/>
        </c:scaling>
        <c:axPos val="l"/>
        <c:title>
          <c:tx>
            <c:rich>
              <a:bodyPr rot="-5400000" vert="horz"/>
              <a:lstStyle/>
              <a:p>
                <a:pPr>
                  <a:defRPr/>
                </a:pPr>
                <a:r>
                  <a:rPr lang="en-US"/>
                  <a:t>NPV</a:t>
                </a:r>
              </a:p>
            </c:rich>
          </c:tx>
        </c:title>
        <c:numFmt formatCode="&quot;$&quot;#,##0.00" sourceLinked="1"/>
        <c:tickLblPos val="nextTo"/>
        <c:crossAx val="156015232"/>
        <c:crosses val="autoZero"/>
        <c:crossBetween val="midCat"/>
      </c:valAx>
    </c:plotArea>
    <c:legend>
      <c:legendPos val="t"/>
    </c:legend>
    <c:plotVisOnly val="1"/>
  </c:chart>
  <c:spPr>
    <a:ln>
      <a:noFill/>
    </a:ln>
  </c:spPr>
  <c:printSettings>
    <c:headerFooter/>
    <c:pageMargins b="0.75000000000000111" l="0.70000000000000062" r="0.70000000000000062" t="0.75000000000000111"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Market Size ($ billions)</a:t>
            </a:r>
          </a:p>
        </c:rich>
      </c:tx>
    </c:title>
    <c:plotArea>
      <c:layout/>
      <c:scatterChart>
        <c:scatterStyle val="lineMarker"/>
        <c:ser>
          <c:idx val="0"/>
          <c:order val="0"/>
          <c:tx>
            <c:strRef>
              <c:f>'Market Size Data'!$B$3</c:f>
              <c:strCache>
                <c:ptCount val="1"/>
                <c:pt idx="0">
                  <c:v>Market Size           ($ billions)</c:v>
                </c:pt>
              </c:strCache>
            </c:strRef>
          </c:tx>
          <c:spPr>
            <a:ln w="28575">
              <a:noFill/>
            </a:ln>
          </c:spPr>
          <c:xVal>
            <c:numRef>
              <c:f>'Market Size Data'!$A$4:$A$23</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'Market Size Data'!$B$4:$B$23</c:f>
              <c:numCache>
                <c:formatCode>0.00</c:formatCode>
                <c:ptCount val="20"/>
                <c:pt idx="0">
                  <c:v>11.441051325939585</c:v>
                </c:pt>
                <c:pt idx="1">
                  <c:v>11.724532781498336</c:v>
                </c:pt>
                <c:pt idx="2">
                  <c:v>13.846681377744401</c:v>
                </c:pt>
                <c:pt idx="3">
                  <c:v>13.683507553019471</c:v>
                </c:pt>
                <c:pt idx="4">
                  <c:v>12.229692030809803</c:v>
                </c:pt>
                <c:pt idx="5">
                  <c:v>12.012416364595451</c:v>
                </c:pt>
                <c:pt idx="6">
                  <c:v>13.924914122346042</c:v>
                </c:pt>
                <c:pt idx="7">
                  <c:v>13.246810273044353</c:v>
                </c:pt>
                <c:pt idx="8">
                  <c:v>15.60547837744638</c:v>
                </c:pt>
                <c:pt idx="9">
                  <c:v>14.639534831083369</c:v>
                </c:pt>
                <c:pt idx="10">
                  <c:v>16.114646351467577</c:v>
                </c:pt>
                <c:pt idx="11">
                  <c:v>15.066951017752604</c:v>
                </c:pt>
                <c:pt idx="12">
                  <c:v>17.162205027298267</c:v>
                </c:pt>
                <c:pt idx="13">
                  <c:v>16.365823251022135</c:v>
                </c:pt>
                <c:pt idx="14">
                  <c:v>17.820410648632766</c:v>
                </c:pt>
                <c:pt idx="15">
                  <c:v>18.083720473884309</c:v>
                </c:pt>
                <c:pt idx="16" formatCode="General">
                  <c:v>17.649999999999999</c:v>
                </c:pt>
                <c:pt idx="17">
                  <c:v>16.122834830837078</c:v>
                </c:pt>
                <c:pt idx="18">
                  <c:v>15.87</c:v>
                </c:pt>
                <c:pt idx="19">
                  <c:v>17.21</c:v>
                </c:pt>
              </c:numCache>
            </c:numRef>
          </c:yVal>
        </c:ser>
        <c:axId val="178722304"/>
        <c:axId val="178724224"/>
      </c:scatterChart>
      <c:valAx>
        <c:axId val="178722304"/>
        <c:scaling>
          <c:orientation val="minMax"/>
        </c:scaling>
        <c:axPos val="b"/>
        <c:numFmt formatCode="General" sourceLinked="1"/>
        <c:tickLblPos val="nextTo"/>
        <c:crossAx val="178724224"/>
        <c:crosses val="autoZero"/>
        <c:crossBetween val="midCat"/>
      </c:valAx>
      <c:valAx>
        <c:axId val="178724224"/>
        <c:scaling>
          <c:orientation val="minMax"/>
        </c:scaling>
        <c:axPos val="l"/>
        <c:majorGridlines/>
        <c:numFmt formatCode="0.00" sourceLinked="1"/>
        <c:tickLblPos val="nextTo"/>
        <c:crossAx val="178722304"/>
        <c:crosses val="autoZero"/>
        <c:crossBetween val="midCat"/>
      </c:valAx>
    </c:plotArea>
    <c:plotVisOnly val="1"/>
  </c:chart>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336550</xdr:colOff>
      <xdr:row>1</xdr:row>
      <xdr:rowOff>0</xdr:rowOff>
    </xdr:from>
    <xdr:to>
      <xdr:col>11</xdr:col>
      <xdr:colOff>31750</xdr:colOff>
      <xdr:row>17</xdr:row>
      <xdr:rowOff>101600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107950</xdr:colOff>
      <xdr:row>22</xdr:row>
      <xdr:rowOff>76200</xdr:rowOff>
    </xdr:from>
    <xdr:to>
      <xdr:col>8</xdr:col>
      <xdr:colOff>6350</xdr:colOff>
      <xdr:row>35</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2.5"/>
  <sheetData/>
  <phoneticPr fontId="0" type="noConversion"/>
  <pageMargins left="0.75" right="0.75" top="1" bottom="1" header="0.5" footer="0.5"/>
  <pageSetup orientation="portrait" horizontalDpi="300" verticalDpi="3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5"/>
  <sheetData/>
  <phoneticPr fontId="0" type="noConversion"/>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dimension ref="A1:M275"/>
  <sheetViews>
    <sheetView tabSelected="1" zoomScale="85" zoomScaleNormal="85" workbookViewId="0">
      <selection activeCell="I5" sqref="I5"/>
    </sheetView>
  </sheetViews>
  <sheetFormatPr defaultRowHeight="13"/>
  <cols>
    <col min="1" max="1" width="8.7265625" style="1"/>
    <col min="2" max="2" width="8.7265625" style="45"/>
    <col min="3" max="3" width="8.7265625" style="1"/>
    <col min="4" max="4" width="8.7265625" style="45"/>
    <col min="5" max="6" width="8.7265625" style="1"/>
    <col min="7" max="7" width="16.54296875" style="1" customWidth="1"/>
    <col min="8" max="8" width="10.81640625" style="1" bestFit="1" customWidth="1"/>
    <col min="9" max="9" width="12.1796875" style="1" bestFit="1" customWidth="1"/>
    <col min="10" max="11" width="8.7265625" style="1"/>
    <col min="12" max="12" width="12.453125" style="1" bestFit="1" customWidth="1"/>
    <col min="13" max="16384" width="8.7265625" style="1"/>
  </cols>
  <sheetData>
    <row r="1" spans="1:12" ht="39">
      <c r="A1" s="8" t="s">
        <v>70</v>
      </c>
      <c r="B1" s="72" t="s">
        <v>71</v>
      </c>
      <c r="C1" s="88" t="s">
        <v>66</v>
      </c>
      <c r="D1" s="72" t="s">
        <v>67</v>
      </c>
      <c r="E1" s="88" t="s">
        <v>68</v>
      </c>
      <c r="G1" s="20" t="s">
        <v>69</v>
      </c>
    </row>
    <row r="2" spans="1:12">
      <c r="A2" s="81">
        <v>1</v>
      </c>
      <c r="B2" s="73">
        <v>28.06</v>
      </c>
      <c r="C2" s="74">
        <v>636.11</v>
      </c>
      <c r="D2" s="75">
        <f>(B3-B2)/B2</f>
        <v>-4.240912330719878E-2</v>
      </c>
      <c r="E2" s="76">
        <f>(C3-C2)/C2</f>
        <v>1.7968590338148984E-2</v>
      </c>
      <c r="G2" s="93">
        <f>COVAR(D2:D274,E2:E274)/(STDEV(E2:E274))^2</f>
        <v>1.0798279429614106</v>
      </c>
    </row>
    <row r="3" spans="1:12">
      <c r="A3" s="82">
        <v>2</v>
      </c>
      <c r="B3" s="77">
        <v>26.87</v>
      </c>
      <c r="C3" s="78">
        <v>647.54</v>
      </c>
      <c r="D3" s="79">
        <f t="shared" ref="D3:D66" si="0">(B4-B3)/B3</f>
        <v>-0.13397841458876075</v>
      </c>
      <c r="E3" s="80">
        <f t="shared" ref="E3:E66" si="1">(C4-C3)/C3</f>
        <v>-3.9333477468573241E-2</v>
      </c>
    </row>
    <row r="4" spans="1:12">
      <c r="A4" s="82">
        <v>3</v>
      </c>
      <c r="B4" s="77">
        <v>23.27</v>
      </c>
      <c r="C4" s="78">
        <v>622.07000000000005</v>
      </c>
      <c r="D4" s="79">
        <f t="shared" si="0"/>
        <v>-8.2939406961753323E-2</v>
      </c>
      <c r="E4" s="80">
        <f t="shared" si="1"/>
        <v>-2.1299853714212225E-2</v>
      </c>
      <c r="G4" s="20" t="s">
        <v>72</v>
      </c>
    </row>
    <row r="5" spans="1:12">
      <c r="A5" s="82">
        <v>4</v>
      </c>
      <c r="B5" s="77">
        <v>21.34</v>
      </c>
      <c r="C5" s="78">
        <v>608.82000000000005</v>
      </c>
      <c r="D5" s="79">
        <f t="shared" si="0"/>
        <v>-6.1387066541705657E-2</v>
      </c>
      <c r="E5" s="80">
        <f t="shared" si="1"/>
        <v>-2.4637823987385433E-2</v>
      </c>
      <c r="G5" s="1" t="s">
        <v>73</v>
      </c>
    </row>
    <row r="6" spans="1:12" ht="13.5" thickBot="1">
      <c r="A6" s="82">
        <v>5</v>
      </c>
      <c r="B6" s="77">
        <v>20.03</v>
      </c>
      <c r="C6" s="78">
        <v>593.82000000000005</v>
      </c>
      <c r="D6" s="79">
        <f t="shared" si="0"/>
        <v>-6.19071392910635E-2</v>
      </c>
      <c r="E6" s="80">
        <f t="shared" si="1"/>
        <v>-2.4923377454447587E-2</v>
      </c>
    </row>
    <row r="7" spans="1:12">
      <c r="A7" s="82">
        <v>6</v>
      </c>
      <c r="B7" s="77">
        <v>18.79</v>
      </c>
      <c r="C7" s="78">
        <v>579.02</v>
      </c>
      <c r="D7" s="79">
        <f t="shared" si="0"/>
        <v>-7.610431080361893E-2</v>
      </c>
      <c r="E7" s="80">
        <f t="shared" si="1"/>
        <v>9.8096784221616933E-3</v>
      </c>
      <c r="G7" s="89" t="s">
        <v>74</v>
      </c>
      <c r="H7" s="89"/>
    </row>
    <row r="8" spans="1:12">
      <c r="A8" s="82">
        <v>7</v>
      </c>
      <c r="B8" s="77">
        <v>17.36</v>
      </c>
      <c r="C8" s="78">
        <v>584.70000000000005</v>
      </c>
      <c r="D8" s="79">
        <f t="shared" si="0"/>
        <v>-7.5460829493087481E-2</v>
      </c>
      <c r="E8" s="80">
        <f t="shared" si="1"/>
        <v>-5.7174619462972566E-2</v>
      </c>
      <c r="G8" s="90" t="s">
        <v>75</v>
      </c>
      <c r="H8" s="90">
        <v>0.40732067757103274</v>
      </c>
    </row>
    <row r="9" spans="1:12">
      <c r="A9" s="82">
        <v>8</v>
      </c>
      <c r="B9" s="77">
        <v>16.05</v>
      </c>
      <c r="C9" s="78">
        <v>551.27</v>
      </c>
      <c r="D9" s="79">
        <f t="shared" si="0"/>
        <v>0</v>
      </c>
      <c r="E9" s="80">
        <f t="shared" si="1"/>
        <v>-5.0936927458414077E-2</v>
      </c>
      <c r="G9" s="90" t="s">
        <v>76</v>
      </c>
      <c r="H9" s="90">
        <v>0.16591013437692523</v>
      </c>
    </row>
    <row r="10" spans="1:12">
      <c r="A10" s="82">
        <v>9</v>
      </c>
      <c r="B10" s="77">
        <v>16.05</v>
      </c>
      <c r="C10" s="78">
        <v>523.19000000000005</v>
      </c>
      <c r="D10" s="79">
        <f t="shared" si="0"/>
        <v>-5.0467289719626197E-2</v>
      </c>
      <c r="E10" s="80">
        <f t="shared" si="1"/>
        <v>3.3544219117337779E-2</v>
      </c>
      <c r="G10" s="90" t="s">
        <v>77</v>
      </c>
      <c r="H10" s="90">
        <v>0.16283231199455225</v>
      </c>
    </row>
    <row r="11" spans="1:12">
      <c r="A11" s="82">
        <v>10</v>
      </c>
      <c r="B11" s="77">
        <v>15.24</v>
      </c>
      <c r="C11" s="78">
        <v>540.74</v>
      </c>
      <c r="D11" s="79">
        <f t="shared" si="0"/>
        <v>-8.5958005249343869E-2</v>
      </c>
      <c r="E11" s="80">
        <f t="shared" si="1"/>
        <v>1.6902762880497069E-2</v>
      </c>
      <c r="G11" s="90" t="s">
        <v>78</v>
      </c>
      <c r="H11" s="90">
        <v>7.0130862115648326E-2</v>
      </c>
    </row>
    <row r="12" spans="1:12" ht="13.5" thickBot="1">
      <c r="A12" s="82">
        <v>11</v>
      </c>
      <c r="B12" s="77">
        <v>13.93</v>
      </c>
      <c r="C12" s="78">
        <v>549.88</v>
      </c>
      <c r="D12" s="79">
        <f t="shared" si="0"/>
        <v>1.3639626704953303E-2</v>
      </c>
      <c r="E12" s="80">
        <f t="shared" si="1"/>
        <v>2.2241216265367021E-2</v>
      </c>
      <c r="G12" s="91" t="s">
        <v>79</v>
      </c>
      <c r="H12" s="91">
        <v>273</v>
      </c>
    </row>
    <row r="13" spans="1:12">
      <c r="A13" s="82">
        <v>12</v>
      </c>
      <c r="B13" s="77">
        <v>14.12</v>
      </c>
      <c r="C13" s="78">
        <v>562.11</v>
      </c>
      <c r="D13" s="79">
        <f t="shared" si="0"/>
        <v>-0.10552407932011321</v>
      </c>
      <c r="E13" s="80">
        <f t="shared" si="1"/>
        <v>-4.1290850545267002E-2</v>
      </c>
    </row>
    <row r="14" spans="1:12" ht="13.5" thickBot="1">
      <c r="A14" s="82">
        <v>13</v>
      </c>
      <c r="B14" s="77">
        <v>12.63</v>
      </c>
      <c r="C14" s="78">
        <v>538.9</v>
      </c>
      <c r="D14" s="79">
        <f t="shared" si="0"/>
        <v>4.9089469517022893E-2</v>
      </c>
      <c r="E14" s="80">
        <f t="shared" si="1"/>
        <v>-2.9949897940248632E-2</v>
      </c>
      <c r="G14" s="1" t="s">
        <v>80</v>
      </c>
    </row>
    <row r="15" spans="1:12">
      <c r="A15" s="82">
        <v>14</v>
      </c>
      <c r="B15" s="77">
        <v>13.25</v>
      </c>
      <c r="C15" s="78">
        <v>522.76</v>
      </c>
      <c r="D15" s="79">
        <f t="shared" si="0"/>
        <v>0.12226415094339617</v>
      </c>
      <c r="E15" s="80">
        <f t="shared" si="1"/>
        <v>7.5828295967556789E-2</v>
      </c>
      <c r="G15" s="92"/>
      <c r="H15" s="92" t="s">
        <v>85</v>
      </c>
      <c r="I15" s="92" t="s">
        <v>86</v>
      </c>
      <c r="J15" s="92" t="s">
        <v>87</v>
      </c>
      <c r="K15" s="92" t="s">
        <v>88</v>
      </c>
      <c r="L15" s="92" t="s">
        <v>89</v>
      </c>
    </row>
    <row r="16" spans="1:12">
      <c r="A16" s="82">
        <v>15</v>
      </c>
      <c r="B16" s="77">
        <v>14.87</v>
      </c>
      <c r="C16" s="78">
        <v>562.4</v>
      </c>
      <c r="D16" s="79">
        <f t="shared" si="0"/>
        <v>4.9764626765299275E-2</v>
      </c>
      <c r="E16" s="80">
        <f t="shared" si="1"/>
        <v>2.0288051209103784E-2</v>
      </c>
      <c r="G16" s="90" t="s">
        <v>81</v>
      </c>
      <c r="H16" s="90">
        <v>1</v>
      </c>
      <c r="I16" s="90">
        <v>0.26512319017514052</v>
      </c>
      <c r="J16" s="90">
        <v>0.26512319017514052</v>
      </c>
      <c r="K16" s="90">
        <v>53.905038616624196</v>
      </c>
      <c r="L16" s="90">
        <v>2.4648873721562501E-12</v>
      </c>
    </row>
    <row r="17" spans="1:13">
      <c r="A17" s="82">
        <v>16</v>
      </c>
      <c r="B17" s="77">
        <v>15.61</v>
      </c>
      <c r="C17" s="78">
        <v>573.80999999999995</v>
      </c>
      <c r="D17" s="79">
        <f t="shared" si="0"/>
        <v>6.0217809096732945E-2</v>
      </c>
      <c r="E17" s="80">
        <f t="shared" si="1"/>
        <v>2.835433331590613E-2</v>
      </c>
      <c r="G17" s="90" t="s">
        <v>82</v>
      </c>
      <c r="H17" s="90">
        <v>271</v>
      </c>
      <c r="I17" s="90">
        <v>1.332869549513785</v>
      </c>
      <c r="J17" s="90">
        <v>4.9183378210840775E-3</v>
      </c>
      <c r="K17" s="90"/>
      <c r="L17" s="90"/>
    </row>
    <row r="18" spans="1:13" ht="13.5" thickBot="1">
      <c r="A18" s="82">
        <v>17</v>
      </c>
      <c r="B18" s="77">
        <v>16.55</v>
      </c>
      <c r="C18" s="78">
        <v>590.08000000000004</v>
      </c>
      <c r="D18" s="79">
        <f t="shared" si="0"/>
        <v>7.8549848942598227E-2</v>
      </c>
      <c r="E18" s="80">
        <f t="shared" si="1"/>
        <v>4.1892624728850178E-2</v>
      </c>
      <c r="G18" s="91" t="s">
        <v>83</v>
      </c>
      <c r="H18" s="91">
        <v>272</v>
      </c>
      <c r="I18" s="91">
        <v>1.5979927396889255</v>
      </c>
      <c r="J18" s="91"/>
      <c r="K18" s="91"/>
      <c r="L18" s="91"/>
    </row>
    <row r="19" spans="1:13" ht="13.5" thickBot="1">
      <c r="A19" s="82">
        <v>18</v>
      </c>
      <c r="B19" s="77">
        <v>17.850000000000001</v>
      </c>
      <c r="C19" s="78">
        <v>614.79999999999995</v>
      </c>
      <c r="D19" s="79">
        <f t="shared" si="0"/>
        <v>-9.0196078431372714E-2</v>
      </c>
      <c r="E19" s="80">
        <f t="shared" si="1"/>
        <v>-1.4817826935588647E-2</v>
      </c>
    </row>
    <row r="20" spans="1:13">
      <c r="A20" s="82">
        <v>19</v>
      </c>
      <c r="B20" s="77">
        <v>16.239999999999998</v>
      </c>
      <c r="C20" s="78">
        <v>605.69000000000005</v>
      </c>
      <c r="D20" s="79">
        <f t="shared" si="0"/>
        <v>-6.1576354679802853E-2</v>
      </c>
      <c r="E20" s="80">
        <f t="shared" si="1"/>
        <v>3.2095626475589722E-2</v>
      </c>
      <c r="G20" s="92"/>
      <c r="H20" s="92" t="s">
        <v>90</v>
      </c>
      <c r="I20" s="92" t="s">
        <v>78</v>
      </c>
      <c r="J20" s="92" t="s">
        <v>91</v>
      </c>
      <c r="K20" s="92" t="s">
        <v>92</v>
      </c>
      <c r="L20" s="92" t="s">
        <v>93</v>
      </c>
      <c r="M20" s="92" t="s">
        <v>94</v>
      </c>
    </row>
    <row r="21" spans="1:13">
      <c r="A21" s="82">
        <v>20</v>
      </c>
      <c r="B21" s="77">
        <v>15.24</v>
      </c>
      <c r="C21" s="78">
        <v>625.13</v>
      </c>
      <c r="D21" s="79">
        <f t="shared" si="0"/>
        <v>3.6745406824147016E-2</v>
      </c>
      <c r="E21" s="80">
        <f t="shared" si="1"/>
        <v>2.3819045638507168E-2</v>
      </c>
      <c r="G21" s="90" t="s">
        <v>84</v>
      </c>
      <c r="H21" s="90">
        <v>3.5761886927260377E-3</v>
      </c>
      <c r="I21" s="90">
        <v>4.2445462926793565E-3</v>
      </c>
      <c r="J21" s="90">
        <v>0.84253732816955085</v>
      </c>
      <c r="K21" s="90">
        <v>0.40023021303989315</v>
      </c>
      <c r="L21" s="90">
        <v>-4.7802883670047735E-3</v>
      </c>
      <c r="M21" s="90">
        <v>1.1932665752456849E-2</v>
      </c>
    </row>
    <row r="22" spans="1:13" ht="13.5" thickBot="1">
      <c r="A22" s="82">
        <v>21</v>
      </c>
      <c r="B22" s="77">
        <v>15.8</v>
      </c>
      <c r="C22" s="78">
        <v>640.02</v>
      </c>
      <c r="D22" s="79">
        <f t="shared" si="0"/>
        <v>-5.8860759493670978E-2</v>
      </c>
      <c r="E22" s="80">
        <f t="shared" si="1"/>
        <v>-1.1312146495422032E-2</v>
      </c>
      <c r="G22" s="91" t="s">
        <v>68</v>
      </c>
      <c r="H22" s="94">
        <v>1.0837978986340644</v>
      </c>
      <c r="I22" s="91">
        <v>0.1476160649039116</v>
      </c>
      <c r="J22" s="91">
        <v>7.3420050814899174</v>
      </c>
      <c r="K22" s="91">
        <v>2.4648873721568273E-12</v>
      </c>
      <c r="L22" s="91">
        <v>0.79317784764185406</v>
      </c>
      <c r="M22" s="91">
        <v>1.3744179496262747</v>
      </c>
    </row>
    <row r="23" spans="1:13">
      <c r="A23" s="82">
        <v>22</v>
      </c>
      <c r="B23" s="77">
        <v>14.87</v>
      </c>
      <c r="C23" s="78">
        <v>632.78</v>
      </c>
      <c r="D23" s="79">
        <f t="shared" si="0"/>
        <v>-2.5554808338937394E-2</v>
      </c>
      <c r="E23" s="80">
        <f t="shared" si="1"/>
        <v>-1.1093903094282345E-2</v>
      </c>
    </row>
    <row r="24" spans="1:13">
      <c r="A24" s="82">
        <v>23</v>
      </c>
      <c r="B24" s="77">
        <v>14.49</v>
      </c>
      <c r="C24" s="78">
        <v>625.76</v>
      </c>
      <c r="D24" s="79">
        <f t="shared" si="0"/>
        <v>-0.10697032436162876</v>
      </c>
      <c r="E24" s="80">
        <f t="shared" si="1"/>
        <v>1.7546663257478935E-2</v>
      </c>
    </row>
    <row r="25" spans="1:13">
      <c r="A25" s="82">
        <v>24</v>
      </c>
      <c r="B25" s="77">
        <v>12.94</v>
      </c>
      <c r="C25" s="78">
        <v>636.74</v>
      </c>
      <c r="D25" s="79">
        <f t="shared" si="0"/>
        <v>9.1190108191653768E-2</v>
      </c>
      <c r="E25" s="80">
        <f t="shared" si="1"/>
        <v>3.115871470301855E-2</v>
      </c>
    </row>
    <row r="26" spans="1:13">
      <c r="A26" s="82">
        <v>25</v>
      </c>
      <c r="B26" s="77">
        <v>14.12</v>
      </c>
      <c r="C26" s="78">
        <v>656.58</v>
      </c>
      <c r="D26" s="79">
        <f t="shared" si="0"/>
        <v>4.8866855524079413E-2</v>
      </c>
      <c r="E26" s="80">
        <f t="shared" si="1"/>
        <v>1.1712205671814463E-2</v>
      </c>
    </row>
    <row r="27" spans="1:13">
      <c r="A27" s="82">
        <v>26</v>
      </c>
      <c r="B27" s="77">
        <v>14.81</v>
      </c>
      <c r="C27" s="78">
        <v>664.27</v>
      </c>
      <c r="D27" s="79">
        <f t="shared" si="0"/>
        <v>2.4983119513841946E-2</v>
      </c>
      <c r="E27" s="80">
        <f t="shared" si="1"/>
        <v>3.4383609074623317E-2</v>
      </c>
    </row>
    <row r="28" spans="1:13">
      <c r="A28" s="82">
        <v>27</v>
      </c>
      <c r="B28" s="77">
        <v>15.18</v>
      </c>
      <c r="C28" s="78">
        <v>687.11</v>
      </c>
      <c r="D28" s="79">
        <f t="shared" si="0"/>
        <v>-3.952569169960507E-3</v>
      </c>
      <c r="E28" s="80">
        <f t="shared" si="1"/>
        <v>-2.318406077629501E-2</v>
      </c>
    </row>
    <row r="29" spans="1:13">
      <c r="A29" s="82">
        <v>28</v>
      </c>
      <c r="B29" s="77">
        <v>15.12</v>
      </c>
      <c r="C29" s="78">
        <v>671.18</v>
      </c>
      <c r="D29" s="79">
        <f t="shared" si="0"/>
        <v>-8.5978835978835332E-3</v>
      </c>
      <c r="E29" s="80">
        <f t="shared" si="1"/>
        <v>-1.4824637206114504E-2</v>
      </c>
    </row>
    <row r="30" spans="1:13">
      <c r="A30" s="82">
        <v>29</v>
      </c>
      <c r="B30" s="77">
        <v>14.99</v>
      </c>
      <c r="C30" s="78">
        <v>661.23</v>
      </c>
      <c r="D30" s="79">
        <f t="shared" si="0"/>
        <v>-1.2008005336891241E-2</v>
      </c>
      <c r="E30" s="80">
        <f t="shared" si="1"/>
        <v>3.8413260136412407E-2</v>
      </c>
    </row>
    <row r="31" spans="1:13">
      <c r="A31" s="82">
        <v>30</v>
      </c>
      <c r="B31" s="77">
        <v>14.81</v>
      </c>
      <c r="C31" s="78">
        <v>686.63</v>
      </c>
      <c r="D31" s="79">
        <f t="shared" si="0"/>
        <v>6.6846725185685366E-2</v>
      </c>
      <c r="E31" s="80">
        <f t="shared" si="1"/>
        <v>-3.1545373782095112E-2</v>
      </c>
    </row>
    <row r="32" spans="1:13">
      <c r="A32" s="82">
        <v>31</v>
      </c>
      <c r="B32" s="77">
        <v>15.8</v>
      </c>
      <c r="C32" s="78">
        <v>664.97</v>
      </c>
      <c r="D32" s="79">
        <f t="shared" si="0"/>
        <v>3.5443037974683463E-2</v>
      </c>
      <c r="E32" s="80">
        <f t="shared" si="1"/>
        <v>-1.0662135133915862E-2</v>
      </c>
    </row>
    <row r="33" spans="1:5">
      <c r="A33" s="82">
        <v>32</v>
      </c>
      <c r="B33" s="77">
        <v>16.36</v>
      </c>
      <c r="C33" s="78">
        <v>657.88</v>
      </c>
      <c r="D33" s="79">
        <f t="shared" si="0"/>
        <v>-4.5843520782396091E-2</v>
      </c>
      <c r="E33" s="80">
        <f t="shared" si="1"/>
        <v>6.0345351735879302E-3</v>
      </c>
    </row>
    <row r="34" spans="1:5">
      <c r="A34" s="82">
        <v>33</v>
      </c>
      <c r="B34" s="77">
        <v>15.61</v>
      </c>
      <c r="C34" s="78">
        <v>661.85</v>
      </c>
      <c r="D34" s="79">
        <f t="shared" si="0"/>
        <v>2.8187059577194189E-2</v>
      </c>
      <c r="E34" s="80">
        <f t="shared" si="1"/>
        <v>-6.3458487572723844E-4</v>
      </c>
    </row>
    <row r="35" spans="1:5">
      <c r="A35" s="82">
        <v>34</v>
      </c>
      <c r="B35" s="77">
        <v>16.05</v>
      </c>
      <c r="C35" s="78">
        <v>661.43</v>
      </c>
      <c r="D35" s="79">
        <f t="shared" si="0"/>
        <v>9.7196261682242907E-2</v>
      </c>
      <c r="E35" s="80">
        <f t="shared" si="1"/>
        <v>2.8045295798497301E-2</v>
      </c>
    </row>
    <row r="36" spans="1:5">
      <c r="A36" s="82">
        <v>35</v>
      </c>
      <c r="B36" s="77">
        <v>17.61</v>
      </c>
      <c r="C36" s="78">
        <v>679.98</v>
      </c>
      <c r="D36" s="79">
        <f t="shared" si="0"/>
        <v>3.407155025553792E-3</v>
      </c>
      <c r="E36" s="80">
        <f t="shared" si="1"/>
        <v>1.2662137121680069E-2</v>
      </c>
    </row>
    <row r="37" spans="1:5">
      <c r="A37" s="82">
        <v>36</v>
      </c>
      <c r="B37" s="77">
        <v>17.670000000000002</v>
      </c>
      <c r="C37" s="78">
        <v>688.59</v>
      </c>
      <c r="D37" s="79">
        <f t="shared" si="0"/>
        <v>-3.9049235993208899E-2</v>
      </c>
      <c r="E37" s="80">
        <f t="shared" si="1"/>
        <v>1.5248551387617515E-3</v>
      </c>
    </row>
    <row r="38" spans="1:5">
      <c r="A38" s="82">
        <v>37</v>
      </c>
      <c r="B38" s="77">
        <v>16.98</v>
      </c>
      <c r="C38" s="78">
        <v>689.64</v>
      </c>
      <c r="D38" s="79">
        <f t="shared" si="0"/>
        <v>-4.0047114252061228E-2</v>
      </c>
      <c r="E38" s="80">
        <f t="shared" si="1"/>
        <v>-1.1556754248593509E-2</v>
      </c>
    </row>
    <row r="39" spans="1:5">
      <c r="A39" s="82">
        <v>38</v>
      </c>
      <c r="B39" s="77">
        <v>16.3</v>
      </c>
      <c r="C39" s="78">
        <v>681.67</v>
      </c>
      <c r="D39" s="79">
        <f t="shared" si="0"/>
        <v>-3.0674846625766871E-2</v>
      </c>
      <c r="E39" s="80">
        <f t="shared" si="1"/>
        <v>9.5207358399225575E-3</v>
      </c>
    </row>
    <row r="40" spans="1:5">
      <c r="A40" s="82">
        <v>39</v>
      </c>
      <c r="B40" s="77">
        <v>15.8</v>
      </c>
      <c r="C40" s="78">
        <v>688.16</v>
      </c>
      <c r="D40" s="79">
        <f t="shared" si="0"/>
        <v>5.5063291139240564E-2</v>
      </c>
      <c r="E40" s="80">
        <f t="shared" si="1"/>
        <v>3.8392234364101482E-2</v>
      </c>
    </row>
    <row r="41" spans="1:5">
      <c r="A41" s="82">
        <v>40</v>
      </c>
      <c r="B41" s="77">
        <v>16.670000000000002</v>
      </c>
      <c r="C41" s="78">
        <v>714.58</v>
      </c>
      <c r="D41" s="79">
        <f t="shared" si="0"/>
        <v>5.9988002399520089E-2</v>
      </c>
      <c r="E41" s="80">
        <f t="shared" si="1"/>
        <v>-1.437207870357426E-2</v>
      </c>
    </row>
    <row r="42" spans="1:5">
      <c r="A42" s="82">
        <v>41</v>
      </c>
      <c r="B42" s="77">
        <v>17.670000000000002</v>
      </c>
      <c r="C42" s="78">
        <v>704.31</v>
      </c>
      <c r="D42" s="79">
        <f t="shared" si="0"/>
        <v>6.6779852857951308E-2</v>
      </c>
      <c r="E42" s="80">
        <f t="shared" si="1"/>
        <v>2.8879328704689743E-2</v>
      </c>
    </row>
    <row r="43" spans="1:5">
      <c r="A43" s="82">
        <v>42</v>
      </c>
      <c r="B43" s="77">
        <v>18.850000000000001</v>
      </c>
      <c r="C43" s="78">
        <v>724.65</v>
      </c>
      <c r="D43" s="79">
        <f t="shared" si="0"/>
        <v>-6.8965517241380662E-3</v>
      </c>
      <c r="E43" s="80">
        <f t="shared" si="1"/>
        <v>-1.2640585110053086E-2</v>
      </c>
    </row>
    <row r="44" spans="1:5">
      <c r="A44" s="82">
        <v>43</v>
      </c>
      <c r="B44" s="77">
        <v>18.72</v>
      </c>
      <c r="C44" s="78">
        <v>715.49</v>
      </c>
      <c r="D44" s="79">
        <f t="shared" si="0"/>
        <v>0.14957264957264962</v>
      </c>
      <c r="E44" s="80">
        <f t="shared" si="1"/>
        <v>6.9602649932214537E-3</v>
      </c>
    </row>
    <row r="45" spans="1:5">
      <c r="A45" s="82">
        <v>44</v>
      </c>
      <c r="B45" s="77">
        <v>21.52</v>
      </c>
      <c r="C45" s="78">
        <v>720.47</v>
      </c>
      <c r="D45" s="79">
        <f t="shared" si="0"/>
        <v>3.2527881040892324E-3</v>
      </c>
      <c r="E45" s="80">
        <f t="shared" si="1"/>
        <v>-2.2901716934778369E-3</v>
      </c>
    </row>
    <row r="46" spans="1:5">
      <c r="A46" s="82">
        <v>45</v>
      </c>
      <c r="B46" s="77">
        <v>21.59</v>
      </c>
      <c r="C46" s="78">
        <v>718.82</v>
      </c>
      <c r="D46" s="79">
        <f t="shared" si="0"/>
        <v>4.3075497915701699E-2</v>
      </c>
      <c r="E46" s="80">
        <f t="shared" si="1"/>
        <v>-3.3388052641830927E-3</v>
      </c>
    </row>
    <row r="47" spans="1:5">
      <c r="A47" s="82">
        <v>46</v>
      </c>
      <c r="B47" s="77">
        <v>22.52</v>
      </c>
      <c r="C47" s="78">
        <v>716.42</v>
      </c>
      <c r="D47" s="79">
        <f t="shared" si="0"/>
        <v>-0.12166962699822373</v>
      </c>
      <c r="E47" s="80">
        <f t="shared" si="1"/>
        <v>-2.1844727952876775E-2</v>
      </c>
    </row>
    <row r="48" spans="1:5">
      <c r="A48" s="82">
        <v>47</v>
      </c>
      <c r="B48" s="77">
        <v>19.78</v>
      </c>
      <c r="C48" s="78">
        <v>700.77</v>
      </c>
      <c r="D48" s="79">
        <f t="shared" si="0"/>
        <v>-6.5722952477249783E-2</v>
      </c>
      <c r="E48" s="80">
        <f t="shared" si="1"/>
        <v>1.7623471324400335E-2</v>
      </c>
    </row>
    <row r="49" spans="1:5">
      <c r="A49" s="82">
        <v>48</v>
      </c>
      <c r="B49" s="77">
        <v>18.48</v>
      </c>
      <c r="C49" s="78">
        <v>713.12</v>
      </c>
      <c r="D49" s="79">
        <f t="shared" si="0"/>
        <v>-3.7337662337662406E-2</v>
      </c>
      <c r="E49" s="80">
        <f t="shared" si="1"/>
        <v>-2.4329706080323119E-2</v>
      </c>
    </row>
    <row r="50" spans="1:5">
      <c r="A50" s="82">
        <v>49</v>
      </c>
      <c r="B50" s="77">
        <v>17.79</v>
      </c>
      <c r="C50" s="78">
        <v>695.77</v>
      </c>
      <c r="D50" s="79">
        <f t="shared" si="0"/>
        <v>-3.1478358628442872E-2</v>
      </c>
      <c r="E50" s="80">
        <f t="shared" si="1"/>
        <v>3.4767236299351877E-2</v>
      </c>
    </row>
    <row r="51" spans="1:5">
      <c r="A51" s="82">
        <v>50</v>
      </c>
      <c r="B51" s="77">
        <v>17.23</v>
      </c>
      <c r="C51" s="78">
        <v>719.96</v>
      </c>
      <c r="D51" s="79">
        <f t="shared" si="0"/>
        <v>2.5536854323853816E-2</v>
      </c>
      <c r="E51" s="80">
        <f t="shared" si="1"/>
        <v>-1.8834379687760514E-2</v>
      </c>
    </row>
    <row r="52" spans="1:5">
      <c r="A52" s="82">
        <v>51</v>
      </c>
      <c r="B52" s="77">
        <v>17.670000000000002</v>
      </c>
      <c r="C52" s="78">
        <v>706.4</v>
      </c>
      <c r="D52" s="79">
        <f t="shared" si="0"/>
        <v>-1.4148273910582907E-2</v>
      </c>
      <c r="E52" s="80">
        <f t="shared" si="1"/>
        <v>5.4742355605889116E-2</v>
      </c>
    </row>
    <row r="53" spans="1:5">
      <c r="A53" s="82">
        <v>52</v>
      </c>
      <c r="B53" s="77">
        <v>17.420000000000002</v>
      </c>
      <c r="C53" s="78">
        <v>745.07</v>
      </c>
      <c r="D53" s="79">
        <f t="shared" si="0"/>
        <v>-4.3053960964408722E-2</v>
      </c>
      <c r="E53" s="80">
        <f t="shared" si="1"/>
        <v>7.113425584173238E-3</v>
      </c>
    </row>
    <row r="54" spans="1:5">
      <c r="A54" s="82">
        <v>53</v>
      </c>
      <c r="B54" s="77">
        <v>16.670000000000002</v>
      </c>
      <c r="C54" s="78">
        <v>750.37</v>
      </c>
      <c r="D54" s="79">
        <f t="shared" si="0"/>
        <v>-2.5794841031793834E-2</v>
      </c>
      <c r="E54" s="80">
        <f t="shared" si="1"/>
        <v>1.1421032290736637E-2</v>
      </c>
    </row>
    <row r="55" spans="1:5">
      <c r="A55" s="82">
        <v>54</v>
      </c>
      <c r="B55" s="77">
        <v>16.239999999999998</v>
      </c>
      <c r="C55" s="78">
        <v>758.94</v>
      </c>
      <c r="D55" s="79">
        <f t="shared" si="0"/>
        <v>-0.19150246305418706</v>
      </c>
      <c r="E55" s="80">
        <f t="shared" si="1"/>
        <v>-4.1333965794397451E-2</v>
      </c>
    </row>
    <row r="56" spans="1:5">
      <c r="A56" s="82">
        <v>55</v>
      </c>
      <c r="B56" s="77">
        <v>13.13</v>
      </c>
      <c r="C56" s="78">
        <v>727.57</v>
      </c>
      <c r="D56" s="79">
        <f t="shared" si="0"/>
        <v>-8.0731150038080762E-2</v>
      </c>
      <c r="E56" s="80">
        <f t="shared" si="1"/>
        <v>-2.0891460615473485E-2</v>
      </c>
    </row>
    <row r="57" spans="1:5">
      <c r="A57" s="82">
        <v>56</v>
      </c>
      <c r="B57" s="77">
        <v>12.07</v>
      </c>
      <c r="C57" s="78">
        <v>712.37</v>
      </c>
      <c r="D57" s="79">
        <f t="shared" si="0"/>
        <v>3.5625517812758883E-2</v>
      </c>
      <c r="E57" s="80">
        <f t="shared" si="1"/>
        <v>-2.5197579909316852E-2</v>
      </c>
    </row>
    <row r="58" spans="1:5">
      <c r="A58" s="82">
        <v>57</v>
      </c>
      <c r="B58" s="77">
        <v>12.5</v>
      </c>
      <c r="C58" s="78">
        <v>694.42</v>
      </c>
      <c r="D58" s="79">
        <f t="shared" si="0"/>
        <v>-4.8000000000000395E-3</v>
      </c>
      <c r="E58" s="80">
        <f t="shared" si="1"/>
        <v>1.9743094956942538E-2</v>
      </c>
    </row>
    <row r="59" spans="1:5">
      <c r="A59" s="82">
        <v>58</v>
      </c>
      <c r="B59" s="77">
        <v>12.44</v>
      </c>
      <c r="C59" s="78">
        <v>708.13</v>
      </c>
      <c r="D59" s="79">
        <f t="shared" si="0"/>
        <v>1.5273311897106213E-2</v>
      </c>
      <c r="E59" s="80">
        <f t="shared" si="1"/>
        <v>6.2559134622173192E-3</v>
      </c>
    </row>
    <row r="60" spans="1:5">
      <c r="A60" s="82">
        <v>59</v>
      </c>
      <c r="B60" s="77">
        <v>12.63</v>
      </c>
      <c r="C60" s="78">
        <v>712.56</v>
      </c>
      <c r="D60" s="79">
        <f t="shared" si="0"/>
        <v>-5.4631828978622426E-2</v>
      </c>
      <c r="E60" s="80">
        <f t="shared" si="1"/>
        <v>7.2274615470979166E-3</v>
      </c>
    </row>
    <row r="61" spans="1:5">
      <c r="A61" s="82">
        <v>60</v>
      </c>
      <c r="B61" s="77">
        <v>11.94</v>
      </c>
      <c r="C61" s="78">
        <v>717.71</v>
      </c>
      <c r="D61" s="79">
        <f t="shared" si="0"/>
        <v>-1.0050251256281341E-2</v>
      </c>
      <c r="E61" s="80">
        <f t="shared" si="1"/>
        <v>7.6214627077787868E-3</v>
      </c>
    </row>
    <row r="62" spans="1:5">
      <c r="A62" s="82">
        <v>61</v>
      </c>
      <c r="B62" s="77">
        <v>11.82</v>
      </c>
      <c r="C62" s="78">
        <v>723.18</v>
      </c>
      <c r="D62" s="79">
        <f t="shared" si="0"/>
        <v>-4.7377326565143867E-2</v>
      </c>
      <c r="E62" s="80">
        <f t="shared" si="1"/>
        <v>-2.8070466550512638E-3</v>
      </c>
    </row>
    <row r="63" spans="1:5">
      <c r="A63" s="82">
        <v>62</v>
      </c>
      <c r="B63" s="77">
        <v>11.26</v>
      </c>
      <c r="C63" s="78">
        <v>721.15</v>
      </c>
      <c r="D63" s="79">
        <f t="shared" si="0"/>
        <v>1.6873889875666032E-2</v>
      </c>
      <c r="E63" s="80">
        <f t="shared" si="1"/>
        <v>-1.2701934410316812E-2</v>
      </c>
    </row>
    <row r="64" spans="1:5">
      <c r="A64" s="82">
        <v>63</v>
      </c>
      <c r="B64" s="77">
        <v>11.45</v>
      </c>
      <c r="C64" s="78">
        <v>711.99</v>
      </c>
      <c r="D64" s="79">
        <f t="shared" si="0"/>
        <v>-6.5502183406113537E-2</v>
      </c>
      <c r="E64" s="80">
        <f t="shared" si="1"/>
        <v>-4.2683183752580775E-2</v>
      </c>
    </row>
    <row r="65" spans="1:5">
      <c r="A65" s="82">
        <v>64</v>
      </c>
      <c r="B65" s="77">
        <v>10.7</v>
      </c>
      <c r="C65" s="78">
        <v>681.6</v>
      </c>
      <c r="D65" s="79">
        <f t="shared" si="0"/>
        <v>-4.6728971962616828E-2</v>
      </c>
      <c r="E65" s="80">
        <f t="shared" si="1"/>
        <v>3.5798122065726829E-3</v>
      </c>
    </row>
    <row r="66" spans="1:5">
      <c r="A66" s="82">
        <v>65</v>
      </c>
      <c r="B66" s="77">
        <v>10.199999999999999</v>
      </c>
      <c r="C66" s="78">
        <v>684.04</v>
      </c>
      <c r="D66" s="79">
        <f t="shared" si="0"/>
        <v>-5.4901960784313607E-2</v>
      </c>
      <c r="E66" s="80">
        <f t="shared" si="1"/>
        <v>3.8769662592830802E-2</v>
      </c>
    </row>
    <row r="67" spans="1:5">
      <c r="A67" s="82">
        <v>66</v>
      </c>
      <c r="B67" s="77">
        <v>9.64</v>
      </c>
      <c r="C67" s="78">
        <v>710.56</v>
      </c>
      <c r="D67" s="79">
        <f t="shared" ref="D67:D130" si="2">(B68-B67)/B67</f>
        <v>-7.6763485477178442E-2</v>
      </c>
      <c r="E67" s="80">
        <f t="shared" ref="E67:E130" si="3">(C68-C67)/C67</f>
        <v>-6.1261540193650044E-2</v>
      </c>
    </row>
    <row r="68" spans="1:5">
      <c r="A68" s="82">
        <v>67</v>
      </c>
      <c r="B68" s="77">
        <v>8.9</v>
      </c>
      <c r="C68" s="78">
        <v>667.03</v>
      </c>
      <c r="D68" s="79">
        <f t="shared" si="2"/>
        <v>0.18089887640449431</v>
      </c>
      <c r="E68" s="80">
        <f t="shared" si="3"/>
        <v>3.8843830112588761E-2</v>
      </c>
    </row>
    <row r="69" spans="1:5">
      <c r="A69" s="82">
        <v>68</v>
      </c>
      <c r="B69" s="77">
        <v>10.51</v>
      </c>
      <c r="C69" s="78">
        <v>692.94</v>
      </c>
      <c r="D69" s="79">
        <f t="shared" si="2"/>
        <v>-7.0409134157944836E-2</v>
      </c>
      <c r="E69" s="80">
        <f t="shared" si="3"/>
        <v>4.8431321615146974E-2</v>
      </c>
    </row>
    <row r="70" spans="1:5">
      <c r="A70" s="82">
        <v>69</v>
      </c>
      <c r="B70" s="77">
        <v>9.77</v>
      </c>
      <c r="C70" s="78">
        <v>726.5</v>
      </c>
      <c r="D70" s="79">
        <f t="shared" si="2"/>
        <v>-7.0624360286591553E-2</v>
      </c>
      <c r="E70" s="80">
        <f t="shared" si="3"/>
        <v>1.1011699931176875E-2</v>
      </c>
    </row>
    <row r="71" spans="1:5">
      <c r="A71" s="82">
        <v>70</v>
      </c>
      <c r="B71" s="77">
        <v>9.08</v>
      </c>
      <c r="C71" s="78">
        <v>734.5</v>
      </c>
      <c r="D71" s="79">
        <f t="shared" si="2"/>
        <v>-6.607929515418557E-3</v>
      </c>
      <c r="E71" s="80">
        <f t="shared" si="3"/>
        <v>1.8611300204220502E-2</v>
      </c>
    </row>
    <row r="72" spans="1:5">
      <c r="A72" s="82">
        <v>71</v>
      </c>
      <c r="B72" s="77">
        <v>9.02</v>
      </c>
      <c r="C72" s="78">
        <v>748.17</v>
      </c>
      <c r="D72" s="79">
        <f t="shared" si="2"/>
        <v>4.101995565410211E-2</v>
      </c>
      <c r="E72" s="80">
        <f t="shared" si="3"/>
        <v>1.9794966384645282E-2</v>
      </c>
    </row>
    <row r="73" spans="1:5">
      <c r="A73" s="82">
        <v>72</v>
      </c>
      <c r="B73" s="77">
        <v>9.39</v>
      </c>
      <c r="C73" s="78">
        <v>762.98</v>
      </c>
      <c r="D73" s="79">
        <f t="shared" si="2"/>
        <v>-3.3013844515442009E-2</v>
      </c>
      <c r="E73" s="80">
        <f t="shared" si="3"/>
        <v>-3.4207973996697341E-3</v>
      </c>
    </row>
    <row r="74" spans="1:5">
      <c r="A74" s="82">
        <v>73</v>
      </c>
      <c r="B74" s="77">
        <v>9.08</v>
      </c>
      <c r="C74" s="78">
        <v>760.37</v>
      </c>
      <c r="D74" s="79">
        <f t="shared" si="2"/>
        <v>-8.1497797356828217E-2</v>
      </c>
      <c r="E74" s="80">
        <f t="shared" si="3"/>
        <v>1.3401370385470153E-2</v>
      </c>
    </row>
    <row r="75" spans="1:5">
      <c r="A75" s="82">
        <v>74</v>
      </c>
      <c r="B75" s="77">
        <v>8.34</v>
      </c>
      <c r="C75" s="78">
        <v>770.56</v>
      </c>
      <c r="D75" s="79">
        <f t="shared" si="2"/>
        <v>-4.556354916067145E-2</v>
      </c>
      <c r="E75" s="80">
        <f t="shared" si="3"/>
        <v>-7.4231727574749712E-3</v>
      </c>
    </row>
    <row r="76" spans="1:5">
      <c r="A76" s="82">
        <v>75</v>
      </c>
      <c r="B76" s="77">
        <v>7.96</v>
      </c>
      <c r="C76" s="78">
        <v>764.84</v>
      </c>
      <c r="D76" s="79">
        <f t="shared" si="2"/>
        <v>3.5175879396984959E-2</v>
      </c>
      <c r="E76" s="80">
        <f t="shared" si="3"/>
        <v>-1.1244181789655532E-3</v>
      </c>
    </row>
    <row r="77" spans="1:5">
      <c r="A77" s="82">
        <v>76</v>
      </c>
      <c r="B77" s="77">
        <v>8.24</v>
      </c>
      <c r="C77" s="78">
        <v>763.98</v>
      </c>
      <c r="D77" s="79">
        <f t="shared" si="2"/>
        <v>1.2135922330097044E-2</v>
      </c>
      <c r="E77" s="80">
        <f t="shared" si="3"/>
        <v>2.8338438179009891E-2</v>
      </c>
    </row>
    <row r="78" spans="1:5">
      <c r="A78" s="82">
        <v>77</v>
      </c>
      <c r="B78" s="77">
        <v>8.34</v>
      </c>
      <c r="C78" s="78">
        <v>785.63</v>
      </c>
      <c r="D78" s="79">
        <f t="shared" si="2"/>
        <v>-2.2781774580335673E-2</v>
      </c>
      <c r="E78" s="80">
        <f t="shared" si="3"/>
        <v>9.7755941091861951E-3</v>
      </c>
    </row>
    <row r="79" spans="1:5">
      <c r="A79" s="82">
        <v>78</v>
      </c>
      <c r="B79" s="77">
        <v>8.15</v>
      </c>
      <c r="C79" s="78">
        <v>793.31</v>
      </c>
      <c r="D79" s="79">
        <f t="shared" si="2"/>
        <v>-1.5950920245398868E-2</v>
      </c>
      <c r="E79" s="80">
        <f t="shared" si="3"/>
        <v>-2.0244292899370922E-2</v>
      </c>
    </row>
    <row r="80" spans="1:5">
      <c r="A80" s="82">
        <v>79</v>
      </c>
      <c r="B80" s="77">
        <v>8.02</v>
      </c>
      <c r="C80" s="78">
        <v>777.25</v>
      </c>
      <c r="D80" s="79">
        <f t="shared" si="2"/>
        <v>1.620947630922703E-2</v>
      </c>
      <c r="E80" s="80">
        <f t="shared" si="3"/>
        <v>2.3518816339659018E-2</v>
      </c>
    </row>
    <row r="81" spans="1:5">
      <c r="A81" s="82">
        <v>80</v>
      </c>
      <c r="B81" s="77">
        <v>8.15</v>
      </c>
      <c r="C81" s="78">
        <v>795.53</v>
      </c>
      <c r="D81" s="79">
        <f t="shared" si="2"/>
        <v>-3.8036809815950978E-2</v>
      </c>
      <c r="E81" s="80">
        <f t="shared" si="3"/>
        <v>-6.5616632936533218E-3</v>
      </c>
    </row>
    <row r="82" spans="1:5">
      <c r="A82" s="82">
        <v>81</v>
      </c>
      <c r="B82" s="77">
        <v>7.84</v>
      </c>
      <c r="C82" s="78">
        <v>790.31</v>
      </c>
      <c r="D82" s="79">
        <f t="shared" si="2"/>
        <v>-5.6122448979591774E-2</v>
      </c>
      <c r="E82" s="80">
        <f t="shared" si="3"/>
        <v>-5.4953119661904762E-2</v>
      </c>
    </row>
    <row r="83" spans="1:5">
      <c r="A83" s="82">
        <v>82</v>
      </c>
      <c r="B83" s="77">
        <v>7.4</v>
      </c>
      <c r="C83" s="78">
        <v>746.88</v>
      </c>
      <c r="D83" s="79">
        <f t="shared" si="2"/>
        <v>0.20270270270270269</v>
      </c>
      <c r="E83" s="80">
        <f t="shared" si="3"/>
        <v>4.5415595544130195E-2</v>
      </c>
    </row>
    <row r="84" spans="1:5">
      <c r="A84" s="82">
        <v>83</v>
      </c>
      <c r="B84" s="77">
        <v>8.9</v>
      </c>
      <c r="C84" s="78">
        <v>780.8</v>
      </c>
      <c r="D84" s="79">
        <f t="shared" si="2"/>
        <v>-2.8089887640449437E-2</v>
      </c>
      <c r="E84" s="80">
        <f t="shared" si="3"/>
        <v>-1.977459016393435E-2</v>
      </c>
    </row>
    <row r="85" spans="1:5">
      <c r="A85" s="82">
        <v>84</v>
      </c>
      <c r="B85" s="77">
        <v>8.65</v>
      </c>
      <c r="C85" s="78">
        <v>765.36</v>
      </c>
      <c r="D85" s="79">
        <f t="shared" si="2"/>
        <v>-6.4739884393063635E-2</v>
      </c>
      <c r="E85" s="80">
        <f t="shared" si="3"/>
        <v>-2.282585972614198E-2</v>
      </c>
    </row>
    <row r="86" spans="1:5">
      <c r="A86" s="82">
        <v>85</v>
      </c>
      <c r="B86" s="77">
        <v>8.09</v>
      </c>
      <c r="C86" s="78">
        <v>747.89</v>
      </c>
      <c r="D86" s="79">
        <f t="shared" si="2"/>
        <v>-9.2707045735475904E-2</v>
      </c>
      <c r="E86" s="80">
        <f t="shared" si="3"/>
        <v>9.3596651914118421E-5</v>
      </c>
    </row>
    <row r="87" spans="1:5">
      <c r="A87" s="82">
        <v>86</v>
      </c>
      <c r="B87" s="77">
        <v>7.34</v>
      </c>
      <c r="C87" s="78">
        <v>747.96</v>
      </c>
      <c r="D87" s="79">
        <f t="shared" si="2"/>
        <v>0.16076294277929151</v>
      </c>
      <c r="E87" s="80">
        <f t="shared" si="3"/>
        <v>5.9401572276592263E-2</v>
      </c>
    </row>
    <row r="88" spans="1:5">
      <c r="A88" s="82">
        <v>87</v>
      </c>
      <c r="B88" s="77">
        <v>8.52</v>
      </c>
      <c r="C88" s="78">
        <v>792.39</v>
      </c>
      <c r="D88" s="79">
        <f t="shared" si="2"/>
        <v>5.8685446009389672E-2</v>
      </c>
      <c r="E88" s="80">
        <f t="shared" si="3"/>
        <v>-7.3701081538131881E-3</v>
      </c>
    </row>
    <row r="89" spans="1:5">
      <c r="A89" s="82">
        <v>88</v>
      </c>
      <c r="B89" s="77">
        <v>9.02</v>
      </c>
      <c r="C89" s="78">
        <v>786.55</v>
      </c>
      <c r="D89" s="79">
        <f t="shared" si="2"/>
        <v>2.1064301552106573E-2</v>
      </c>
      <c r="E89" s="80">
        <f t="shared" si="3"/>
        <v>3.5102663530608369E-2</v>
      </c>
    </row>
    <row r="90" spans="1:5">
      <c r="A90" s="82">
        <v>89</v>
      </c>
      <c r="B90" s="77">
        <v>9.2100000000000009</v>
      </c>
      <c r="C90" s="78">
        <v>814.16</v>
      </c>
      <c r="D90" s="79">
        <f t="shared" si="2"/>
        <v>-3.3659066232356184E-2</v>
      </c>
      <c r="E90" s="80">
        <f t="shared" si="3"/>
        <v>3.7609315122334681E-2</v>
      </c>
    </row>
    <row r="91" spans="1:5">
      <c r="A91" s="82">
        <v>90</v>
      </c>
      <c r="B91" s="77">
        <v>8.9</v>
      </c>
      <c r="C91" s="78">
        <v>844.78</v>
      </c>
      <c r="D91" s="79">
        <f t="shared" si="2"/>
        <v>3.4831460674157357E-2</v>
      </c>
      <c r="E91" s="80">
        <f t="shared" si="3"/>
        <v>-2.2195127725561686E-2</v>
      </c>
    </row>
    <row r="92" spans="1:5">
      <c r="A92" s="82">
        <v>91</v>
      </c>
      <c r="B92" s="77">
        <v>9.2100000000000009</v>
      </c>
      <c r="C92" s="78">
        <v>826.03</v>
      </c>
      <c r="D92" s="79">
        <f t="shared" si="2"/>
        <v>0.5472312703583061</v>
      </c>
      <c r="E92" s="80">
        <f t="shared" si="3"/>
        <v>9.3580136314661919E-3</v>
      </c>
    </row>
    <row r="93" spans="1:5">
      <c r="A93" s="82">
        <v>92</v>
      </c>
      <c r="B93" s="77">
        <v>14.25</v>
      </c>
      <c r="C93" s="78">
        <v>833.76</v>
      </c>
      <c r="D93" s="79">
        <f t="shared" si="2"/>
        <v>-0.12701754385964917</v>
      </c>
      <c r="E93" s="80">
        <f t="shared" si="3"/>
        <v>-0.11587267319132606</v>
      </c>
    </row>
    <row r="94" spans="1:5">
      <c r="A94" s="82">
        <v>93</v>
      </c>
      <c r="B94" s="77">
        <v>12.44</v>
      </c>
      <c r="C94" s="78">
        <v>737.15</v>
      </c>
      <c r="D94" s="79">
        <f t="shared" si="2"/>
        <v>0.31993569131832816</v>
      </c>
      <c r="E94" s="80">
        <f t="shared" si="3"/>
        <v>5.9092450654548004E-2</v>
      </c>
    </row>
    <row r="95" spans="1:5">
      <c r="A95" s="82">
        <v>94</v>
      </c>
      <c r="B95" s="77">
        <v>16.420000000000002</v>
      </c>
      <c r="C95" s="78">
        <v>780.71</v>
      </c>
      <c r="D95" s="79">
        <f t="shared" si="2"/>
        <v>3.0450669914738122E-2</v>
      </c>
      <c r="E95" s="80">
        <f t="shared" si="3"/>
        <v>2.0942475439023337E-2</v>
      </c>
    </row>
    <row r="96" spans="1:5">
      <c r="A96" s="82">
        <v>95</v>
      </c>
      <c r="B96" s="77">
        <v>16.920000000000002</v>
      </c>
      <c r="C96" s="78">
        <v>797.06</v>
      </c>
      <c r="D96" s="79">
        <f t="shared" si="2"/>
        <v>-7.0921985815603416E-3</v>
      </c>
      <c r="E96" s="80">
        <f t="shared" si="3"/>
        <v>-1.2696660226331632E-2</v>
      </c>
    </row>
    <row r="97" spans="1:5">
      <c r="A97" s="82">
        <v>96</v>
      </c>
      <c r="B97" s="77">
        <v>16.8</v>
      </c>
      <c r="C97" s="78">
        <v>786.94</v>
      </c>
      <c r="D97" s="79">
        <f t="shared" si="2"/>
        <v>1.488095238095238E-2</v>
      </c>
      <c r="E97" s="80">
        <f t="shared" si="3"/>
        <v>-1.4092561059292998E-2</v>
      </c>
    </row>
    <row r="98" spans="1:5">
      <c r="A98" s="82">
        <v>97</v>
      </c>
      <c r="B98" s="77">
        <v>17.05</v>
      </c>
      <c r="C98" s="78">
        <v>775.85</v>
      </c>
      <c r="D98" s="79">
        <f t="shared" si="2"/>
        <v>-9.8533724340176043E-2</v>
      </c>
      <c r="E98" s="80">
        <f t="shared" si="3"/>
        <v>-1.2270413095314792E-2</v>
      </c>
    </row>
    <row r="99" spans="1:5">
      <c r="A99" s="82">
        <v>98</v>
      </c>
      <c r="B99" s="77">
        <v>15.37</v>
      </c>
      <c r="C99" s="78">
        <v>766.33</v>
      </c>
      <c r="D99" s="79">
        <f t="shared" si="2"/>
        <v>9.3038386467143894E-2</v>
      </c>
      <c r="E99" s="80">
        <f t="shared" si="3"/>
        <v>-2.26403768611434E-2</v>
      </c>
    </row>
    <row r="100" spans="1:5">
      <c r="A100" s="82">
        <v>99</v>
      </c>
      <c r="B100" s="77">
        <v>16.8</v>
      </c>
      <c r="C100" s="78">
        <v>748.98</v>
      </c>
      <c r="D100" s="79">
        <f t="shared" si="2"/>
        <v>-0.13333333333333333</v>
      </c>
      <c r="E100" s="80">
        <f t="shared" si="3"/>
        <v>8.244545915778792E-2</v>
      </c>
    </row>
    <row r="101" spans="1:5">
      <c r="A101" s="82">
        <v>100</v>
      </c>
      <c r="B101" s="77">
        <v>14.56</v>
      </c>
      <c r="C101" s="78">
        <v>810.73</v>
      </c>
      <c r="D101" s="79">
        <f t="shared" si="2"/>
        <v>-4.3269230769230824E-2</v>
      </c>
      <c r="E101" s="80">
        <f t="shared" si="3"/>
        <v>-1.1754838232210444E-2</v>
      </c>
    </row>
    <row r="102" spans="1:5">
      <c r="A102" s="82">
        <v>101</v>
      </c>
      <c r="B102" s="77">
        <v>13.93</v>
      </c>
      <c r="C102" s="78">
        <v>801.2</v>
      </c>
      <c r="D102" s="79">
        <f t="shared" si="2"/>
        <v>2.0100502512562898E-2</v>
      </c>
      <c r="E102" s="80">
        <f t="shared" si="3"/>
        <v>1.4103844233649468E-3</v>
      </c>
    </row>
    <row r="103" spans="1:5">
      <c r="A103" s="82">
        <v>102</v>
      </c>
      <c r="B103" s="77">
        <v>14.21</v>
      </c>
      <c r="C103" s="78">
        <v>802.33</v>
      </c>
      <c r="D103" s="79">
        <f t="shared" si="2"/>
        <v>-6.3335679099225925E-2</v>
      </c>
      <c r="E103" s="80">
        <f t="shared" si="3"/>
        <v>-1.3498186531726398E-2</v>
      </c>
    </row>
    <row r="104" spans="1:5">
      <c r="A104" s="82">
        <v>103</v>
      </c>
      <c r="B104" s="77">
        <v>13.31</v>
      </c>
      <c r="C104" s="78">
        <v>791.5</v>
      </c>
      <c r="D104" s="79">
        <f t="shared" si="2"/>
        <v>0.19158527422990224</v>
      </c>
      <c r="E104" s="80">
        <f t="shared" si="3"/>
        <v>6.241313960833929E-3</v>
      </c>
    </row>
    <row r="105" spans="1:5">
      <c r="A105" s="82">
        <v>104</v>
      </c>
      <c r="B105" s="77">
        <v>15.86</v>
      </c>
      <c r="C105" s="78">
        <v>796.44</v>
      </c>
      <c r="D105" s="79">
        <f t="shared" si="2"/>
        <v>-4.665825977301389E-2</v>
      </c>
      <c r="E105" s="80">
        <f t="shared" si="3"/>
        <v>1.7088544020892847E-2</v>
      </c>
    </row>
    <row r="106" spans="1:5">
      <c r="A106" s="82">
        <v>105</v>
      </c>
      <c r="B106" s="77">
        <v>15.12</v>
      </c>
      <c r="C106" s="78">
        <v>810.05</v>
      </c>
      <c r="D106" s="79">
        <f t="shared" si="2"/>
        <v>0.18518518518518537</v>
      </c>
      <c r="E106" s="80">
        <f t="shared" si="3"/>
        <v>2.513425097216223E-2</v>
      </c>
    </row>
    <row r="107" spans="1:5">
      <c r="A107" s="82">
        <v>106</v>
      </c>
      <c r="B107" s="77">
        <v>17.920000000000002</v>
      </c>
      <c r="C107" s="78">
        <v>830.41</v>
      </c>
      <c r="D107" s="79">
        <f t="shared" si="2"/>
        <v>-7.2544642857144273E-3</v>
      </c>
      <c r="E107" s="80">
        <f t="shared" si="3"/>
        <v>-2.1844630965426701E-2</v>
      </c>
    </row>
    <row r="108" spans="1:5">
      <c r="A108" s="82">
        <v>107</v>
      </c>
      <c r="B108" s="77">
        <v>17.79</v>
      </c>
      <c r="C108" s="78">
        <v>812.27</v>
      </c>
      <c r="D108" s="79">
        <f t="shared" si="2"/>
        <v>-5.5649241146711548E-2</v>
      </c>
      <c r="E108" s="80">
        <f t="shared" si="3"/>
        <v>-4.8370615681977626E-2</v>
      </c>
    </row>
    <row r="109" spans="1:5">
      <c r="A109" s="82">
        <v>108</v>
      </c>
      <c r="B109" s="77">
        <v>16.8</v>
      </c>
      <c r="C109" s="78">
        <v>772.98</v>
      </c>
      <c r="D109" s="79">
        <f t="shared" si="2"/>
        <v>0.12202380952380956</v>
      </c>
      <c r="E109" s="80">
        <f t="shared" si="3"/>
        <v>3.2885715024968253E-2</v>
      </c>
    </row>
    <row r="110" spans="1:5">
      <c r="A110" s="82">
        <v>109</v>
      </c>
      <c r="B110" s="77">
        <v>18.850000000000001</v>
      </c>
      <c r="C110" s="78">
        <v>798.4</v>
      </c>
      <c r="D110" s="79">
        <f t="shared" si="2"/>
        <v>4.9336870026525183E-2</v>
      </c>
      <c r="E110" s="80">
        <f t="shared" si="3"/>
        <v>7.114228456913908E-3</v>
      </c>
    </row>
    <row r="111" spans="1:5">
      <c r="A111" s="82">
        <v>110</v>
      </c>
      <c r="B111" s="77">
        <v>19.78</v>
      </c>
      <c r="C111" s="78">
        <v>804.08</v>
      </c>
      <c r="D111" s="79">
        <f t="shared" si="2"/>
        <v>-3.0333670374116414E-3</v>
      </c>
      <c r="E111" s="80">
        <f t="shared" si="3"/>
        <v>1.5296985374589536E-2</v>
      </c>
    </row>
    <row r="112" spans="1:5">
      <c r="A112" s="82">
        <v>111</v>
      </c>
      <c r="B112" s="77">
        <v>19.72</v>
      </c>
      <c r="C112" s="78">
        <v>816.38</v>
      </c>
      <c r="D112" s="79">
        <f t="shared" si="2"/>
        <v>2.5354969574036514E-2</v>
      </c>
      <c r="E112" s="80">
        <f t="shared" si="3"/>
        <v>1.4037580538474774E-2</v>
      </c>
    </row>
    <row r="113" spans="1:5">
      <c r="A113" s="82">
        <v>112</v>
      </c>
      <c r="B113" s="77">
        <v>20.22</v>
      </c>
      <c r="C113" s="78">
        <v>827.84</v>
      </c>
      <c r="D113" s="79">
        <f t="shared" si="2"/>
        <v>-4.3026706231453882E-2</v>
      </c>
      <c r="E113" s="80">
        <f t="shared" si="3"/>
        <v>1.6464534209509076E-2</v>
      </c>
    </row>
    <row r="114" spans="1:5">
      <c r="A114" s="82">
        <v>113</v>
      </c>
      <c r="B114" s="77">
        <v>19.350000000000001</v>
      </c>
      <c r="C114" s="78">
        <v>841.47</v>
      </c>
      <c r="D114" s="79">
        <f t="shared" si="2"/>
        <v>4.4961240310077387E-2</v>
      </c>
      <c r="E114" s="80">
        <f t="shared" si="3"/>
        <v>-1.8764780681426643E-2</v>
      </c>
    </row>
    <row r="115" spans="1:5">
      <c r="A115" s="82">
        <v>114</v>
      </c>
      <c r="B115" s="77">
        <v>20.22</v>
      </c>
      <c r="C115" s="78">
        <v>825.68</v>
      </c>
      <c r="D115" s="79">
        <f t="shared" si="2"/>
        <v>4.0059347181009015E-2</v>
      </c>
      <c r="E115" s="80">
        <f t="shared" si="3"/>
        <v>-1.6979943803894951E-2</v>
      </c>
    </row>
    <row r="116" spans="1:5">
      <c r="A116" s="82">
        <v>115</v>
      </c>
      <c r="B116" s="77">
        <v>21.03</v>
      </c>
      <c r="C116" s="78">
        <v>811.66</v>
      </c>
      <c r="D116" s="79">
        <f t="shared" si="2"/>
        <v>-2.0922491678554506E-2</v>
      </c>
      <c r="E116" s="80">
        <f t="shared" si="3"/>
        <v>-1.0028829805583603E-2</v>
      </c>
    </row>
    <row r="117" spans="1:5">
      <c r="A117" s="82">
        <v>116</v>
      </c>
      <c r="B117" s="77">
        <v>20.59</v>
      </c>
      <c r="C117" s="78">
        <v>803.52</v>
      </c>
      <c r="D117" s="79">
        <f t="shared" si="2"/>
        <v>-9.0820786789703789E-2</v>
      </c>
      <c r="E117" s="80">
        <f t="shared" si="3"/>
        <v>-4.7789725209080444E-3</v>
      </c>
    </row>
    <row r="118" spans="1:5">
      <c r="A118" s="82">
        <v>117</v>
      </c>
      <c r="B118" s="77">
        <v>18.72</v>
      </c>
      <c r="C118" s="78">
        <v>799.68</v>
      </c>
      <c r="D118" s="79">
        <f t="shared" si="2"/>
        <v>0</v>
      </c>
      <c r="E118" s="80">
        <f t="shared" si="3"/>
        <v>-2.9299219687875088E-2</v>
      </c>
    </row>
    <row r="119" spans="1:5">
      <c r="A119" s="82">
        <v>118</v>
      </c>
      <c r="B119" s="77">
        <v>18.72</v>
      </c>
      <c r="C119" s="78">
        <v>776.25</v>
      </c>
      <c r="D119" s="79">
        <f t="shared" si="2"/>
        <v>-0.12286324786324772</v>
      </c>
      <c r="E119" s="80">
        <f t="shared" si="3"/>
        <v>-2.4888888888888953E-2</v>
      </c>
    </row>
    <row r="120" spans="1:5">
      <c r="A120" s="82">
        <v>119</v>
      </c>
      <c r="B120" s="77">
        <v>16.420000000000002</v>
      </c>
      <c r="C120" s="78">
        <v>756.93</v>
      </c>
      <c r="D120" s="79">
        <f t="shared" si="2"/>
        <v>3.4104750304506617E-2</v>
      </c>
      <c r="E120" s="80">
        <f t="shared" si="3"/>
        <v>1.8442920745643635E-2</v>
      </c>
    </row>
    <row r="121" spans="1:5">
      <c r="A121" s="82">
        <v>120</v>
      </c>
      <c r="B121" s="77">
        <v>16.98</v>
      </c>
      <c r="C121" s="78">
        <v>770.89</v>
      </c>
      <c r="D121" s="79">
        <f t="shared" si="2"/>
        <v>0.19434628975265023</v>
      </c>
      <c r="E121" s="80">
        <f t="shared" si="3"/>
        <v>-1.3503872147777204E-2</v>
      </c>
    </row>
    <row r="122" spans="1:5">
      <c r="A122" s="82">
        <v>121</v>
      </c>
      <c r="B122" s="77">
        <v>20.28</v>
      </c>
      <c r="C122" s="78">
        <v>760.48</v>
      </c>
      <c r="D122" s="79">
        <f t="shared" si="2"/>
        <v>0.13806706114398407</v>
      </c>
      <c r="E122" s="80">
        <f t="shared" si="3"/>
        <v>3.9922154428781838E-2</v>
      </c>
    </row>
    <row r="123" spans="1:5">
      <c r="A123" s="82">
        <v>122</v>
      </c>
      <c r="B123" s="77">
        <v>23.08</v>
      </c>
      <c r="C123" s="78">
        <v>790.84</v>
      </c>
      <c r="D123" s="79">
        <f t="shared" si="2"/>
        <v>-9.4454072790294621E-2</v>
      </c>
      <c r="E123" s="80">
        <f t="shared" si="3"/>
        <v>-4.9188204946638989E-2</v>
      </c>
    </row>
    <row r="124" spans="1:5">
      <c r="A124" s="82">
        <v>123</v>
      </c>
      <c r="B124" s="77">
        <v>20.9</v>
      </c>
      <c r="C124" s="78">
        <v>751.94</v>
      </c>
      <c r="D124" s="79">
        <f t="shared" si="2"/>
        <v>8.0382775119617222E-2</v>
      </c>
      <c r="E124" s="80">
        <f t="shared" si="3"/>
        <v>-1.3697901428306597E-3</v>
      </c>
    </row>
    <row r="125" spans="1:5">
      <c r="A125" s="82">
        <v>124</v>
      </c>
      <c r="B125" s="77">
        <v>22.58</v>
      </c>
      <c r="C125" s="78">
        <v>750.91</v>
      </c>
      <c r="D125" s="79">
        <f t="shared" si="2"/>
        <v>-3.8529672276350645E-2</v>
      </c>
      <c r="E125" s="80">
        <f t="shared" si="3"/>
        <v>-2.1640409636307947E-2</v>
      </c>
    </row>
    <row r="126" spans="1:5">
      <c r="A126" s="82">
        <v>125</v>
      </c>
      <c r="B126" s="77">
        <v>21.71</v>
      </c>
      <c r="C126" s="78">
        <v>734.66</v>
      </c>
      <c r="D126" s="79">
        <f t="shared" si="2"/>
        <v>0</v>
      </c>
      <c r="E126" s="80">
        <f t="shared" si="3"/>
        <v>-2.364359023221627E-2</v>
      </c>
    </row>
    <row r="127" spans="1:5">
      <c r="A127" s="82">
        <v>126</v>
      </c>
      <c r="B127" s="77">
        <v>21.71</v>
      </c>
      <c r="C127" s="78">
        <v>717.29</v>
      </c>
      <c r="D127" s="79">
        <f t="shared" si="2"/>
        <v>4.5601105481344925E-2</v>
      </c>
      <c r="E127" s="80">
        <f t="shared" si="3"/>
        <v>5.1206624935521229E-2</v>
      </c>
    </row>
    <row r="128" spans="1:5">
      <c r="A128" s="82">
        <v>127</v>
      </c>
      <c r="B128" s="77">
        <v>22.7</v>
      </c>
      <c r="C128" s="78">
        <v>754.02</v>
      </c>
      <c r="D128" s="79">
        <f t="shared" si="2"/>
        <v>-2.2026431718061988E-3</v>
      </c>
      <c r="E128" s="80">
        <f t="shared" si="3"/>
        <v>-4.4468316490278735E-2</v>
      </c>
    </row>
    <row r="129" spans="1:5">
      <c r="A129" s="82">
        <v>128</v>
      </c>
      <c r="B129" s="77">
        <v>22.65</v>
      </c>
      <c r="C129" s="78">
        <v>720.49</v>
      </c>
      <c r="D129" s="79">
        <f t="shared" si="2"/>
        <v>1.7218543046357643E-2</v>
      </c>
      <c r="E129" s="80">
        <f t="shared" si="3"/>
        <v>-7.078516009937713E-3</v>
      </c>
    </row>
    <row r="130" spans="1:5">
      <c r="A130" s="82">
        <v>129</v>
      </c>
      <c r="B130" s="77">
        <v>23.04</v>
      </c>
      <c r="C130" s="78">
        <v>715.39</v>
      </c>
      <c r="D130" s="79">
        <f t="shared" si="2"/>
        <v>0.18098958333333343</v>
      </c>
      <c r="E130" s="80">
        <f t="shared" si="3"/>
        <v>1.4481611428731202E-2</v>
      </c>
    </row>
    <row r="131" spans="1:5">
      <c r="A131" s="82">
        <v>130</v>
      </c>
      <c r="B131" s="77">
        <v>27.21</v>
      </c>
      <c r="C131" s="78">
        <v>725.75</v>
      </c>
      <c r="D131" s="79">
        <f t="shared" ref="D131:D194" si="4">(B132-B131)/B131</f>
        <v>-8.0117603822124211E-2</v>
      </c>
      <c r="E131" s="80">
        <f t="shared" ref="E131:E194" si="5">(C132-C131)/C131</f>
        <v>-2.4526352049603795E-2</v>
      </c>
    </row>
    <row r="132" spans="1:5">
      <c r="A132" s="82">
        <v>131</v>
      </c>
      <c r="B132" s="77">
        <v>25.03</v>
      </c>
      <c r="C132" s="78">
        <v>707.95</v>
      </c>
      <c r="D132" s="79">
        <f t="shared" si="4"/>
        <v>3.7954454654414674E-2</v>
      </c>
      <c r="E132" s="80">
        <f t="shared" si="5"/>
        <v>2.3151352496645222E-2</v>
      </c>
    </row>
    <row r="133" spans="1:5">
      <c r="A133" s="82">
        <v>132</v>
      </c>
      <c r="B133" s="77">
        <v>25.98</v>
      </c>
      <c r="C133" s="78">
        <v>724.34</v>
      </c>
      <c r="D133" s="79">
        <f t="shared" si="4"/>
        <v>-0.12432640492686683</v>
      </c>
      <c r="E133" s="80">
        <f t="shared" si="5"/>
        <v>1.5697048347461141E-2</v>
      </c>
    </row>
    <row r="134" spans="1:5">
      <c r="A134" s="82">
        <v>133</v>
      </c>
      <c r="B134" s="77">
        <v>22.75</v>
      </c>
      <c r="C134" s="78">
        <v>735.71</v>
      </c>
      <c r="D134" s="79">
        <f t="shared" si="4"/>
        <v>6.3296703296703352E-2</v>
      </c>
      <c r="E134" s="80">
        <f t="shared" si="5"/>
        <v>1.068355737994592E-2</v>
      </c>
    </row>
    <row r="135" spans="1:5">
      <c r="A135" s="82">
        <v>134</v>
      </c>
      <c r="B135" s="77">
        <v>24.19</v>
      </c>
      <c r="C135" s="78">
        <v>743.57</v>
      </c>
      <c r="D135" s="79">
        <f t="shared" si="4"/>
        <v>0.19264158743282347</v>
      </c>
      <c r="E135" s="80">
        <f t="shared" si="5"/>
        <v>-5.4466963433167934E-3</v>
      </c>
    </row>
    <row r="136" spans="1:5">
      <c r="A136" s="82">
        <v>135</v>
      </c>
      <c r="B136" s="77">
        <v>28.85</v>
      </c>
      <c r="C136" s="78">
        <v>739.52</v>
      </c>
      <c r="D136" s="79">
        <f t="shared" si="4"/>
        <v>7.6256499133448841E-2</v>
      </c>
      <c r="E136" s="80">
        <f t="shared" si="5"/>
        <v>-2.5029749026395487E-2</v>
      </c>
    </row>
    <row r="137" spans="1:5">
      <c r="A137" s="82">
        <v>136</v>
      </c>
      <c r="B137" s="77">
        <v>31.05</v>
      </c>
      <c r="C137" s="78">
        <v>721.01</v>
      </c>
      <c r="D137" s="79">
        <f t="shared" si="4"/>
        <v>-2.8341384863123962E-2</v>
      </c>
      <c r="E137" s="80">
        <f t="shared" si="5"/>
        <v>-6.7821528134144968E-3</v>
      </c>
    </row>
    <row r="138" spans="1:5">
      <c r="A138" s="82">
        <v>137</v>
      </c>
      <c r="B138" s="77">
        <v>30.17</v>
      </c>
      <c r="C138" s="78">
        <v>716.12</v>
      </c>
      <c r="D138" s="79">
        <f t="shared" si="4"/>
        <v>-0.13622804110043099</v>
      </c>
      <c r="E138" s="80">
        <f t="shared" si="5"/>
        <v>-4.3665866055968248E-2</v>
      </c>
    </row>
    <row r="139" spans="1:5">
      <c r="A139" s="82">
        <v>138</v>
      </c>
      <c r="B139" s="77">
        <v>26.06</v>
      </c>
      <c r="C139" s="78">
        <v>684.85</v>
      </c>
      <c r="D139" s="79">
        <f t="shared" si="4"/>
        <v>2.8779739063699156E-2</v>
      </c>
      <c r="E139" s="80">
        <f t="shared" si="5"/>
        <v>-9.3743155435497879E-3</v>
      </c>
    </row>
    <row r="140" spans="1:5">
      <c r="A140" s="82">
        <v>139</v>
      </c>
      <c r="B140" s="77">
        <v>26.81</v>
      </c>
      <c r="C140" s="78">
        <v>678.43</v>
      </c>
      <c r="D140" s="79">
        <f t="shared" si="4"/>
        <v>2.4244684819097431E-2</v>
      </c>
      <c r="E140" s="80">
        <f t="shared" si="5"/>
        <v>-3.670238639210966E-3</v>
      </c>
    </row>
    <row r="141" spans="1:5">
      <c r="A141" s="82">
        <v>140</v>
      </c>
      <c r="B141" s="77">
        <v>27.46</v>
      </c>
      <c r="C141" s="78">
        <v>675.94</v>
      </c>
      <c r="D141" s="79">
        <f t="shared" si="4"/>
        <v>-0.16278222869628559</v>
      </c>
      <c r="E141" s="80">
        <f t="shared" si="5"/>
        <v>-6.7535580081072411E-2</v>
      </c>
    </row>
    <row r="142" spans="1:5">
      <c r="A142" s="82">
        <v>141</v>
      </c>
      <c r="B142" s="77">
        <v>22.99</v>
      </c>
      <c r="C142" s="78">
        <v>630.29</v>
      </c>
      <c r="D142" s="79">
        <f t="shared" si="4"/>
        <v>2.6098303610265397E-2</v>
      </c>
      <c r="E142" s="80">
        <f t="shared" si="5"/>
        <v>-8.7261419346649962E-3</v>
      </c>
    </row>
    <row r="143" spans="1:5">
      <c r="A143" s="82">
        <v>142</v>
      </c>
      <c r="B143" s="77">
        <v>23.59</v>
      </c>
      <c r="C143" s="78">
        <v>624.79</v>
      </c>
      <c r="D143" s="79">
        <f t="shared" si="4"/>
        <v>4.8749470114455219E-2</v>
      </c>
      <c r="E143" s="80">
        <f t="shared" si="5"/>
        <v>1.7413851053954123E-2</v>
      </c>
    </row>
    <row r="144" spans="1:5">
      <c r="A144" s="82">
        <v>143</v>
      </c>
      <c r="B144" s="77">
        <v>24.74</v>
      </c>
      <c r="C144" s="78">
        <v>635.66999999999996</v>
      </c>
      <c r="D144" s="79">
        <f t="shared" si="4"/>
        <v>-1.2126111560226241E-2</v>
      </c>
      <c r="E144" s="80">
        <f t="shared" si="5"/>
        <v>-3.1211163024839807E-2</v>
      </c>
    </row>
    <row r="145" spans="1:5">
      <c r="A145" s="82">
        <v>144</v>
      </c>
      <c r="B145" s="77">
        <v>24.44</v>
      </c>
      <c r="C145" s="78">
        <v>615.83000000000004</v>
      </c>
      <c r="D145" s="79">
        <f t="shared" si="4"/>
        <v>-5.1554828150572891E-2</v>
      </c>
      <c r="E145" s="80">
        <f t="shared" si="5"/>
        <v>5.1881200980790042E-2</v>
      </c>
    </row>
    <row r="146" spans="1:5">
      <c r="A146" s="82">
        <v>145</v>
      </c>
      <c r="B146" s="77">
        <v>23.18</v>
      </c>
      <c r="C146" s="78">
        <v>647.78</v>
      </c>
      <c r="D146" s="79">
        <f t="shared" si="4"/>
        <v>1.9413287316652254E-2</v>
      </c>
      <c r="E146" s="80">
        <f t="shared" si="5"/>
        <v>5.0109605112847011E-2</v>
      </c>
    </row>
    <row r="147" spans="1:5">
      <c r="A147" s="82">
        <v>146</v>
      </c>
      <c r="B147" s="77">
        <v>23.63</v>
      </c>
      <c r="C147" s="78">
        <v>680.24</v>
      </c>
      <c r="D147" s="79">
        <f t="shared" si="4"/>
        <v>5.0782903089293244E-2</v>
      </c>
      <c r="E147" s="80">
        <f t="shared" si="5"/>
        <v>9.2761378337056707E-3</v>
      </c>
    </row>
    <row r="148" spans="1:5">
      <c r="A148" s="82">
        <v>147</v>
      </c>
      <c r="B148" s="77">
        <v>24.83</v>
      </c>
      <c r="C148" s="78">
        <v>686.55</v>
      </c>
      <c r="D148" s="79">
        <f t="shared" si="4"/>
        <v>8.01449859041483E-2</v>
      </c>
      <c r="E148" s="80">
        <f t="shared" si="5"/>
        <v>1.4026655014201436E-2</v>
      </c>
    </row>
    <row r="149" spans="1:5">
      <c r="A149" s="82">
        <v>148</v>
      </c>
      <c r="B149" s="77">
        <v>26.82</v>
      </c>
      <c r="C149" s="78">
        <v>696.18</v>
      </c>
      <c r="D149" s="79">
        <f t="shared" si="4"/>
        <v>-2.9828486204325818E-3</v>
      </c>
      <c r="E149" s="80">
        <f t="shared" si="5"/>
        <v>-1.7567295814300762E-2</v>
      </c>
    </row>
    <row r="150" spans="1:5">
      <c r="A150" s="82">
        <v>149</v>
      </c>
      <c r="B150" s="77">
        <v>26.74</v>
      </c>
      <c r="C150" s="78">
        <v>683.95</v>
      </c>
      <c r="D150" s="79">
        <f t="shared" si="4"/>
        <v>7.9655946148092849E-2</v>
      </c>
      <c r="E150" s="80">
        <f t="shared" si="5"/>
        <v>3.8379998537904816E-2</v>
      </c>
    </row>
    <row r="151" spans="1:5">
      <c r="A151" s="82">
        <v>150</v>
      </c>
      <c r="B151" s="77">
        <v>28.87</v>
      </c>
      <c r="C151" s="78">
        <v>710.2</v>
      </c>
      <c r="D151" s="79">
        <f t="shared" si="4"/>
        <v>3.3945271908555605E-2</v>
      </c>
      <c r="E151" s="80">
        <f t="shared" si="5"/>
        <v>-8.0399887355674972E-3</v>
      </c>
    </row>
    <row r="152" spans="1:5">
      <c r="A152" s="82">
        <v>151</v>
      </c>
      <c r="B152" s="77">
        <v>29.85</v>
      </c>
      <c r="C152" s="78">
        <v>704.49</v>
      </c>
      <c r="D152" s="79">
        <f t="shared" si="4"/>
        <v>-3.8525963149078794E-2</v>
      </c>
      <c r="E152" s="80">
        <f t="shared" si="5"/>
        <v>-1.4606310948345559E-2</v>
      </c>
    </row>
    <row r="153" spans="1:5">
      <c r="A153" s="82">
        <v>152</v>
      </c>
      <c r="B153" s="77">
        <v>28.7</v>
      </c>
      <c r="C153" s="78">
        <v>694.2</v>
      </c>
      <c r="D153" s="79">
        <f t="shared" si="4"/>
        <v>3.1010452961672496E-2</v>
      </c>
      <c r="E153" s="80">
        <f t="shared" si="5"/>
        <v>5.416306539902032E-3</v>
      </c>
    </row>
    <row r="154" spans="1:5">
      <c r="A154" s="82">
        <v>153</v>
      </c>
      <c r="B154" s="77">
        <v>29.59</v>
      </c>
      <c r="C154" s="78">
        <v>697.96</v>
      </c>
      <c r="D154" s="79">
        <f t="shared" si="4"/>
        <v>-3.6160865157147698E-2</v>
      </c>
      <c r="E154" s="80">
        <f t="shared" si="5"/>
        <v>-4.1191472290675685E-2</v>
      </c>
    </row>
    <row r="155" spans="1:5">
      <c r="A155" s="82">
        <v>154</v>
      </c>
      <c r="B155" s="77">
        <v>28.52</v>
      </c>
      <c r="C155" s="78">
        <v>669.21</v>
      </c>
      <c r="D155" s="79">
        <f t="shared" si="4"/>
        <v>5.610098176718098E-2</v>
      </c>
      <c r="E155" s="80">
        <f t="shared" si="5"/>
        <v>7.2324083620984711E-3</v>
      </c>
    </row>
    <row r="156" spans="1:5">
      <c r="A156" s="82">
        <v>155</v>
      </c>
      <c r="B156" s="77">
        <v>30.12</v>
      </c>
      <c r="C156" s="78">
        <v>674.05</v>
      </c>
      <c r="D156" s="79">
        <f t="shared" si="4"/>
        <v>5.7436918990703863E-2</v>
      </c>
      <c r="E156" s="80">
        <f t="shared" si="5"/>
        <v>4.4210370150582576E-3</v>
      </c>
    </row>
    <row r="157" spans="1:5">
      <c r="A157" s="82">
        <v>156</v>
      </c>
      <c r="B157" s="77">
        <v>31.85</v>
      </c>
      <c r="C157" s="78">
        <v>677.03</v>
      </c>
      <c r="D157" s="79">
        <f t="shared" si="4"/>
        <v>-5.1177394034536972E-2</v>
      </c>
      <c r="E157" s="80">
        <f t="shared" si="5"/>
        <v>-3.0515634462283753E-2</v>
      </c>
    </row>
    <row r="158" spans="1:5">
      <c r="A158" s="82">
        <v>157</v>
      </c>
      <c r="B158" s="77">
        <v>30.22</v>
      </c>
      <c r="C158" s="78">
        <v>656.37</v>
      </c>
      <c r="D158" s="79">
        <f t="shared" si="4"/>
        <v>6.8166776968894852E-2</v>
      </c>
      <c r="E158" s="80">
        <f t="shared" si="5"/>
        <v>1.880037174154826E-2</v>
      </c>
    </row>
    <row r="159" spans="1:5">
      <c r="A159" s="82">
        <v>158</v>
      </c>
      <c r="B159" s="77">
        <v>32.28</v>
      </c>
      <c r="C159" s="78">
        <v>668.71</v>
      </c>
      <c r="D159" s="79">
        <f t="shared" si="4"/>
        <v>6.3816604708798089E-2</v>
      </c>
      <c r="E159" s="80">
        <f t="shared" si="5"/>
        <v>-5.2040495880127675E-3</v>
      </c>
    </row>
    <row r="160" spans="1:5">
      <c r="A160" s="82">
        <v>159</v>
      </c>
      <c r="B160" s="77">
        <v>34.340000000000003</v>
      </c>
      <c r="C160" s="78">
        <v>665.23</v>
      </c>
      <c r="D160" s="79">
        <f t="shared" si="4"/>
        <v>-8.9400116482236558E-2</v>
      </c>
      <c r="E160" s="80">
        <f t="shared" si="5"/>
        <v>-3.9685522300557498E-3</v>
      </c>
    </row>
    <row r="161" spans="1:5">
      <c r="A161" s="82">
        <v>160</v>
      </c>
      <c r="B161" s="77">
        <v>31.27</v>
      </c>
      <c r="C161" s="78">
        <v>662.59</v>
      </c>
      <c r="D161" s="79">
        <f t="shared" si="4"/>
        <v>7.6431084106171956E-2</v>
      </c>
      <c r="E161" s="80">
        <f t="shared" si="5"/>
        <v>8.2705745634555575E-3</v>
      </c>
    </row>
    <row r="162" spans="1:5">
      <c r="A162" s="82">
        <v>161</v>
      </c>
      <c r="B162" s="77">
        <v>33.659999999999997</v>
      </c>
      <c r="C162" s="78">
        <v>668.07</v>
      </c>
      <c r="D162" s="79">
        <f t="shared" si="4"/>
        <v>-9.358288770053462E-2</v>
      </c>
      <c r="E162" s="80">
        <f t="shared" si="5"/>
        <v>-2.125525768257824E-2</v>
      </c>
    </row>
    <row r="163" spans="1:5">
      <c r="A163" s="82">
        <v>162</v>
      </c>
      <c r="B163" s="77">
        <v>30.51</v>
      </c>
      <c r="C163" s="78">
        <v>653.87</v>
      </c>
      <c r="D163" s="79">
        <f t="shared" si="4"/>
        <v>-7.9973779088823374E-2</v>
      </c>
      <c r="E163" s="80">
        <f t="shared" si="5"/>
        <v>-2.1930964870693001E-2</v>
      </c>
    </row>
    <row r="164" spans="1:5">
      <c r="A164" s="82">
        <v>163</v>
      </c>
      <c r="B164" s="77">
        <v>28.07</v>
      </c>
      <c r="C164" s="78">
        <v>639.53</v>
      </c>
      <c r="D164" s="79">
        <f t="shared" si="4"/>
        <v>-6.7331670822942669E-2</v>
      </c>
      <c r="E164" s="80">
        <f t="shared" si="5"/>
        <v>1.8435413506794174E-2</v>
      </c>
    </row>
    <row r="165" spans="1:5">
      <c r="A165" s="82">
        <v>164</v>
      </c>
      <c r="B165" s="77">
        <v>26.18</v>
      </c>
      <c r="C165" s="78">
        <v>651.32000000000005</v>
      </c>
      <c r="D165" s="79">
        <f t="shared" si="4"/>
        <v>2.21543162719634E-2</v>
      </c>
      <c r="E165" s="80">
        <f t="shared" si="5"/>
        <v>-4.0011054473991364E-2</v>
      </c>
    </row>
    <row r="166" spans="1:5">
      <c r="A166" s="82">
        <v>165</v>
      </c>
      <c r="B166" s="77">
        <v>26.76</v>
      </c>
      <c r="C166" s="78">
        <v>625.26</v>
      </c>
      <c r="D166" s="79">
        <f t="shared" si="4"/>
        <v>-7.73542600896861E-2</v>
      </c>
      <c r="E166" s="80">
        <f t="shared" si="5"/>
        <v>-4.2590282442503909E-2</v>
      </c>
    </row>
    <row r="167" spans="1:5">
      <c r="A167" s="82">
        <v>166</v>
      </c>
      <c r="B167" s="77">
        <v>24.69</v>
      </c>
      <c r="C167" s="78">
        <v>598.63</v>
      </c>
      <c r="D167" s="79">
        <f t="shared" si="4"/>
        <v>-0.19157553665451602</v>
      </c>
      <c r="E167" s="80">
        <f t="shared" si="5"/>
        <v>-0.1152130698428078</v>
      </c>
    </row>
    <row r="168" spans="1:5">
      <c r="A168" s="82">
        <v>167</v>
      </c>
      <c r="B168" s="77">
        <v>19.96</v>
      </c>
      <c r="C168" s="78">
        <v>529.66</v>
      </c>
      <c r="D168" s="79">
        <f t="shared" si="4"/>
        <v>3.2064128256513051E-2</v>
      </c>
      <c r="E168" s="80">
        <f t="shared" si="5"/>
        <v>7.5274704527432706E-2</v>
      </c>
    </row>
    <row r="169" spans="1:5">
      <c r="A169" s="82">
        <v>168</v>
      </c>
      <c r="B169" s="77">
        <v>20.6</v>
      </c>
      <c r="C169" s="78">
        <v>569.53</v>
      </c>
      <c r="D169" s="79">
        <f t="shared" si="4"/>
        <v>-2.7184466019417583E-2</v>
      </c>
      <c r="E169" s="80">
        <f t="shared" si="5"/>
        <v>2.7917756746791176E-2</v>
      </c>
    </row>
    <row r="170" spans="1:5">
      <c r="A170" s="82">
        <v>169</v>
      </c>
      <c r="B170" s="77">
        <v>20.04</v>
      </c>
      <c r="C170" s="78">
        <v>585.42999999999995</v>
      </c>
      <c r="D170" s="79">
        <f t="shared" si="4"/>
        <v>3.0439121756486998E-2</v>
      </c>
      <c r="E170" s="80">
        <f t="shared" si="5"/>
        <v>2.1778863399552467E-2</v>
      </c>
    </row>
    <row r="171" spans="1:5">
      <c r="A171" s="82">
        <v>170</v>
      </c>
      <c r="B171" s="77">
        <v>20.65</v>
      </c>
      <c r="C171" s="78">
        <v>598.17999999999995</v>
      </c>
      <c r="D171" s="79">
        <f t="shared" si="4"/>
        <v>1.2590799031477074E-2</v>
      </c>
      <c r="E171" s="80">
        <f t="shared" si="5"/>
        <v>-1.5965094118827034E-2</v>
      </c>
    </row>
    <row r="172" spans="1:5">
      <c r="A172" s="82">
        <v>171</v>
      </c>
      <c r="B172" s="77">
        <v>20.91</v>
      </c>
      <c r="C172" s="78">
        <v>588.63</v>
      </c>
      <c r="D172" s="79">
        <f t="shared" si="4"/>
        <v>-2.4390243902439098E-2</v>
      </c>
      <c r="E172" s="80">
        <f t="shared" si="5"/>
        <v>2.928834751881489E-2</v>
      </c>
    </row>
    <row r="173" spans="1:5">
      <c r="A173" s="82">
        <v>172</v>
      </c>
      <c r="B173" s="77">
        <v>20.399999999999999</v>
      </c>
      <c r="C173" s="78">
        <v>605.87</v>
      </c>
      <c r="D173" s="79">
        <f t="shared" si="4"/>
        <v>-3.4313725490196047E-2</v>
      </c>
      <c r="E173" s="80">
        <f t="shared" si="5"/>
        <v>-1.6736263554887991E-2</v>
      </c>
    </row>
    <row r="174" spans="1:5">
      <c r="A174" s="82">
        <v>173</v>
      </c>
      <c r="B174" s="77">
        <v>19.7</v>
      </c>
      <c r="C174" s="78">
        <v>595.73</v>
      </c>
      <c r="D174" s="79">
        <f t="shared" si="4"/>
        <v>1.1675126903553322E-2</v>
      </c>
      <c r="E174" s="80">
        <f t="shared" si="5"/>
        <v>2.845248686485477E-2</v>
      </c>
    </row>
    <row r="175" spans="1:5">
      <c r="A175" s="82">
        <v>174</v>
      </c>
      <c r="B175" s="77">
        <v>19.93</v>
      </c>
      <c r="C175" s="78">
        <v>612.67999999999995</v>
      </c>
      <c r="D175" s="79">
        <f t="shared" si="4"/>
        <v>0.16256899147014561</v>
      </c>
      <c r="E175" s="80">
        <f t="shared" si="5"/>
        <v>1.8851602794280976E-2</v>
      </c>
    </row>
    <row r="176" spans="1:5">
      <c r="A176" s="82">
        <v>175</v>
      </c>
      <c r="B176" s="77">
        <v>23.17</v>
      </c>
      <c r="C176" s="78">
        <v>624.23</v>
      </c>
      <c r="D176" s="79">
        <f t="shared" si="4"/>
        <v>4.9201553733275658E-2</v>
      </c>
      <c r="E176" s="80">
        <f t="shared" si="5"/>
        <v>1.0733223331143859E-2</v>
      </c>
    </row>
    <row r="177" spans="1:5">
      <c r="A177" s="82">
        <v>176</v>
      </c>
      <c r="B177" s="77">
        <v>24.31</v>
      </c>
      <c r="C177" s="78">
        <v>630.92999999999995</v>
      </c>
      <c r="D177" s="79">
        <f t="shared" si="4"/>
        <v>-4.7716988893459489E-2</v>
      </c>
      <c r="E177" s="80">
        <f t="shared" si="5"/>
        <v>-7.576117794367003E-3</v>
      </c>
    </row>
    <row r="178" spans="1:5">
      <c r="A178" s="82">
        <v>177</v>
      </c>
      <c r="B178" s="77">
        <v>23.15</v>
      </c>
      <c r="C178" s="78">
        <v>626.15</v>
      </c>
      <c r="D178" s="79">
        <f t="shared" si="4"/>
        <v>0.13736501079913607</v>
      </c>
      <c r="E178" s="80">
        <f t="shared" si="5"/>
        <v>1.9516090393675682E-2</v>
      </c>
    </row>
    <row r="179" spans="1:5">
      <c r="A179" s="82">
        <v>178</v>
      </c>
      <c r="B179" s="77">
        <v>26.33</v>
      </c>
      <c r="C179" s="78">
        <v>638.37</v>
      </c>
      <c r="D179" s="79">
        <f t="shared" si="4"/>
        <v>-2.2407899734143557E-2</v>
      </c>
      <c r="E179" s="80">
        <f t="shared" si="5"/>
        <v>-2.9559659758447304E-2</v>
      </c>
    </row>
    <row r="180" spans="1:5">
      <c r="A180" s="82">
        <v>179</v>
      </c>
      <c r="B180" s="77">
        <v>25.74</v>
      </c>
      <c r="C180" s="78">
        <v>619.5</v>
      </c>
      <c r="D180" s="79">
        <f t="shared" si="4"/>
        <v>2.2533022533022605E-2</v>
      </c>
      <c r="E180" s="80">
        <f t="shared" si="5"/>
        <v>1.9483454398708716E-2</v>
      </c>
    </row>
    <row r="181" spans="1:5">
      <c r="A181" s="82">
        <v>180</v>
      </c>
      <c r="B181" s="77">
        <v>26.32</v>
      </c>
      <c r="C181" s="78">
        <v>631.57000000000005</v>
      </c>
      <c r="D181" s="79">
        <f t="shared" si="4"/>
        <v>4.1793313069908595E-3</v>
      </c>
      <c r="E181" s="80">
        <f t="shared" si="5"/>
        <v>1.5279383124594228E-2</v>
      </c>
    </row>
    <row r="182" spans="1:5">
      <c r="A182" s="82">
        <v>181</v>
      </c>
      <c r="B182" s="77">
        <v>26.43</v>
      </c>
      <c r="C182" s="78">
        <v>641.22</v>
      </c>
      <c r="D182" s="79">
        <f t="shared" si="4"/>
        <v>2.2323117669315166E-2</v>
      </c>
      <c r="E182" s="80">
        <f t="shared" si="5"/>
        <v>1.0947880602601262E-2</v>
      </c>
    </row>
    <row r="183" spans="1:5">
      <c r="A183" s="82">
        <v>182</v>
      </c>
      <c r="B183" s="77">
        <v>27.02</v>
      </c>
      <c r="C183" s="78">
        <v>648.24</v>
      </c>
      <c r="D183" s="79">
        <f t="shared" si="4"/>
        <v>-5.1443375277572194E-2</v>
      </c>
      <c r="E183" s="80">
        <f t="shared" si="5"/>
        <v>-2.2075157349130042E-2</v>
      </c>
    </row>
    <row r="184" spans="1:5">
      <c r="A184" s="82">
        <v>183</v>
      </c>
      <c r="B184" s="77">
        <v>25.63</v>
      </c>
      <c r="C184" s="78">
        <v>633.92999999999995</v>
      </c>
      <c r="D184" s="79">
        <f t="shared" si="4"/>
        <v>6.0476004682013293E-2</v>
      </c>
      <c r="E184" s="80">
        <f t="shared" si="5"/>
        <v>-1.7367848185130836E-2</v>
      </c>
    </row>
    <row r="185" spans="1:5">
      <c r="A185" s="82">
        <v>184</v>
      </c>
      <c r="B185" s="77">
        <v>27.18</v>
      </c>
      <c r="C185" s="78">
        <v>622.91999999999996</v>
      </c>
      <c r="D185" s="79">
        <f t="shared" si="4"/>
        <v>5.7763061074319361E-2</v>
      </c>
      <c r="E185" s="80">
        <f t="shared" si="5"/>
        <v>5.9237141205934225E-3</v>
      </c>
    </row>
    <row r="186" spans="1:5">
      <c r="A186" s="82">
        <v>185</v>
      </c>
      <c r="B186" s="77">
        <v>28.75</v>
      </c>
      <c r="C186" s="78">
        <v>626.61</v>
      </c>
      <c r="D186" s="79">
        <f t="shared" si="4"/>
        <v>2.5391304347826101E-2</v>
      </c>
      <c r="E186" s="80">
        <f t="shared" si="5"/>
        <v>-1.6118478798614624E-3</v>
      </c>
    </row>
    <row r="187" spans="1:5">
      <c r="A187" s="82">
        <v>186</v>
      </c>
      <c r="B187" s="77">
        <v>29.48</v>
      </c>
      <c r="C187" s="78">
        <v>625.6</v>
      </c>
      <c r="D187" s="79">
        <f t="shared" si="4"/>
        <v>-6.2415196743554946E-2</v>
      </c>
      <c r="E187" s="80">
        <f t="shared" si="5"/>
        <v>-2.9923273657289046E-2</v>
      </c>
    </row>
    <row r="188" spans="1:5">
      <c r="A188" s="82">
        <v>187</v>
      </c>
      <c r="B188" s="77">
        <v>27.64</v>
      </c>
      <c r="C188" s="78">
        <v>606.88</v>
      </c>
      <c r="D188" s="79">
        <f t="shared" si="4"/>
        <v>3.4370477568740926E-2</v>
      </c>
      <c r="E188" s="80">
        <f t="shared" si="5"/>
        <v>6.772343791194328E-3</v>
      </c>
    </row>
    <row r="189" spans="1:5">
      <c r="A189" s="82">
        <v>188</v>
      </c>
      <c r="B189" s="77">
        <v>28.59</v>
      </c>
      <c r="C189" s="78">
        <v>610.99</v>
      </c>
      <c r="D189" s="79">
        <f t="shared" si="4"/>
        <v>-8.3945435466945932E-3</v>
      </c>
      <c r="E189" s="80">
        <f t="shared" si="5"/>
        <v>-1.3339007185060274E-2</v>
      </c>
    </row>
    <row r="190" spans="1:5">
      <c r="A190" s="82">
        <v>189</v>
      </c>
      <c r="B190" s="77">
        <v>28.35</v>
      </c>
      <c r="C190" s="78">
        <v>602.84</v>
      </c>
      <c r="D190" s="79">
        <f t="shared" si="4"/>
        <v>-5.3968253968254006E-2</v>
      </c>
      <c r="E190" s="80">
        <f t="shared" si="5"/>
        <v>3.8185919978767136E-2</v>
      </c>
    </row>
    <row r="191" spans="1:5">
      <c r="A191" s="82">
        <v>190</v>
      </c>
      <c r="B191" s="77">
        <v>26.82</v>
      </c>
      <c r="C191" s="78">
        <v>625.86</v>
      </c>
      <c r="D191" s="79">
        <f t="shared" si="4"/>
        <v>2.0507084265473555E-2</v>
      </c>
      <c r="E191" s="80">
        <f t="shared" si="5"/>
        <v>3.1444732048700907E-2</v>
      </c>
    </row>
    <row r="192" spans="1:5">
      <c r="A192" s="82">
        <v>191</v>
      </c>
      <c r="B192" s="77">
        <v>27.37</v>
      </c>
      <c r="C192" s="78">
        <v>645.54</v>
      </c>
      <c r="D192" s="79">
        <f t="shared" si="4"/>
        <v>-5.4804530507856089E-3</v>
      </c>
      <c r="E192" s="80">
        <f t="shared" si="5"/>
        <v>1.2082907333396636E-3</v>
      </c>
    </row>
    <row r="193" spans="1:5">
      <c r="A193" s="82">
        <v>192</v>
      </c>
      <c r="B193" s="77">
        <v>27.22</v>
      </c>
      <c r="C193" s="78">
        <v>646.32000000000005</v>
      </c>
      <c r="D193" s="79">
        <f t="shared" si="4"/>
        <v>-3.600293901542985E-2</v>
      </c>
      <c r="E193" s="80">
        <f t="shared" si="5"/>
        <v>-1.2377769525931425E-2</v>
      </c>
    </row>
    <row r="194" spans="1:5">
      <c r="A194" s="82">
        <v>193</v>
      </c>
      <c r="B194" s="77">
        <v>26.24</v>
      </c>
      <c r="C194" s="78">
        <v>638.32000000000005</v>
      </c>
      <c r="D194" s="79">
        <f t="shared" si="4"/>
        <v>2.5152439024390252E-2</v>
      </c>
      <c r="E194" s="80">
        <f t="shared" si="5"/>
        <v>-2.6632410076462079E-4</v>
      </c>
    </row>
    <row r="195" spans="1:5">
      <c r="A195" s="82">
        <v>194</v>
      </c>
      <c r="B195" s="77">
        <v>26.9</v>
      </c>
      <c r="C195" s="78">
        <v>638.15</v>
      </c>
      <c r="D195" s="79">
        <f t="shared" ref="D195:D258" si="6">(B196-B195)/B195</f>
        <v>5.5762081784387412E-3</v>
      </c>
      <c r="E195" s="80">
        <f t="shared" ref="E195:E258" si="7">(C196-C195)/C195</f>
        <v>-2.1233252370132343E-2</v>
      </c>
    </row>
    <row r="196" spans="1:5">
      <c r="A196" s="82">
        <v>195</v>
      </c>
      <c r="B196" s="77">
        <v>27.05</v>
      </c>
      <c r="C196" s="78">
        <v>624.6</v>
      </c>
      <c r="D196" s="79">
        <f t="shared" si="6"/>
        <v>6.6543438077634035E-2</v>
      </c>
      <c r="E196" s="80">
        <f t="shared" si="7"/>
        <v>-6.0838936919629652E-3</v>
      </c>
    </row>
    <row r="197" spans="1:5">
      <c r="A197" s="82">
        <v>196</v>
      </c>
      <c r="B197" s="77">
        <v>28.85</v>
      </c>
      <c r="C197" s="78">
        <v>620.79999999999995</v>
      </c>
      <c r="D197" s="79">
        <f t="shared" si="6"/>
        <v>-3.396880415944542E-2</v>
      </c>
      <c r="E197" s="80">
        <f t="shared" si="7"/>
        <v>1.2387242268041327E-2</v>
      </c>
    </row>
    <row r="198" spans="1:5">
      <c r="A198" s="82">
        <v>197</v>
      </c>
      <c r="B198" s="77">
        <v>27.87</v>
      </c>
      <c r="C198" s="78">
        <v>628.49</v>
      </c>
      <c r="D198" s="79">
        <f t="shared" si="6"/>
        <v>7.1761750986723818E-3</v>
      </c>
      <c r="E198" s="80">
        <f t="shared" si="7"/>
        <v>-4.120988400770096E-2</v>
      </c>
    </row>
    <row r="199" spans="1:5">
      <c r="A199" s="82">
        <v>198</v>
      </c>
      <c r="B199" s="77">
        <v>28.07</v>
      </c>
      <c r="C199" s="78">
        <v>602.59</v>
      </c>
      <c r="D199" s="79">
        <f t="shared" si="6"/>
        <v>-3.8831492696829346E-2</v>
      </c>
      <c r="E199" s="80">
        <f t="shared" si="7"/>
        <v>-1.6097180504157508E-3</v>
      </c>
    </row>
    <row r="200" spans="1:5">
      <c r="A200" s="82">
        <v>199</v>
      </c>
      <c r="B200" s="77">
        <v>26.98</v>
      </c>
      <c r="C200" s="78">
        <v>601.62</v>
      </c>
      <c r="D200" s="79">
        <f t="shared" si="6"/>
        <v>-5.0407709414381004E-2</v>
      </c>
      <c r="E200" s="80">
        <f t="shared" si="7"/>
        <v>-1.8001396230178587E-2</v>
      </c>
    </row>
    <row r="201" spans="1:5">
      <c r="A201" s="82">
        <v>200</v>
      </c>
      <c r="B201" s="77">
        <v>25.62</v>
      </c>
      <c r="C201" s="78">
        <v>590.79</v>
      </c>
      <c r="D201" s="79">
        <f t="shared" si="6"/>
        <v>5.3083528493364535E-2</v>
      </c>
      <c r="E201" s="80">
        <f t="shared" si="7"/>
        <v>4.6344724859933302E-2</v>
      </c>
    </row>
    <row r="202" spans="1:5">
      <c r="A202" s="82">
        <v>201</v>
      </c>
      <c r="B202" s="77">
        <v>26.98</v>
      </c>
      <c r="C202" s="78">
        <v>618.16999999999996</v>
      </c>
      <c r="D202" s="79">
        <f t="shared" si="6"/>
        <v>-2.2238695329873507E-3</v>
      </c>
      <c r="E202" s="80">
        <f t="shared" si="7"/>
        <v>-2.1159228044065431E-2</v>
      </c>
    </row>
    <row r="203" spans="1:5">
      <c r="A203" s="82">
        <v>202</v>
      </c>
      <c r="B203" s="77">
        <v>26.92</v>
      </c>
      <c r="C203" s="78">
        <v>605.09</v>
      </c>
      <c r="D203" s="79">
        <f t="shared" si="6"/>
        <v>-3.1946508172362664E-2</v>
      </c>
      <c r="E203" s="80">
        <f t="shared" si="7"/>
        <v>-1.4543291080665799E-2</v>
      </c>
    </row>
    <row r="204" spans="1:5">
      <c r="A204" s="82">
        <v>203</v>
      </c>
      <c r="B204" s="77">
        <v>26.06</v>
      </c>
      <c r="C204" s="78">
        <v>596.29</v>
      </c>
      <c r="D204" s="79">
        <f t="shared" si="6"/>
        <v>2.8779739063699156E-2</v>
      </c>
      <c r="E204" s="80">
        <f t="shared" si="7"/>
        <v>-3.6056281339616629E-2</v>
      </c>
    </row>
    <row r="205" spans="1:5">
      <c r="A205" s="82">
        <v>204</v>
      </c>
      <c r="B205" s="77">
        <v>26.81</v>
      </c>
      <c r="C205" s="78">
        <v>574.79</v>
      </c>
      <c r="D205" s="79">
        <f t="shared" si="6"/>
        <v>-8.2058933233867537E-3</v>
      </c>
      <c r="E205" s="80">
        <f t="shared" si="7"/>
        <v>-2.0581429739556931E-2</v>
      </c>
    </row>
    <row r="206" spans="1:5">
      <c r="A206" s="82">
        <v>205</v>
      </c>
      <c r="B206" s="77">
        <v>26.59</v>
      </c>
      <c r="C206" s="78">
        <v>562.96</v>
      </c>
      <c r="D206" s="79">
        <f t="shared" si="6"/>
        <v>8.4242196314403855E-2</v>
      </c>
      <c r="E206" s="80">
        <f t="shared" si="7"/>
        <v>-1.8580360949268217E-2</v>
      </c>
    </row>
    <row r="207" spans="1:5">
      <c r="A207" s="82">
        <v>206</v>
      </c>
      <c r="B207" s="77">
        <v>28.83</v>
      </c>
      <c r="C207" s="78">
        <v>552.5</v>
      </c>
      <c r="D207" s="79">
        <f t="shared" si="6"/>
        <v>1.8383628165105834E-2</v>
      </c>
      <c r="E207" s="80">
        <f t="shared" si="7"/>
        <v>2.7149321266964208E-4</v>
      </c>
    </row>
    <row r="208" spans="1:5">
      <c r="A208" s="82">
        <v>207</v>
      </c>
      <c r="B208" s="77">
        <v>29.36</v>
      </c>
      <c r="C208" s="78">
        <v>552.65</v>
      </c>
      <c r="D208" s="79">
        <f t="shared" si="6"/>
        <v>-1.4645776566757484E-2</v>
      </c>
      <c r="E208" s="80">
        <f t="shared" si="7"/>
        <v>-7.3464217859403706E-3</v>
      </c>
    </row>
    <row r="209" spans="1:5">
      <c r="A209" s="82">
        <v>208</v>
      </c>
      <c r="B209" s="77">
        <v>28.93</v>
      </c>
      <c r="C209" s="78">
        <v>548.59</v>
      </c>
      <c r="D209" s="79">
        <f t="shared" si="6"/>
        <v>-0.1016246111303146</v>
      </c>
      <c r="E209" s="80">
        <f t="shared" si="7"/>
        <v>-6.6279006179478323E-2</v>
      </c>
    </row>
    <row r="210" spans="1:5">
      <c r="A210" s="82">
        <v>209</v>
      </c>
      <c r="B210" s="77">
        <v>25.99</v>
      </c>
      <c r="C210" s="78">
        <v>512.23</v>
      </c>
      <c r="D210" s="79">
        <f t="shared" si="6"/>
        <v>-8.3493651404386235E-2</v>
      </c>
      <c r="E210" s="80">
        <f t="shared" si="7"/>
        <v>-7.359975011225435E-2</v>
      </c>
    </row>
    <row r="211" spans="1:5">
      <c r="A211" s="82">
        <v>210</v>
      </c>
      <c r="B211" s="77">
        <v>23.82</v>
      </c>
      <c r="C211" s="78">
        <v>474.53</v>
      </c>
      <c r="D211" s="79">
        <f t="shared" si="6"/>
        <v>9.5298068849706111E-2</v>
      </c>
      <c r="E211" s="80">
        <f t="shared" si="7"/>
        <v>3.9828883316124237E-3</v>
      </c>
    </row>
    <row r="212" spans="1:5">
      <c r="A212" s="82">
        <v>211</v>
      </c>
      <c r="B212" s="77">
        <v>26.09</v>
      </c>
      <c r="C212" s="78">
        <v>476.42</v>
      </c>
      <c r="D212" s="79">
        <f t="shared" si="6"/>
        <v>-5.9409735530854761E-2</v>
      </c>
      <c r="E212" s="80">
        <f t="shared" si="7"/>
        <v>1.2321061248478243E-2</v>
      </c>
    </row>
    <row r="213" spans="1:5">
      <c r="A213" s="82">
        <v>212</v>
      </c>
      <c r="B213" s="77">
        <v>24.54</v>
      </c>
      <c r="C213" s="78">
        <v>482.29</v>
      </c>
      <c r="D213" s="79">
        <f t="shared" si="6"/>
        <v>5.2567237163814146E-2</v>
      </c>
      <c r="E213" s="80">
        <f t="shared" si="7"/>
        <v>4.8663667088266332E-2</v>
      </c>
    </row>
    <row r="214" spans="1:5">
      <c r="A214" s="82">
        <v>213</v>
      </c>
      <c r="B214" s="77">
        <v>25.83</v>
      </c>
      <c r="C214" s="78">
        <v>505.76</v>
      </c>
      <c r="D214" s="79">
        <f t="shared" si="6"/>
        <v>7.8977932636469336E-2</v>
      </c>
      <c r="E214" s="80">
        <f t="shared" si="7"/>
        <v>2.1709901929769095E-2</v>
      </c>
    </row>
    <row r="215" spans="1:5">
      <c r="A215" s="82">
        <v>214</v>
      </c>
      <c r="B215" s="77">
        <v>27.87</v>
      </c>
      <c r="C215" s="78">
        <v>516.74</v>
      </c>
      <c r="D215" s="79">
        <f t="shared" si="6"/>
        <v>0</v>
      </c>
      <c r="E215" s="80">
        <f t="shared" si="7"/>
        <v>1.2114409567674247E-2</v>
      </c>
    </row>
    <row r="216" spans="1:5">
      <c r="A216" s="82">
        <v>215</v>
      </c>
      <c r="B216" s="77">
        <v>27.87</v>
      </c>
      <c r="C216" s="78">
        <v>523</v>
      </c>
      <c r="D216" s="79">
        <f t="shared" si="6"/>
        <v>-0.12630068173663436</v>
      </c>
      <c r="E216" s="80">
        <f t="shared" si="7"/>
        <v>-2.5525812619502913E-2</v>
      </c>
    </row>
    <row r="217" spans="1:5">
      <c r="A217" s="82">
        <v>216</v>
      </c>
      <c r="B217" s="77">
        <v>24.35</v>
      </c>
      <c r="C217" s="78">
        <v>509.65</v>
      </c>
      <c r="D217" s="79">
        <f t="shared" si="6"/>
        <v>4.1067761806980645E-3</v>
      </c>
      <c r="E217" s="80">
        <f t="shared" si="7"/>
        <v>-2.1249877366820338E-2</v>
      </c>
    </row>
    <row r="218" spans="1:5">
      <c r="A218" s="82">
        <v>217</v>
      </c>
      <c r="B218" s="77">
        <v>24.45</v>
      </c>
      <c r="C218" s="78">
        <v>498.82</v>
      </c>
      <c r="D218" s="79">
        <f t="shared" si="6"/>
        <v>-1.5541922290388508E-2</v>
      </c>
      <c r="E218" s="80">
        <f t="shared" si="7"/>
        <v>-5.8939096267190526E-3</v>
      </c>
    </row>
    <row r="219" spans="1:5">
      <c r="A219" s="82">
        <v>218</v>
      </c>
      <c r="B219" s="77">
        <v>24.07</v>
      </c>
      <c r="C219" s="78">
        <v>495.88</v>
      </c>
      <c r="D219" s="79">
        <f t="shared" si="6"/>
        <v>1.7033651848774412E-2</v>
      </c>
      <c r="E219" s="80">
        <f t="shared" si="7"/>
        <v>-5.1121239009437811E-2</v>
      </c>
    </row>
    <row r="220" spans="1:5">
      <c r="A220" s="82">
        <v>219</v>
      </c>
      <c r="B220" s="77">
        <v>24.48</v>
      </c>
      <c r="C220" s="78">
        <v>470.53</v>
      </c>
      <c r="D220" s="79">
        <f t="shared" si="6"/>
        <v>3.9624183006535897E-2</v>
      </c>
      <c r="E220" s="80">
        <f t="shared" si="7"/>
        <v>-1.9807451172082532E-2</v>
      </c>
    </row>
    <row r="221" spans="1:5">
      <c r="A221" s="82">
        <v>220</v>
      </c>
      <c r="B221" s="77">
        <v>25.45</v>
      </c>
      <c r="C221" s="78">
        <v>461.21</v>
      </c>
      <c r="D221" s="79">
        <f t="shared" si="6"/>
        <v>-9.3516699410609E-2</v>
      </c>
      <c r="E221" s="80">
        <f t="shared" si="7"/>
        <v>-3.5298454066477254E-2</v>
      </c>
    </row>
    <row r="222" spans="1:5">
      <c r="A222" s="82">
        <v>221</v>
      </c>
      <c r="B222" s="77">
        <v>23.07</v>
      </c>
      <c r="C222" s="78">
        <v>444.93</v>
      </c>
      <c r="D222" s="79">
        <f t="shared" si="6"/>
        <v>6.1551798872995153E-2</v>
      </c>
      <c r="E222" s="80">
        <f t="shared" si="7"/>
        <v>3.836558559773446E-2</v>
      </c>
    </row>
    <row r="223" spans="1:5">
      <c r="A223" s="82">
        <v>222</v>
      </c>
      <c r="B223" s="77">
        <v>24.49</v>
      </c>
      <c r="C223" s="78">
        <v>462</v>
      </c>
      <c r="D223" s="79">
        <f t="shared" si="6"/>
        <v>6.8599428338097318E-2</v>
      </c>
      <c r="E223" s="80">
        <f t="shared" si="7"/>
        <v>5.8528138528138575E-2</v>
      </c>
    </row>
    <row r="224" spans="1:5">
      <c r="A224" s="82">
        <v>223</v>
      </c>
      <c r="B224" s="77">
        <v>26.17</v>
      </c>
      <c r="C224" s="78">
        <v>489.04</v>
      </c>
      <c r="D224" s="79">
        <f t="shared" si="6"/>
        <v>7.2602216278181059E-2</v>
      </c>
      <c r="E224" s="80">
        <f t="shared" si="7"/>
        <v>1.5213479469982E-2</v>
      </c>
    </row>
    <row r="225" spans="1:5">
      <c r="A225" s="82">
        <v>224</v>
      </c>
      <c r="B225" s="77">
        <v>28.07</v>
      </c>
      <c r="C225" s="78">
        <v>496.48</v>
      </c>
      <c r="D225" s="79">
        <f t="shared" si="6"/>
        <v>1.7100106875667986E-2</v>
      </c>
      <c r="E225" s="80">
        <f t="shared" si="7"/>
        <v>6.4856590396389991E-3</v>
      </c>
    </row>
    <row r="226" spans="1:5">
      <c r="A226" s="82">
        <v>225</v>
      </c>
      <c r="B226" s="77">
        <v>28.55</v>
      </c>
      <c r="C226" s="78">
        <v>499.7</v>
      </c>
      <c r="D226" s="79">
        <f t="shared" si="6"/>
        <v>-2.0665499124343251E-2</v>
      </c>
      <c r="E226" s="80">
        <f t="shared" si="7"/>
        <v>-8.4850910546327984E-3</v>
      </c>
    </row>
    <row r="227" spans="1:5">
      <c r="A227" s="82">
        <v>226</v>
      </c>
      <c r="B227" s="77">
        <v>27.96</v>
      </c>
      <c r="C227" s="78">
        <v>495.46</v>
      </c>
      <c r="D227" s="79">
        <f t="shared" si="6"/>
        <v>4.1487839771101577E-2</v>
      </c>
      <c r="E227" s="80">
        <f t="shared" si="7"/>
        <v>1.6913575263391586E-2</v>
      </c>
    </row>
    <row r="228" spans="1:5">
      <c r="A228" s="82">
        <v>227</v>
      </c>
      <c r="B228" s="77">
        <v>29.12</v>
      </c>
      <c r="C228" s="78">
        <v>503.84</v>
      </c>
      <c r="D228" s="79">
        <f t="shared" si="6"/>
        <v>-2.4725274725274807E-2</v>
      </c>
      <c r="E228" s="80">
        <f t="shared" si="7"/>
        <v>2.4352969196570418E-2</v>
      </c>
    </row>
    <row r="229" spans="1:5">
      <c r="A229" s="82">
        <v>228</v>
      </c>
      <c r="B229" s="77">
        <v>28.4</v>
      </c>
      <c r="C229" s="78">
        <v>516.11</v>
      </c>
      <c r="D229" s="79">
        <f t="shared" si="6"/>
        <v>5.633802816901414E-3</v>
      </c>
      <c r="E229" s="80">
        <f t="shared" si="7"/>
        <v>6.9752572126097591E-3</v>
      </c>
    </row>
    <row r="230" spans="1:5">
      <c r="A230" s="82">
        <v>229</v>
      </c>
      <c r="B230" s="77">
        <v>28.56</v>
      </c>
      <c r="C230" s="78">
        <v>519.71</v>
      </c>
      <c r="D230" s="79">
        <f t="shared" si="6"/>
        <v>3.186274509803922E-2</v>
      </c>
      <c r="E230" s="80">
        <f t="shared" si="7"/>
        <v>-2.5167882088087665E-2</v>
      </c>
    </row>
    <row r="231" spans="1:5">
      <c r="A231" s="82">
        <v>230</v>
      </c>
      <c r="B231" s="77">
        <v>29.47</v>
      </c>
      <c r="C231" s="78">
        <v>506.63</v>
      </c>
      <c r="D231" s="79">
        <f t="shared" si="6"/>
        <v>-7.125890736342036E-2</v>
      </c>
      <c r="E231" s="80">
        <f t="shared" si="7"/>
        <v>-2.3824092533012244E-2</v>
      </c>
    </row>
    <row r="232" spans="1:5">
      <c r="A232" s="82">
        <v>231</v>
      </c>
      <c r="B232" s="77">
        <v>27.37</v>
      </c>
      <c r="C232" s="78">
        <v>494.56</v>
      </c>
      <c r="D232" s="79">
        <f t="shared" si="6"/>
        <v>7.2707343807087987E-2</v>
      </c>
      <c r="E232" s="80">
        <f t="shared" si="7"/>
        <v>6.3490779682950221E-3</v>
      </c>
    </row>
    <row r="233" spans="1:5">
      <c r="A233" s="82">
        <v>232</v>
      </c>
      <c r="B233" s="77">
        <v>29.36</v>
      </c>
      <c r="C233" s="78">
        <v>497.7</v>
      </c>
      <c r="D233" s="79">
        <f t="shared" si="6"/>
        <v>-1.4305177111716558E-2</v>
      </c>
      <c r="E233" s="80">
        <f t="shared" si="7"/>
        <v>-2.0795660036166296E-2</v>
      </c>
    </row>
    <row r="234" spans="1:5">
      <c r="A234" s="82">
        <v>233</v>
      </c>
      <c r="B234" s="77">
        <v>28.94</v>
      </c>
      <c r="C234" s="78">
        <v>487.35</v>
      </c>
      <c r="D234" s="79">
        <f t="shared" si="6"/>
        <v>4.9067035245335108E-2</v>
      </c>
      <c r="E234" s="80">
        <f t="shared" si="7"/>
        <v>3.5744331589206847E-2</v>
      </c>
    </row>
    <row r="235" spans="1:5">
      <c r="A235" s="82">
        <v>234</v>
      </c>
      <c r="B235" s="77">
        <v>30.36</v>
      </c>
      <c r="C235" s="78">
        <v>504.77</v>
      </c>
      <c r="D235" s="79">
        <f t="shared" si="6"/>
        <v>3.6890645586297795E-2</v>
      </c>
      <c r="E235" s="80">
        <f t="shared" si="7"/>
        <v>2.0009113061394343E-2</v>
      </c>
    </row>
    <row r="236" spans="1:5">
      <c r="A236" s="82">
        <v>235</v>
      </c>
      <c r="B236" s="77">
        <v>31.48</v>
      </c>
      <c r="C236" s="78">
        <v>514.87</v>
      </c>
      <c r="D236" s="79">
        <f t="shared" si="6"/>
        <v>-5.6226175349428191E-2</v>
      </c>
      <c r="E236" s="80">
        <f t="shared" si="7"/>
        <v>-2.6725192767106241E-2</v>
      </c>
    </row>
    <row r="237" spans="1:5">
      <c r="A237" s="82">
        <v>236</v>
      </c>
      <c r="B237" s="77">
        <v>29.71</v>
      </c>
      <c r="C237" s="78">
        <v>501.11</v>
      </c>
      <c r="D237" s="79">
        <f t="shared" si="6"/>
        <v>3.0292830696735059E-3</v>
      </c>
      <c r="E237" s="80">
        <f t="shared" si="7"/>
        <v>-4.2605415976532141E-2</v>
      </c>
    </row>
    <row r="238" spans="1:5">
      <c r="A238" s="82">
        <v>237</v>
      </c>
      <c r="B238" s="77">
        <v>29.8</v>
      </c>
      <c r="C238" s="78">
        <v>479.76</v>
      </c>
      <c r="D238" s="79">
        <f t="shared" si="6"/>
        <v>1.0067114093959755E-2</v>
      </c>
      <c r="E238" s="80">
        <f t="shared" si="7"/>
        <v>-5.9404702351174878E-3</v>
      </c>
    </row>
    <row r="239" spans="1:5">
      <c r="A239" s="82">
        <v>238</v>
      </c>
      <c r="B239" s="77">
        <v>30.1</v>
      </c>
      <c r="C239" s="78">
        <v>476.91</v>
      </c>
      <c r="D239" s="79">
        <f t="shared" si="6"/>
        <v>-9.3023255813953869E-3</v>
      </c>
      <c r="E239" s="80">
        <f t="shared" si="7"/>
        <v>-3.0928267387976764E-2</v>
      </c>
    </row>
    <row r="240" spans="1:5">
      <c r="A240" s="82">
        <v>239</v>
      </c>
      <c r="B240" s="77">
        <v>29.82</v>
      </c>
      <c r="C240" s="78">
        <v>462.16</v>
      </c>
      <c r="D240" s="79">
        <f t="shared" si="6"/>
        <v>3.0181086519114639E-3</v>
      </c>
      <c r="E240" s="80">
        <f t="shared" si="7"/>
        <v>3.3754543880907093E-3</v>
      </c>
    </row>
    <row r="241" spans="1:5">
      <c r="A241" s="82">
        <v>240</v>
      </c>
      <c r="B241" s="77">
        <v>29.91</v>
      </c>
      <c r="C241" s="78">
        <v>463.72</v>
      </c>
      <c r="D241" s="79">
        <f t="shared" si="6"/>
        <v>4.4801069876295549E-2</v>
      </c>
      <c r="E241" s="80">
        <f t="shared" si="7"/>
        <v>1.723022513585774E-2</v>
      </c>
    </row>
    <row r="242" spans="1:5">
      <c r="A242" s="82">
        <v>241</v>
      </c>
      <c r="B242" s="77">
        <v>31.25</v>
      </c>
      <c r="C242" s="78">
        <v>471.71</v>
      </c>
      <c r="D242" s="79">
        <f t="shared" si="6"/>
        <v>-4.7999999999999545E-3</v>
      </c>
      <c r="E242" s="80">
        <f t="shared" si="7"/>
        <v>-7.5470098153526581E-3</v>
      </c>
    </row>
    <row r="243" spans="1:5">
      <c r="A243" s="82">
        <v>242</v>
      </c>
      <c r="B243" s="77">
        <v>31.1</v>
      </c>
      <c r="C243" s="78">
        <v>468.15</v>
      </c>
      <c r="D243" s="79">
        <f t="shared" si="6"/>
        <v>2.025723472668807E-2</v>
      </c>
      <c r="E243" s="80">
        <f t="shared" si="7"/>
        <v>-1.4610701698173609E-2</v>
      </c>
    </row>
    <row r="244" spans="1:5">
      <c r="A244" s="82">
        <v>243</v>
      </c>
      <c r="B244" s="77">
        <v>31.73</v>
      </c>
      <c r="C244" s="78">
        <v>461.31</v>
      </c>
      <c r="D244" s="79">
        <f t="shared" si="6"/>
        <v>-1.1976047904191585E-2</v>
      </c>
      <c r="E244" s="80">
        <f t="shared" si="7"/>
        <v>4.1837376167869911E-3</v>
      </c>
    </row>
    <row r="245" spans="1:5">
      <c r="A245" s="82">
        <v>244</v>
      </c>
      <c r="B245" s="77">
        <v>31.35</v>
      </c>
      <c r="C245" s="78">
        <v>463.24</v>
      </c>
      <c r="D245" s="79">
        <f t="shared" si="6"/>
        <v>6.0925039872408181E-2</v>
      </c>
      <c r="E245" s="80">
        <f t="shared" si="7"/>
        <v>7.3158621880666574E-2</v>
      </c>
    </row>
    <row r="246" spans="1:5">
      <c r="A246" s="82">
        <v>245</v>
      </c>
      <c r="B246" s="77">
        <v>33.26</v>
      </c>
      <c r="C246" s="78">
        <v>497.13</v>
      </c>
      <c r="D246" s="79">
        <f t="shared" si="6"/>
        <v>-1.7137702946482272E-2</v>
      </c>
      <c r="E246" s="80">
        <f t="shared" si="7"/>
        <v>-3.3653169191157281E-2</v>
      </c>
    </row>
    <row r="247" spans="1:5">
      <c r="A247" s="82">
        <v>246</v>
      </c>
      <c r="B247" s="77">
        <v>32.69</v>
      </c>
      <c r="C247" s="78">
        <v>480.4</v>
      </c>
      <c r="D247" s="79">
        <f t="shared" si="6"/>
        <v>3.3649434077699433E-3</v>
      </c>
      <c r="E247" s="80">
        <f t="shared" si="7"/>
        <v>1.6298917568692842E-2</v>
      </c>
    </row>
    <row r="248" spans="1:5">
      <c r="A248" s="82">
        <v>247</v>
      </c>
      <c r="B248" s="77">
        <v>32.799999999999997</v>
      </c>
      <c r="C248" s="78">
        <v>488.23</v>
      </c>
      <c r="D248" s="79">
        <f t="shared" si="6"/>
        <v>-9.1463414634145486E-3</v>
      </c>
      <c r="E248" s="80">
        <f t="shared" si="7"/>
        <v>-1.1838682588124509E-2</v>
      </c>
    </row>
    <row r="249" spans="1:5">
      <c r="A249" s="82">
        <v>248</v>
      </c>
      <c r="B249" s="77">
        <v>32.5</v>
      </c>
      <c r="C249" s="78">
        <v>482.45</v>
      </c>
      <c r="D249" s="79">
        <f t="shared" si="6"/>
        <v>-2.5230769230769241E-2</v>
      </c>
      <c r="E249" s="80">
        <f t="shared" si="7"/>
        <v>2.9163643900922361E-2</v>
      </c>
    </row>
    <row r="250" spans="1:5">
      <c r="A250" s="82">
        <v>249</v>
      </c>
      <c r="B250" s="77">
        <v>31.68</v>
      </c>
      <c r="C250" s="78">
        <v>496.52</v>
      </c>
      <c r="D250" s="79">
        <f t="shared" si="6"/>
        <v>-2.7462121212121243E-2</v>
      </c>
      <c r="E250" s="80">
        <f t="shared" si="7"/>
        <v>6.6462579553693939E-3</v>
      </c>
    </row>
    <row r="251" spans="1:5">
      <c r="A251" s="82">
        <v>250</v>
      </c>
      <c r="B251" s="77">
        <v>30.81</v>
      </c>
      <c r="C251" s="78">
        <v>499.82</v>
      </c>
      <c r="D251" s="79">
        <f t="shared" si="6"/>
        <v>-1.0061668289516349E-2</v>
      </c>
      <c r="E251" s="80">
        <f t="shared" si="7"/>
        <v>3.6593173542475335E-2</v>
      </c>
    </row>
    <row r="252" spans="1:5">
      <c r="A252" s="82">
        <v>251</v>
      </c>
      <c r="B252" s="77">
        <v>30.5</v>
      </c>
      <c r="C252" s="78">
        <v>518.11</v>
      </c>
      <c r="D252" s="79">
        <f t="shared" si="6"/>
        <v>1.1803278688524571E-2</v>
      </c>
      <c r="E252" s="80">
        <f t="shared" si="7"/>
        <v>4.9796375287101983E-3</v>
      </c>
    </row>
    <row r="253" spans="1:5">
      <c r="A253" s="82">
        <v>252</v>
      </c>
      <c r="B253" s="77">
        <v>30.86</v>
      </c>
      <c r="C253" s="78">
        <v>520.69000000000005</v>
      </c>
      <c r="D253" s="79">
        <f t="shared" si="6"/>
        <v>-1.6202203499675955E-2</v>
      </c>
      <c r="E253" s="80">
        <f t="shared" si="7"/>
        <v>1.1849661026714472E-2</v>
      </c>
    </row>
    <row r="254" spans="1:5">
      <c r="A254" s="82">
        <v>253</v>
      </c>
      <c r="B254" s="77">
        <v>30.36</v>
      </c>
      <c r="C254" s="78">
        <v>526.86</v>
      </c>
      <c r="D254" s="79">
        <f t="shared" si="6"/>
        <v>-1.3175230566534867E-2</v>
      </c>
      <c r="E254" s="80">
        <f t="shared" si="7"/>
        <v>-8.5601488061344388E-3</v>
      </c>
    </row>
    <row r="255" spans="1:5">
      <c r="A255" s="82">
        <v>254</v>
      </c>
      <c r="B255" s="77">
        <v>29.96</v>
      </c>
      <c r="C255" s="78">
        <v>522.35</v>
      </c>
      <c r="D255" s="79">
        <f t="shared" si="6"/>
        <v>5.3070761014686239E-2</v>
      </c>
      <c r="E255" s="80">
        <f t="shared" si="7"/>
        <v>3.4210778213841303E-2</v>
      </c>
    </row>
    <row r="256" spans="1:5">
      <c r="A256" s="82">
        <v>255</v>
      </c>
      <c r="B256" s="77">
        <v>31.55</v>
      </c>
      <c r="C256" s="78">
        <v>540.22</v>
      </c>
      <c r="D256" s="79">
        <f t="shared" si="6"/>
        <v>7.2583201267828926E-2</v>
      </c>
      <c r="E256" s="80">
        <f t="shared" si="7"/>
        <v>2.5989411721150574E-2</v>
      </c>
    </row>
    <row r="257" spans="1:5">
      <c r="A257" s="82">
        <v>256</v>
      </c>
      <c r="B257" s="77">
        <v>33.840000000000003</v>
      </c>
      <c r="C257" s="78">
        <v>554.26</v>
      </c>
      <c r="D257" s="79">
        <f t="shared" si="6"/>
        <v>-2.4527186761229471E-2</v>
      </c>
      <c r="E257" s="80">
        <f t="shared" si="7"/>
        <v>-8.6601955760837548E-4</v>
      </c>
    </row>
    <row r="258" spans="1:5">
      <c r="A258" s="82">
        <v>257</v>
      </c>
      <c r="B258" s="77">
        <v>33.01</v>
      </c>
      <c r="C258" s="78">
        <v>553.78</v>
      </c>
      <c r="D258" s="79">
        <f t="shared" si="6"/>
        <v>1.9993941229930437E-2</v>
      </c>
      <c r="E258" s="80">
        <f t="shared" si="7"/>
        <v>6.2118530824516139E-3</v>
      </c>
    </row>
    <row r="259" spans="1:5">
      <c r="A259" s="82">
        <v>258</v>
      </c>
      <c r="B259" s="77">
        <v>33.67</v>
      </c>
      <c r="C259" s="78">
        <v>557.22</v>
      </c>
      <c r="D259" s="79">
        <f t="shared" ref="D259:D274" si="8">(B260-B259)/B259</f>
        <v>-5.0490050490050991E-3</v>
      </c>
      <c r="E259" s="80">
        <f t="shared" ref="E259:E274" si="9">(C260-C259)/C259</f>
        <v>-1.6995082732134573E-2</v>
      </c>
    </row>
    <row r="260" spans="1:5">
      <c r="A260" s="82">
        <v>259</v>
      </c>
      <c r="B260" s="77">
        <v>33.5</v>
      </c>
      <c r="C260" s="78">
        <v>547.75</v>
      </c>
      <c r="D260" s="79">
        <f t="shared" si="8"/>
        <v>-8.9552238805973544E-4</v>
      </c>
      <c r="E260" s="80">
        <f t="shared" si="9"/>
        <v>1.068005476951168E-2</v>
      </c>
    </row>
    <row r="261" spans="1:5">
      <c r="A261" s="82">
        <v>260</v>
      </c>
      <c r="B261" s="77">
        <v>33.47</v>
      </c>
      <c r="C261" s="78">
        <v>553.6</v>
      </c>
      <c r="D261" s="79">
        <f t="shared" si="8"/>
        <v>5.4377054078279065E-2</v>
      </c>
      <c r="E261" s="80">
        <f t="shared" si="9"/>
        <v>1.5173410404624235E-2</v>
      </c>
    </row>
    <row r="262" spans="1:5">
      <c r="A262" s="82">
        <v>261</v>
      </c>
      <c r="B262" s="77">
        <v>35.29</v>
      </c>
      <c r="C262" s="78">
        <v>562</v>
      </c>
      <c r="D262" s="79">
        <f t="shared" si="8"/>
        <v>-1.7001983564749865E-3</v>
      </c>
      <c r="E262" s="80">
        <f t="shared" si="9"/>
        <v>-6.619217081850582E-3</v>
      </c>
    </row>
    <row r="263" spans="1:5">
      <c r="A263" s="82">
        <v>262</v>
      </c>
      <c r="B263" s="77">
        <v>35.229999999999997</v>
      </c>
      <c r="C263" s="78">
        <v>558.28</v>
      </c>
      <c r="D263" s="79">
        <f t="shared" si="8"/>
        <v>-4.2293499858075359E-2</v>
      </c>
      <c r="E263" s="80">
        <f t="shared" si="9"/>
        <v>5.5169449021996867E-3</v>
      </c>
    </row>
    <row r="264" spans="1:5">
      <c r="A264" s="82">
        <v>263</v>
      </c>
      <c r="B264" s="77">
        <v>33.74</v>
      </c>
      <c r="C264" s="78">
        <v>561.36</v>
      </c>
      <c r="D264" s="79">
        <f t="shared" si="8"/>
        <v>-3.675163011262602E-2</v>
      </c>
      <c r="E264" s="80">
        <f t="shared" si="9"/>
        <v>-1.5818725951261214E-2</v>
      </c>
    </row>
    <row r="265" spans="1:5">
      <c r="A265" s="82">
        <v>264</v>
      </c>
      <c r="B265" s="77">
        <v>32.5</v>
      </c>
      <c r="C265" s="78">
        <v>552.48</v>
      </c>
      <c r="D265" s="79">
        <f t="shared" si="8"/>
        <v>-3.384615384615367E-3</v>
      </c>
      <c r="E265" s="80">
        <f t="shared" si="9"/>
        <v>-6.5522733854619254E-3</v>
      </c>
    </row>
    <row r="266" spans="1:5">
      <c r="A266" s="82">
        <v>265</v>
      </c>
      <c r="B266" s="77">
        <v>32.39</v>
      </c>
      <c r="C266" s="78">
        <v>548.86</v>
      </c>
      <c r="D266" s="79">
        <f t="shared" si="8"/>
        <v>6.1747452917568025E-3</v>
      </c>
      <c r="E266" s="80">
        <f t="shared" si="9"/>
        <v>1.5869256276646204E-2</v>
      </c>
    </row>
    <row r="267" spans="1:5">
      <c r="A267" s="82">
        <v>266</v>
      </c>
      <c r="B267" s="77">
        <v>32.590000000000003</v>
      </c>
      <c r="C267" s="78">
        <v>557.57000000000005</v>
      </c>
      <c r="D267" s="79">
        <f t="shared" si="8"/>
        <v>4.1730592206198201E-2</v>
      </c>
      <c r="E267" s="80">
        <f t="shared" si="9"/>
        <v>5.775059633767802E-3</v>
      </c>
    </row>
    <row r="268" spans="1:5">
      <c r="A268" s="82">
        <v>267</v>
      </c>
      <c r="B268" s="77">
        <v>33.950000000000003</v>
      </c>
      <c r="C268" s="78">
        <v>560.79</v>
      </c>
      <c r="D268" s="79">
        <f t="shared" si="8"/>
        <v>-1.4727540500736375E-2</v>
      </c>
      <c r="E268" s="80">
        <f t="shared" si="9"/>
        <v>1.6458924017903349E-2</v>
      </c>
    </row>
    <row r="269" spans="1:5">
      <c r="A269" s="82">
        <v>268</v>
      </c>
      <c r="B269" s="77">
        <v>33.450000000000003</v>
      </c>
      <c r="C269" s="78">
        <v>570.02</v>
      </c>
      <c r="D269" s="79">
        <f t="shared" si="8"/>
        <v>-1.3751868460388663E-2</v>
      </c>
      <c r="E269" s="80">
        <f t="shared" si="9"/>
        <v>1.426265745061576E-2</v>
      </c>
    </row>
    <row r="270" spans="1:5">
      <c r="A270" s="82">
        <v>269</v>
      </c>
      <c r="B270" s="77">
        <v>32.99</v>
      </c>
      <c r="C270" s="78">
        <v>578.15</v>
      </c>
      <c r="D270" s="79">
        <f t="shared" si="8"/>
        <v>-2.0006062443164704E-2</v>
      </c>
      <c r="E270" s="80">
        <f t="shared" si="9"/>
        <v>-2.715558246129787E-3</v>
      </c>
    </row>
    <row r="271" spans="1:5">
      <c r="A271" s="82">
        <v>270</v>
      </c>
      <c r="B271" s="77">
        <v>32.33</v>
      </c>
      <c r="C271" s="78">
        <v>576.58000000000004</v>
      </c>
      <c r="D271" s="79">
        <f t="shared" si="8"/>
        <v>6.217135787194572E-2</v>
      </c>
      <c r="E271" s="80">
        <f t="shared" si="9"/>
        <v>1.7465052551250367E-2</v>
      </c>
    </row>
    <row r="272" spans="1:5">
      <c r="A272" s="82">
        <v>271</v>
      </c>
      <c r="B272" s="77">
        <v>34.340000000000003</v>
      </c>
      <c r="C272" s="78">
        <v>586.65</v>
      </c>
      <c r="D272" s="79">
        <f t="shared" si="8"/>
        <v>-2.387885847408271E-2</v>
      </c>
      <c r="E272" s="80">
        <f t="shared" si="9"/>
        <v>-4.0620472172504779E-2</v>
      </c>
    </row>
    <row r="273" spans="1:5">
      <c r="A273" s="82">
        <v>272</v>
      </c>
      <c r="B273" s="77">
        <v>33.520000000000003</v>
      </c>
      <c r="C273" s="78">
        <v>562.82000000000005</v>
      </c>
      <c r="D273" s="79">
        <f t="shared" si="8"/>
        <v>4.4152744630071503E-2</v>
      </c>
      <c r="E273" s="80">
        <f t="shared" si="9"/>
        <v>3.5713016595003567E-2</v>
      </c>
    </row>
    <row r="274" spans="1:5">
      <c r="A274" s="82">
        <v>273</v>
      </c>
      <c r="B274" s="77">
        <v>35</v>
      </c>
      <c r="C274" s="78">
        <v>582.91999999999996</v>
      </c>
      <c r="D274" s="79">
        <f t="shared" si="8"/>
        <v>4.0571428571428619E-2</v>
      </c>
      <c r="E274" s="80">
        <f t="shared" si="9"/>
        <v>4.7862485418240543E-3</v>
      </c>
    </row>
    <row r="275" spans="1:5">
      <c r="A275" s="83">
        <v>274</v>
      </c>
      <c r="B275" s="84">
        <v>36.42</v>
      </c>
      <c r="C275" s="85">
        <v>585.71</v>
      </c>
      <c r="D275" s="86"/>
      <c r="E275" s="87"/>
    </row>
  </sheetData>
  <sortState ref="A2:E275">
    <sortCondition ref="A2:A275"/>
  </sortState>
  <pageMargins left="0.7" right="0.7" top="0.75" bottom="0.75" header="0.3" footer="0.3"/>
</worksheet>
</file>

<file path=xl/worksheets/sheet4.xml><?xml version="1.0" encoding="utf-8"?>
<worksheet xmlns="http://schemas.openxmlformats.org/spreadsheetml/2006/main" xmlns:r="http://schemas.openxmlformats.org/officeDocument/2006/relationships">
  <sheetPr>
    <pageSetUpPr fitToPage="1"/>
  </sheetPr>
  <dimension ref="A1:K115"/>
  <sheetViews>
    <sheetView zoomScale="85" zoomScaleNormal="85" workbookViewId="0">
      <selection activeCell="A5" sqref="A5"/>
    </sheetView>
  </sheetViews>
  <sheetFormatPr defaultColWidth="9.1796875" defaultRowHeight="13"/>
  <cols>
    <col min="1" max="1" width="24.453125" style="16" customWidth="1"/>
    <col min="2" max="2" width="16.26953125" style="27" customWidth="1"/>
    <col min="3" max="3" width="1.453125" style="60" customWidth="1"/>
    <col min="4" max="4" width="46.453125" style="1" customWidth="1"/>
    <col min="5" max="7" width="12.7265625" style="1" customWidth="1"/>
    <col min="8" max="8" width="13.54296875" style="1" customWidth="1"/>
    <col min="9" max="9" width="11.26953125" style="1" bestFit="1" customWidth="1"/>
    <col min="10" max="16384" width="9.1796875" style="1"/>
  </cols>
  <sheetData>
    <row r="1" spans="1:11" s="3" customFormat="1">
      <c r="A1" s="104" t="s">
        <v>60</v>
      </c>
      <c r="B1" s="2"/>
      <c r="C1" s="55"/>
      <c r="E1" s="165" t="s">
        <v>61</v>
      </c>
      <c r="F1" s="165"/>
      <c r="G1" s="165"/>
      <c r="H1" s="165"/>
      <c r="J1" s="1" t="s">
        <v>95</v>
      </c>
      <c r="K1" s="1" t="s">
        <v>96</v>
      </c>
    </row>
    <row r="2" spans="1:11" s="7" customFormat="1">
      <c r="A2" s="5" t="s">
        <v>55</v>
      </c>
      <c r="B2" s="6"/>
      <c r="C2" s="60"/>
      <c r="E2" s="8" t="s">
        <v>0</v>
      </c>
      <c r="F2" s="8" t="s">
        <v>1</v>
      </c>
      <c r="G2" s="8" t="s">
        <v>2</v>
      </c>
      <c r="H2" s="9" t="s">
        <v>3</v>
      </c>
      <c r="J2" s="1"/>
      <c r="K2" s="52">
        <f>'"Rapid Bounce" Base Case'!E24</f>
        <v>15.31046724404689</v>
      </c>
    </row>
    <row r="3" spans="1:11" s="11" customFormat="1">
      <c r="A3" s="10" t="s">
        <v>111</v>
      </c>
      <c r="B3" s="54">
        <v>3</v>
      </c>
      <c r="C3" s="60"/>
      <c r="D3" s="1" t="s">
        <v>4</v>
      </c>
      <c r="E3" s="96"/>
      <c r="F3" s="96">
        <f>B4*B6</f>
        <v>329.4</v>
      </c>
      <c r="G3" s="96">
        <f>$B$4*(1+$B$5)^1*$B7</f>
        <v>376.98</v>
      </c>
      <c r="H3" s="96">
        <f>$B$4*(1+$B$5)^5*$B$8</f>
        <v>360.65016451472997</v>
      </c>
      <c r="J3" s="95">
        <v>0.01</v>
      </c>
      <c r="K3" s="100">
        <f t="dataTable" ref="K3:K52" dt2D="0" dtr="0" r1="E23"/>
        <v>55.74515745311146</v>
      </c>
    </row>
    <row r="4" spans="1:11">
      <c r="A4" s="12" t="s">
        <v>138</v>
      </c>
      <c r="B4" s="106">
        <v>18300</v>
      </c>
      <c r="D4" s="13" t="s">
        <v>62</v>
      </c>
      <c r="E4" s="96"/>
      <c r="F4" s="96">
        <f>-$B$13</f>
        <v>-170</v>
      </c>
      <c r="G4" s="96">
        <f>-$B$13</f>
        <v>-170</v>
      </c>
      <c r="H4" s="96">
        <f>-$B$13</f>
        <v>-170</v>
      </c>
      <c r="J4" s="95">
        <v>0.02</v>
      </c>
      <c r="K4" s="100">
        <v>50.854858942919947</v>
      </c>
    </row>
    <row r="5" spans="1:11">
      <c r="A5" s="12" t="s">
        <v>109</v>
      </c>
      <c r="B5" s="69">
        <v>0.03</v>
      </c>
      <c r="D5" s="1" t="s">
        <v>127</v>
      </c>
      <c r="E5" s="107"/>
      <c r="F5" s="107">
        <f>F3+F4</f>
        <v>159.39999999999998</v>
      </c>
      <c r="G5" s="107">
        <f t="shared" ref="G5:H5" si="0">G3+G4</f>
        <v>206.98000000000002</v>
      </c>
      <c r="H5" s="107">
        <f t="shared" si="0"/>
        <v>190.65016451472997</v>
      </c>
      <c r="J5" s="95">
        <v>0.03</v>
      </c>
      <c r="K5" s="100">
        <v>46.131717390618348</v>
      </c>
    </row>
    <row r="6" spans="1:11">
      <c r="A6" s="10" t="s">
        <v>106</v>
      </c>
      <c r="B6" s="69">
        <v>1.7999999999999999E-2</v>
      </c>
      <c r="D6" s="1" t="s">
        <v>115</v>
      </c>
      <c r="E6" s="96"/>
      <c r="F6" s="96">
        <f>-F5*$B$12</f>
        <v>-49.413999999999994</v>
      </c>
      <c r="G6" s="96">
        <f>-G5*$B$12</f>
        <v>-64.163800000000009</v>
      </c>
      <c r="H6" s="96">
        <f>-H5*$B$12</f>
        <v>-59.101550999566292</v>
      </c>
      <c r="J6" s="95">
        <v>0.04</v>
      </c>
      <c r="K6" s="100">
        <v>41.568288672317863</v>
      </c>
    </row>
    <row r="7" spans="1:11">
      <c r="A7" s="10" t="s">
        <v>107</v>
      </c>
      <c r="B7" s="69">
        <v>0.02</v>
      </c>
      <c r="D7" s="13" t="s">
        <v>126</v>
      </c>
      <c r="E7" s="96"/>
      <c r="F7" s="96">
        <f>-$B$14</f>
        <v>-7</v>
      </c>
      <c r="G7" s="96">
        <f>-$B$14</f>
        <v>-7</v>
      </c>
      <c r="H7" s="96">
        <f>-$B$14</f>
        <v>-7</v>
      </c>
      <c r="J7" s="95">
        <v>0.05</v>
      </c>
      <c r="K7" s="100">
        <v>37.157532110224082</v>
      </c>
    </row>
    <row r="8" spans="1:11">
      <c r="A8" s="10" t="s">
        <v>108</v>
      </c>
      <c r="B8" s="69">
        <v>1.7000000000000001E-2</v>
      </c>
      <c r="D8" s="1" t="s">
        <v>6</v>
      </c>
      <c r="E8" s="96"/>
      <c r="F8" s="96">
        <f>-$B$15</f>
        <v>-10</v>
      </c>
      <c r="G8" s="96">
        <f>-$B$15</f>
        <v>-10</v>
      </c>
      <c r="H8" s="96"/>
      <c r="J8" s="95">
        <v>0.06</v>
      </c>
      <c r="K8" s="100">
        <v>32.89278487366937</v>
      </c>
    </row>
    <row r="9" spans="1:11">
      <c r="A9" s="12" t="s">
        <v>130</v>
      </c>
      <c r="B9" s="106">
        <v>100</v>
      </c>
      <c r="D9" s="10" t="s">
        <v>117</v>
      </c>
      <c r="E9" s="97"/>
      <c r="F9" s="97">
        <f>-$B$16</f>
        <v>-20</v>
      </c>
      <c r="G9" s="97">
        <f>-$B$16</f>
        <v>-20</v>
      </c>
      <c r="H9" s="97">
        <f>-$B$16</f>
        <v>-20</v>
      </c>
      <c r="J9" s="95">
        <v>7.0000000000000007E-2</v>
      </c>
      <c r="K9" s="100">
        <v>28.767738233758479</v>
      </c>
    </row>
    <row r="10" spans="1:11">
      <c r="A10" s="12" t="s">
        <v>5</v>
      </c>
      <c r="B10" s="106">
        <v>15</v>
      </c>
      <c r="D10" s="1" t="s">
        <v>63</v>
      </c>
      <c r="E10" s="96"/>
      <c r="F10" s="96">
        <f>-$B$9/20</f>
        <v>-5</v>
      </c>
      <c r="G10" s="96">
        <f>-$B$9/20</f>
        <v>-5</v>
      </c>
      <c r="H10" s="96">
        <f>-$B$9/20</f>
        <v>-5</v>
      </c>
      <c r="J10" s="95">
        <v>0.08</v>
      </c>
      <c r="K10" s="100">
        <v>24.776415521244672</v>
      </c>
    </row>
    <row r="11" spans="1:11">
      <c r="A11" s="12" t="s">
        <v>129</v>
      </c>
      <c r="B11" s="106">
        <v>5</v>
      </c>
      <c r="D11" s="1" t="s">
        <v>64</v>
      </c>
      <c r="E11" s="96"/>
      <c r="F11" s="96">
        <f>-($B$10+$B$11)/5</f>
        <v>-4</v>
      </c>
      <c r="G11" s="96">
        <f>-($B$10+$B$11)/5</f>
        <v>-4</v>
      </c>
      <c r="H11" s="96">
        <f>-($B$10+$B$11)/5</f>
        <v>-4</v>
      </c>
      <c r="J11" s="95">
        <v>0.09</v>
      </c>
      <c r="K11" s="100">
        <v>20.913151650733795</v>
      </c>
    </row>
    <row r="12" spans="1:11">
      <c r="A12" s="12" t="s">
        <v>104</v>
      </c>
      <c r="B12" s="26">
        <v>0.31</v>
      </c>
      <c r="D12" s="1" t="s">
        <v>103</v>
      </c>
      <c r="E12" s="96"/>
      <c r="F12" s="96">
        <f>SUM(F5:F11)</f>
        <v>63.98599999999999</v>
      </c>
      <c r="G12" s="96">
        <f t="shared" ref="G12:H12" si="1">SUM(G5:G11)</f>
        <v>96.816200000000009</v>
      </c>
      <c r="H12" s="96">
        <f t="shared" si="1"/>
        <v>95.54861351516368</v>
      </c>
      <c r="J12" s="95">
        <v>0.1</v>
      </c>
      <c r="K12" s="100">
        <v>17.172574086474953</v>
      </c>
    </row>
    <row r="13" spans="1:11">
      <c r="A13" s="12" t="s">
        <v>54</v>
      </c>
      <c r="B13" s="106">
        <v>170</v>
      </c>
      <c r="D13" s="1" t="s">
        <v>7</v>
      </c>
      <c r="E13" s="98"/>
      <c r="F13" s="98">
        <f>-F12*$B$18</f>
        <v>-25.594399999999997</v>
      </c>
      <c r="G13" s="98">
        <f>-G12*$B$18</f>
        <v>-38.726480000000009</v>
      </c>
      <c r="H13" s="98">
        <f>-H12*$B$18</f>
        <v>-38.219445406065475</v>
      </c>
      <c r="J13" s="95">
        <v>0.11</v>
      </c>
      <c r="K13" s="100">
        <v>13.549585135974667</v>
      </c>
    </row>
    <row r="14" spans="1:11">
      <c r="A14" s="12" t="s">
        <v>128</v>
      </c>
      <c r="B14" s="106">
        <v>7</v>
      </c>
      <c r="D14" s="1" t="s">
        <v>58</v>
      </c>
      <c r="E14" s="96"/>
      <c r="F14" s="96">
        <f t="shared" ref="F14:H14" si="2">F12+F13</f>
        <v>38.391599999999997</v>
      </c>
      <c r="G14" s="96">
        <f t="shared" si="2"/>
        <v>58.08972</v>
      </c>
      <c r="H14" s="96">
        <f t="shared" si="2"/>
        <v>57.329168109098205</v>
      </c>
      <c r="J14" s="95">
        <v>0.12</v>
      </c>
      <c r="K14" s="100">
        <v>10.039345467595581</v>
      </c>
    </row>
    <row r="15" spans="1:11">
      <c r="A15" s="12" t="s">
        <v>9</v>
      </c>
      <c r="B15" s="106">
        <v>10</v>
      </c>
      <c r="D15" s="1" t="s">
        <v>125</v>
      </c>
      <c r="E15" s="96"/>
      <c r="F15" s="96">
        <f>-1*F10</f>
        <v>5</v>
      </c>
      <c r="G15" s="96">
        <f t="shared" ref="F15:H16" si="3">-1*G10</f>
        <v>5</v>
      </c>
      <c r="H15" s="96">
        <f t="shared" si="3"/>
        <v>5</v>
      </c>
      <c r="J15" s="95">
        <v>0.13</v>
      </c>
      <c r="K15" s="100">
        <v>6.6372587572766975</v>
      </c>
    </row>
    <row r="16" spans="1:11">
      <c r="A16" s="10" t="s">
        <v>113</v>
      </c>
      <c r="B16" s="106">
        <v>20</v>
      </c>
      <c r="D16" s="17" t="s">
        <v>119</v>
      </c>
      <c r="E16" s="97"/>
      <c r="F16" s="97">
        <f t="shared" si="3"/>
        <v>4</v>
      </c>
      <c r="G16" s="97">
        <f t="shared" si="3"/>
        <v>4</v>
      </c>
      <c r="H16" s="97">
        <f t="shared" si="3"/>
        <v>4</v>
      </c>
      <c r="J16" s="95">
        <v>0.14000000000000001</v>
      </c>
      <c r="K16" s="100">
        <v>3.3389573776399004</v>
      </c>
    </row>
    <row r="17" spans="1:11">
      <c r="A17" s="12" t="s">
        <v>65</v>
      </c>
      <c r="B17" s="106">
        <v>-45</v>
      </c>
      <c r="D17" s="17" t="s">
        <v>57</v>
      </c>
      <c r="E17" s="97">
        <f>B17</f>
        <v>-45</v>
      </c>
      <c r="F17" s="97">
        <v>0</v>
      </c>
      <c r="G17" s="97">
        <v>0</v>
      </c>
      <c r="H17" s="97">
        <f>-B17</f>
        <v>45</v>
      </c>
      <c r="J17" s="95">
        <v>0.15</v>
      </c>
      <c r="K17" s="100">
        <v>0.14028905011801385</v>
      </c>
    </row>
    <row r="18" spans="1:11">
      <c r="A18" s="12" t="s">
        <v>114</v>
      </c>
      <c r="B18" s="26">
        <v>0.4</v>
      </c>
      <c r="D18" s="1" t="s">
        <v>124</v>
      </c>
      <c r="E18" s="96">
        <f>-B9</f>
        <v>-100</v>
      </c>
      <c r="F18" s="96"/>
      <c r="G18" s="96"/>
      <c r="H18" s="96"/>
      <c r="J18" s="95">
        <v>0.16</v>
      </c>
      <c r="K18" s="100">
        <v>-2.9626956125851791</v>
      </c>
    </row>
    <row r="19" spans="1:11">
      <c r="A19" s="17"/>
      <c r="B19" s="17"/>
      <c r="D19" s="18" t="s">
        <v>120</v>
      </c>
      <c r="E19" s="98">
        <f>-B10-B11</f>
        <v>-20</v>
      </c>
      <c r="F19" s="98"/>
      <c r="G19" s="98"/>
      <c r="H19" s="98"/>
      <c r="J19" s="95">
        <v>0.17</v>
      </c>
      <c r="K19" s="100">
        <v>-5.9737547403160249</v>
      </c>
    </row>
    <row r="20" spans="1:11">
      <c r="A20" s="17"/>
      <c r="B20" s="17"/>
      <c r="D20" s="19" t="s">
        <v>121</v>
      </c>
      <c r="E20" s="99">
        <f>SUM(E14:E19)</f>
        <v>-165</v>
      </c>
      <c r="F20" s="99">
        <f t="shared" ref="F20:H20" si="4">SUM(F14:F19)</f>
        <v>47.391599999999997</v>
      </c>
      <c r="G20" s="99">
        <f>SUM(G14:G19)</f>
        <v>67.08972</v>
      </c>
      <c r="H20" s="99">
        <f t="shared" si="4"/>
        <v>111.32916810909821</v>
      </c>
      <c r="J20" s="95">
        <v>0.18</v>
      </c>
      <c r="K20" s="100">
        <v>-8.8964660766812642</v>
      </c>
    </row>
    <row r="21" spans="1:11">
      <c r="A21" s="17"/>
      <c r="B21" s="17"/>
      <c r="C21" s="61"/>
      <c r="D21" s="17"/>
      <c r="E21" s="17"/>
      <c r="F21" s="15"/>
      <c r="G21" s="15"/>
      <c r="H21" s="15"/>
      <c r="J21" s="95">
        <v>0.19</v>
      </c>
      <c r="K21" s="100">
        <v>-11.734237143736436</v>
      </c>
    </row>
    <row r="22" spans="1:11" s="17" customFormat="1">
      <c r="C22" s="61"/>
      <c r="D22" s="23" t="s">
        <v>122</v>
      </c>
      <c r="E22" s="6"/>
      <c r="F22" s="15"/>
      <c r="G22" s="15"/>
      <c r="H22" s="24"/>
      <c r="J22" s="95">
        <v>0.2</v>
      </c>
      <c r="K22" s="100">
        <v>-14.490314751679279</v>
      </c>
    </row>
    <row r="23" spans="1:11" s="17" customFormat="1">
      <c r="C23" s="60"/>
      <c r="D23" s="12" t="s">
        <v>123</v>
      </c>
      <c r="E23" s="26">
        <v>0.1051</v>
      </c>
      <c r="F23" s="1"/>
      <c r="G23" s="1"/>
      <c r="H23" s="1"/>
      <c r="J23" s="95">
        <v>0.21</v>
      </c>
      <c r="K23" s="100">
        <v>-17.167793900916649</v>
      </c>
    </row>
    <row r="24" spans="1:11" s="22" customFormat="1">
      <c r="C24" s="60"/>
      <c r="D24" s="12" t="s">
        <v>10</v>
      </c>
      <c r="E24" s="25">
        <f>E20+NPV(E23,F20:H20)</f>
        <v>15.31046724404689</v>
      </c>
      <c r="F24" s="1"/>
      <c r="G24" s="1"/>
      <c r="H24" s="1"/>
      <c r="I24" s="21"/>
      <c r="J24" s="95">
        <v>0.22</v>
      </c>
      <c r="K24" s="100">
        <v>-19.769626120083728</v>
      </c>
    </row>
    <row r="25" spans="1:11" s="17" customFormat="1">
      <c r="C25" s="59"/>
      <c r="D25" s="12" t="s">
        <v>11</v>
      </c>
      <c r="E25" s="26">
        <f>IRR(E20:H20)</f>
        <v>0.15044563734114702</v>
      </c>
      <c r="F25" s="1"/>
      <c r="G25" s="1"/>
      <c r="H25" s="1"/>
      <c r="J25" s="95">
        <v>0.23</v>
      </c>
      <c r="K25" s="100">
        <v>-22.298627280134383</v>
      </c>
    </row>
    <row r="26" spans="1:11" s="17" customFormat="1">
      <c r="B26" s="14"/>
      <c r="C26" s="59"/>
      <c r="D26" s="1"/>
      <c r="E26" s="1"/>
      <c r="F26" s="1"/>
      <c r="G26" s="1"/>
      <c r="H26" s="1"/>
      <c r="J26" s="95">
        <v>0.24</v>
      </c>
      <c r="K26" s="100">
        <v>-24.757484921464226</v>
      </c>
    </row>
    <row r="27" spans="1:11" s="17" customFormat="1">
      <c r="A27" s="16"/>
      <c r="B27" s="27"/>
      <c r="C27" s="61"/>
      <c r="J27" s="95">
        <v>0.25</v>
      </c>
      <c r="K27" s="100">
        <v>-27.148765128141719</v>
      </c>
    </row>
    <row r="28" spans="1:11" s="17" customFormat="1">
      <c r="A28" s="20"/>
      <c r="B28" s="20"/>
      <c r="C28" s="61"/>
      <c r="D28" s="1"/>
      <c r="E28" s="1"/>
      <c r="F28" s="1"/>
      <c r="G28" s="1"/>
      <c r="H28" s="1"/>
      <c r="J28" s="95">
        <v>0.26</v>
      </c>
      <c r="K28" s="100">
        <v>-29.474918980682531</v>
      </c>
    </row>
    <row r="29" spans="1:11" s="17" customFormat="1">
      <c r="A29" s="20"/>
      <c r="B29" s="20"/>
      <c r="C29" s="61"/>
      <c r="D29" s="20"/>
      <c r="E29" s="20"/>
      <c r="F29" s="20"/>
      <c r="G29" s="20"/>
      <c r="H29" s="20"/>
      <c r="J29" s="95">
        <v>0.27</v>
      </c>
      <c r="K29" s="100">
        <v>-31.738288616387564</v>
      </c>
    </row>
    <row r="30" spans="1:11" s="17" customFormat="1">
      <c r="A30" s="20"/>
      <c r="B30" s="20"/>
      <c r="C30" s="61"/>
      <c r="D30" s="20"/>
      <c r="E30" s="20"/>
      <c r="F30" s="20"/>
      <c r="G30" s="20"/>
      <c r="H30" s="20"/>
      <c r="J30" s="95">
        <v>0.28000000000000003</v>
      </c>
      <c r="K30" s="100">
        <v>-33.941112924052163</v>
      </c>
    </row>
    <row r="31" spans="1:11" s="17" customFormat="1" ht="19.5" customHeight="1">
      <c r="A31" s="20"/>
      <c r="B31" s="20"/>
      <c r="C31" s="61"/>
      <c r="D31" s="20"/>
      <c r="E31" s="28"/>
      <c r="F31" s="28"/>
      <c r="G31" s="28"/>
      <c r="H31" s="28"/>
      <c r="J31" s="95">
        <v>0.28999999999999998</v>
      </c>
      <c r="K31" s="100">
        <v>-36.085532897826283</v>
      </c>
    </row>
    <row r="32" spans="1:11" s="17" customFormat="1">
      <c r="A32" s="12"/>
      <c r="B32" s="6"/>
      <c r="C32" s="61"/>
      <c r="D32" s="20"/>
      <c r="E32" s="20"/>
      <c r="F32" s="20"/>
      <c r="G32" s="20"/>
      <c r="H32" s="20"/>
      <c r="J32" s="95">
        <v>0.3</v>
      </c>
      <c r="K32" s="100">
        <v>-38.173596673146037</v>
      </c>
    </row>
    <row r="33" spans="1:11" s="17" customFormat="1" ht="18" customHeight="1">
      <c r="A33" s="20"/>
      <c r="B33" s="20"/>
      <c r="C33" s="61"/>
      <c r="D33" s="20"/>
      <c r="E33" s="20"/>
      <c r="F33" s="20"/>
      <c r="G33" s="20"/>
      <c r="H33" s="20"/>
      <c r="J33" s="95">
        <v>0.31</v>
      </c>
      <c r="K33" s="100">
        <v>-40.207264265949107</v>
      </c>
    </row>
    <row r="34" spans="1:11" s="20" customFormat="1">
      <c r="C34" s="62"/>
      <c r="J34" s="95">
        <v>0.32</v>
      </c>
      <c r="K34" s="100">
        <v>-42.188412034820388</v>
      </c>
    </row>
    <row r="35" spans="1:11" s="20" customFormat="1">
      <c r="C35" s="63"/>
      <c r="J35" s="95">
        <v>0.33</v>
      </c>
      <c r="K35" s="100">
        <v>-44.118836884271502</v>
      </c>
    </row>
    <row r="36" spans="1:11">
      <c r="A36" s="20"/>
      <c r="B36" s="20"/>
      <c r="D36" s="20"/>
      <c r="E36" s="20"/>
      <c r="F36" s="20"/>
      <c r="G36" s="20"/>
      <c r="H36" s="20"/>
      <c r="J36" s="95">
        <v>0.34</v>
      </c>
      <c r="K36" s="100">
        <v>-46.000260226034229</v>
      </c>
    </row>
    <row r="37" spans="1:11" s="20" customFormat="1">
      <c r="C37" s="63"/>
      <c r="J37" s="95">
        <v>0.35</v>
      </c>
      <c r="K37" s="100">
        <v>-47.834331714028082</v>
      </c>
    </row>
    <row r="38" spans="1:11" s="20" customFormat="1">
      <c r="A38" s="12"/>
      <c r="B38" s="6"/>
      <c r="C38" s="63"/>
      <c r="I38" s="28"/>
      <c r="J38" s="95">
        <v>0.36</v>
      </c>
      <c r="K38" s="100">
        <v>-49.622632767538661</v>
      </c>
    </row>
    <row r="39" spans="1:11" s="20" customFormat="1">
      <c r="A39" s="12"/>
      <c r="B39" s="6"/>
      <c r="C39" s="63"/>
      <c r="I39" s="28"/>
      <c r="J39" s="95">
        <v>0.37</v>
      </c>
      <c r="K39" s="100">
        <v>-51.366679896109872</v>
      </c>
    </row>
    <row r="40" spans="1:11" s="20" customFormat="1">
      <c r="A40" s="12"/>
      <c r="B40" s="6"/>
      <c r="C40" s="63"/>
      <c r="J40" s="95">
        <v>0.38</v>
      </c>
      <c r="K40" s="100">
        <v>-53.067927838697614</v>
      </c>
    </row>
    <row r="41" spans="1:11" s="20" customFormat="1">
      <c r="A41" s="12"/>
      <c r="B41" s="6"/>
      <c r="C41" s="63"/>
      <c r="D41" s="1"/>
      <c r="E41" s="1"/>
      <c r="F41" s="1"/>
      <c r="G41" s="1"/>
      <c r="H41" s="1"/>
      <c r="J41" s="95">
        <v>0.39</v>
      </c>
      <c r="K41" s="100">
        <v>-54.72777252875477</v>
      </c>
    </row>
    <row r="42" spans="1:11" s="20" customFormat="1">
      <c r="A42" s="12"/>
      <c r="B42" s="6"/>
      <c r="C42" s="63"/>
      <c r="D42" s="1"/>
      <c r="E42" s="1"/>
      <c r="F42" s="1"/>
      <c r="G42" s="1"/>
      <c r="H42" s="1"/>
      <c r="J42" s="95">
        <v>0.4</v>
      </c>
      <c r="K42" s="100">
        <v>-56.347553896101232</v>
      </c>
    </row>
    <row r="43" spans="1:11" s="20" customFormat="1">
      <c r="A43" s="12"/>
      <c r="B43" s="6"/>
      <c r="C43" s="63"/>
      <c r="D43" s="1"/>
      <c r="E43" s="1"/>
      <c r="F43" s="1"/>
      <c r="G43" s="1"/>
      <c r="H43" s="1"/>
      <c r="J43" s="95">
        <v>0.41</v>
      </c>
      <c r="K43" s="100">
        <v>-57.928558515686689</v>
      </c>
    </row>
    <row r="44" spans="1:11" s="20" customFormat="1">
      <c r="A44" s="12"/>
      <c r="B44" s="6"/>
      <c r="C44" s="63"/>
      <c r="D44" s="1"/>
      <c r="E44" s="1"/>
      <c r="F44" s="1"/>
      <c r="G44" s="1"/>
      <c r="H44" s="1"/>
      <c r="J44" s="95">
        <v>0.42</v>
      </c>
      <c r="K44" s="100">
        <v>-59.472022112655722</v>
      </c>
    </row>
    <row r="45" spans="1:11" s="20" customFormat="1">
      <c r="A45" s="12"/>
      <c r="B45" s="6"/>
      <c r="C45" s="63"/>
      <c r="D45" s="1"/>
      <c r="E45" s="1"/>
      <c r="F45" s="1"/>
      <c r="G45" s="1"/>
      <c r="H45" s="1"/>
      <c r="J45" s="95">
        <v>0.43</v>
      </c>
      <c r="K45" s="100">
        <v>-60.979131932486908</v>
      </c>
    </row>
    <row r="46" spans="1:11" s="20" customFormat="1">
      <c r="A46" s="12"/>
      <c r="B46" s="6"/>
      <c r="C46" s="63"/>
      <c r="D46" s="1"/>
      <c r="E46" s="1"/>
      <c r="F46" s="1"/>
      <c r="G46" s="1"/>
      <c r="H46" s="1"/>
      <c r="J46" s="95">
        <v>0.44</v>
      </c>
      <c r="K46" s="100">
        <v>-62.451028984382276</v>
      </c>
    </row>
    <row r="47" spans="1:11" s="20" customFormat="1">
      <c r="A47" s="12"/>
      <c r="B47" s="6"/>
      <c r="C47" s="63"/>
      <c r="D47" s="1"/>
      <c r="E47" s="1"/>
      <c r="F47" s="1"/>
      <c r="G47" s="1"/>
      <c r="H47" s="1"/>
      <c r="J47" s="95">
        <v>0.45</v>
      </c>
      <c r="K47" s="100">
        <v>-63.888810165534238</v>
      </c>
    </row>
    <row r="48" spans="1:11" s="20" customFormat="1">
      <c r="A48" s="12"/>
      <c r="B48" s="6"/>
      <c r="C48" s="63"/>
      <c r="J48" s="95">
        <v>0.46</v>
      </c>
      <c r="K48" s="100">
        <v>-65.29353027338837</v>
      </c>
    </row>
    <row r="49" spans="1:11" s="20" customFormat="1">
      <c r="A49" s="12"/>
      <c r="B49" s="6"/>
      <c r="C49" s="63"/>
      <c r="D49" s="1"/>
      <c r="E49" s="1"/>
      <c r="F49" s="1"/>
      <c r="G49" s="1"/>
      <c r="H49" s="1"/>
      <c r="J49" s="95">
        <v>0.47</v>
      </c>
      <c r="K49" s="100">
        <v>-66.666203912548966</v>
      </c>
    </row>
    <row r="50" spans="1:11">
      <c r="A50" s="12"/>
      <c r="B50" s="6"/>
      <c r="J50" s="95">
        <v>0.48</v>
      </c>
      <c r="K50" s="100">
        <v>-68.007807302535682</v>
      </c>
    </row>
    <row r="51" spans="1:11">
      <c r="A51" s="12"/>
      <c r="B51" s="6"/>
      <c r="J51" s="95">
        <v>0.49</v>
      </c>
      <c r="K51" s="100">
        <v>-69.319279992195106</v>
      </c>
    </row>
    <row r="52" spans="1:11">
      <c r="A52" s="12"/>
      <c r="B52" s="6"/>
      <c r="J52" s="95">
        <v>0.5</v>
      </c>
      <c r="K52" s="100">
        <v>-70.601526486193123</v>
      </c>
    </row>
    <row r="53" spans="1:11">
      <c r="A53" s="12"/>
      <c r="B53" s="6"/>
    </row>
    <row r="54" spans="1:11">
      <c r="A54" s="12"/>
      <c r="B54" s="6"/>
    </row>
    <row r="55" spans="1:11">
      <c r="A55" s="12"/>
      <c r="B55" s="6"/>
    </row>
    <row r="56" spans="1:11">
      <c r="A56" s="12"/>
      <c r="B56" s="6"/>
    </row>
    <row r="57" spans="1:11" s="20" customFormat="1">
      <c r="A57" s="12"/>
      <c r="B57" s="6"/>
      <c r="C57" s="63"/>
      <c r="D57" s="1"/>
      <c r="E57" s="1"/>
      <c r="F57" s="1"/>
      <c r="G57" s="1"/>
      <c r="H57" s="1"/>
    </row>
    <row r="58" spans="1:11">
      <c r="A58" s="22"/>
      <c r="B58" s="17"/>
    </row>
    <row r="59" spans="1:11">
      <c r="A59" s="29"/>
      <c r="B59" s="30"/>
    </row>
    <row r="60" spans="1:11">
      <c r="A60" s="29"/>
      <c r="B60" s="29"/>
    </row>
    <row r="61" spans="1:11">
      <c r="A61" s="29"/>
      <c r="B61" s="29"/>
    </row>
    <row r="62" spans="1:11">
      <c r="A62" s="31"/>
      <c r="B62" s="30"/>
    </row>
    <row r="63" spans="1:11">
      <c r="A63" s="29"/>
      <c r="B63" s="32"/>
    </row>
    <row r="64" spans="1:11">
      <c r="A64" s="29"/>
      <c r="B64" s="32"/>
    </row>
    <row r="65" spans="1:2">
      <c r="A65" s="29"/>
      <c r="B65" s="33"/>
    </row>
    <row r="66" spans="1:2">
      <c r="A66" s="29"/>
      <c r="B66" s="33"/>
    </row>
    <row r="67" spans="1:2">
      <c r="A67" s="29"/>
      <c r="B67" s="33"/>
    </row>
    <row r="68" spans="1:2">
      <c r="A68" s="29"/>
      <c r="B68" s="33"/>
    </row>
    <row r="69" spans="1:2">
      <c r="A69" s="20"/>
      <c r="B69" s="34"/>
    </row>
    <row r="70" spans="1:2">
      <c r="A70" s="20"/>
      <c r="B70" s="34"/>
    </row>
    <row r="71" spans="1:2">
      <c r="A71" s="20"/>
      <c r="B71" s="34"/>
    </row>
    <row r="72" spans="1:2">
      <c r="A72" s="20"/>
      <c r="B72" s="34"/>
    </row>
    <row r="73" spans="1:2">
      <c r="A73" s="20"/>
      <c r="B73" s="34"/>
    </row>
    <row r="74" spans="1:2">
      <c r="A74" s="35"/>
      <c r="B74" s="34"/>
    </row>
    <row r="75" spans="1:2">
      <c r="A75" s="20"/>
      <c r="B75" s="34"/>
    </row>
    <row r="76" spans="1:2">
      <c r="A76" s="20"/>
      <c r="B76" s="34"/>
    </row>
    <row r="77" spans="1:2">
      <c r="A77" s="35"/>
      <c r="B77" s="34"/>
    </row>
    <row r="78" spans="1:2">
      <c r="A78" s="20"/>
      <c r="B78" s="36"/>
    </row>
    <row r="79" spans="1:2">
      <c r="A79" s="20"/>
      <c r="B79" s="1"/>
    </row>
    <row r="80" spans="1:2">
      <c r="A80" s="35"/>
      <c r="B80" s="1"/>
    </row>
    <row r="81" spans="1:2">
      <c r="A81" s="20"/>
      <c r="B81" s="37"/>
    </row>
    <row r="82" spans="1:2">
      <c r="A82" s="20"/>
      <c r="B82" s="37"/>
    </row>
    <row r="83" spans="1:2">
      <c r="A83" s="20"/>
      <c r="B83" s="1"/>
    </row>
    <row r="84" spans="1:2">
      <c r="A84" s="35"/>
      <c r="B84" s="1"/>
    </row>
    <row r="85" spans="1:2">
      <c r="A85" s="20"/>
      <c r="B85" s="1"/>
    </row>
    <row r="86" spans="1:2">
      <c r="A86" s="20"/>
      <c r="B86" s="1"/>
    </row>
    <row r="87" spans="1:2">
      <c r="A87" s="20"/>
      <c r="B87" s="1"/>
    </row>
    <row r="88" spans="1:2">
      <c r="A88" s="20"/>
      <c r="B88" s="1"/>
    </row>
    <row r="89" spans="1:2">
      <c r="A89" s="35"/>
      <c r="B89" s="1"/>
    </row>
    <row r="90" spans="1:2">
      <c r="A90" s="20"/>
      <c r="B90" s="1"/>
    </row>
    <row r="91" spans="1:2">
      <c r="A91" s="20"/>
      <c r="B91" s="1"/>
    </row>
    <row r="92" spans="1:2">
      <c r="A92" s="20"/>
      <c r="B92" s="1"/>
    </row>
    <row r="93" spans="1:2">
      <c r="A93" s="35"/>
      <c r="B93" s="1"/>
    </row>
    <row r="94" spans="1:2">
      <c r="A94" s="20"/>
      <c r="B94" s="1"/>
    </row>
    <row r="95" spans="1:2">
      <c r="A95" s="20"/>
      <c r="B95" s="1"/>
    </row>
    <row r="96" spans="1:2">
      <c r="A96" s="20"/>
      <c r="B96" s="1"/>
    </row>
    <row r="97" spans="1:2">
      <c r="A97" s="35"/>
      <c r="B97" s="1"/>
    </row>
    <row r="98" spans="1:2">
      <c r="A98" s="35"/>
      <c r="B98" s="35"/>
    </row>
    <row r="99" spans="1:2">
      <c r="A99" s="35"/>
      <c r="B99" s="1"/>
    </row>
    <row r="100" spans="1:2">
      <c r="A100" s="35"/>
      <c r="B100" s="1"/>
    </row>
    <row r="101" spans="1:2">
      <c r="A101" s="35"/>
      <c r="B101" s="1"/>
    </row>
    <row r="102" spans="1:2">
      <c r="A102" s="35"/>
      <c r="B102" s="1"/>
    </row>
    <row r="103" spans="1:2">
      <c r="A103" s="20"/>
      <c r="B103" s="1"/>
    </row>
    <row r="104" spans="1:2">
      <c r="A104" s="20"/>
      <c r="B104" s="1"/>
    </row>
    <row r="105" spans="1:2">
      <c r="A105" s="20"/>
      <c r="B105" s="1"/>
    </row>
    <row r="106" spans="1:2">
      <c r="A106" s="35"/>
      <c r="B106" s="1"/>
    </row>
    <row r="107" spans="1:2">
      <c r="A107" s="20"/>
      <c r="B107" s="1"/>
    </row>
    <row r="108" spans="1:2">
      <c r="A108" s="20"/>
      <c r="B108" s="1"/>
    </row>
    <row r="109" spans="1:2">
      <c r="A109" s="20"/>
      <c r="B109" s="1"/>
    </row>
    <row r="110" spans="1:2">
      <c r="A110" s="20"/>
      <c r="B110" s="1"/>
    </row>
    <row r="111" spans="1:2">
      <c r="A111" s="20"/>
      <c r="B111" s="1"/>
    </row>
    <row r="112" spans="1:2">
      <c r="A112" s="20"/>
      <c r="B112" s="1"/>
    </row>
    <row r="113" spans="1:2">
      <c r="A113" s="1"/>
      <c r="B113" s="1"/>
    </row>
    <row r="114" spans="1:2">
      <c r="A114" s="1"/>
      <c r="B114" s="1"/>
    </row>
    <row r="115" spans="1:2">
      <c r="A115" s="1"/>
      <c r="B115" s="1"/>
    </row>
  </sheetData>
  <mergeCells count="1">
    <mergeCell ref="E1:H1"/>
  </mergeCells>
  <phoneticPr fontId="0" type="noConversion"/>
  <pageMargins left="0.28000000000000003" right="0.2" top="0.65" bottom="0.5" header="0.17" footer="0.21"/>
  <pageSetup scale="68" orientation="landscape" r:id="rId1"/>
  <headerFooter alignWithMargins="0">
    <oddHeader>&amp;C&amp;14Reebok International</oddHeader>
    <oddFooter>&amp;LMVC 7&amp;RFebruary 9, 2006</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AC120"/>
  <sheetViews>
    <sheetView zoomScale="85" zoomScaleNormal="85" workbookViewId="0">
      <selection activeCell="F8" sqref="F8"/>
    </sheetView>
  </sheetViews>
  <sheetFormatPr defaultColWidth="9.1796875" defaultRowHeight="13"/>
  <cols>
    <col min="1" max="1" width="39.81640625" style="1" customWidth="1"/>
    <col min="2" max="2" width="14.453125" style="1" customWidth="1"/>
    <col min="3" max="3" width="1.08984375" style="57" customWidth="1"/>
    <col min="4" max="4" width="52.1796875" style="1" customWidth="1"/>
    <col min="5" max="8" width="12.7265625" style="1" customWidth="1"/>
    <col min="9" max="11" width="14.1796875" style="1" customWidth="1"/>
    <col min="12" max="16384" width="9.1796875" style="1"/>
  </cols>
  <sheetData>
    <row r="1" spans="1:11" s="3" customFormat="1">
      <c r="A1" s="105" t="s">
        <v>56</v>
      </c>
      <c r="C1" s="55"/>
      <c r="E1" s="165" t="s">
        <v>59</v>
      </c>
      <c r="F1" s="165"/>
      <c r="G1" s="165"/>
      <c r="H1" s="165"/>
      <c r="I1" s="4"/>
      <c r="J1" s="1" t="s">
        <v>95</v>
      </c>
      <c r="K1" s="1" t="s">
        <v>97</v>
      </c>
    </row>
    <row r="2" spans="1:11" s="7" customFormat="1">
      <c r="A2" s="5" t="s">
        <v>55</v>
      </c>
      <c r="B2" s="27"/>
      <c r="C2" s="56"/>
      <c r="E2" s="38" t="s">
        <v>0</v>
      </c>
      <c r="F2" s="38" t="s">
        <v>1</v>
      </c>
      <c r="G2" s="38" t="s">
        <v>2</v>
      </c>
      <c r="H2" s="38" t="s">
        <v>3</v>
      </c>
      <c r="I2" s="39"/>
      <c r="J2" s="1"/>
      <c r="K2" s="52">
        <f>E20</f>
        <v>3.9200766929309694</v>
      </c>
    </row>
    <row r="3" spans="1:11" s="11" customFormat="1">
      <c r="A3" s="13" t="s">
        <v>111</v>
      </c>
      <c r="B3" s="27">
        <v>3</v>
      </c>
      <c r="C3" s="57"/>
      <c r="D3" s="7"/>
      <c r="E3" s="39"/>
      <c r="F3" s="39"/>
      <c r="G3" s="39"/>
      <c r="H3" s="39"/>
      <c r="I3" s="40"/>
      <c r="J3" s="95">
        <v>0.01</v>
      </c>
      <c r="K3" s="96">
        <f t="dataTable" ref="K3:K52" dt2D="0" dtr="0" r1="E19"/>
        <v>21.073562094960579</v>
      </c>
    </row>
    <row r="4" spans="1:11">
      <c r="A4" s="13" t="s">
        <v>110</v>
      </c>
      <c r="B4" s="109">
        <v>350</v>
      </c>
      <c r="D4" s="1" t="s">
        <v>4</v>
      </c>
      <c r="E4" s="96"/>
      <c r="F4" s="96">
        <f>B6*B4</f>
        <v>42</v>
      </c>
      <c r="G4" s="110">
        <f>B7*(B4*(1+B5))</f>
        <v>52.324999999999996</v>
      </c>
      <c r="H4" s="110">
        <f>B8*(B4*(1+B5)^2)</f>
        <v>74.059999999999988</v>
      </c>
      <c r="I4" s="41"/>
      <c r="J4" s="95">
        <v>0.02</v>
      </c>
      <c r="K4" s="96">
        <v>19.360036298256318</v>
      </c>
    </row>
    <row r="5" spans="1:11">
      <c r="A5" s="16" t="s">
        <v>109</v>
      </c>
      <c r="B5" s="65">
        <v>0.15</v>
      </c>
      <c r="D5" s="1" t="s">
        <v>115</v>
      </c>
      <c r="E5" s="96"/>
      <c r="F5" s="96">
        <f>B11*-F4</f>
        <v>-7.1400000000000006</v>
      </c>
      <c r="G5" s="96">
        <f>B11*-G4</f>
        <v>-8.8952500000000008</v>
      </c>
      <c r="H5" s="96">
        <f>B11*-H4</f>
        <v>-12.590199999999999</v>
      </c>
      <c r="I5" s="42"/>
      <c r="J5" s="95">
        <v>0.03</v>
      </c>
      <c r="K5" s="96">
        <v>17.706111316001142</v>
      </c>
    </row>
    <row r="6" spans="1:11">
      <c r="A6" s="13" t="s">
        <v>106</v>
      </c>
      <c r="B6" s="53">
        <v>0.12</v>
      </c>
      <c r="D6" s="16" t="s">
        <v>116</v>
      </c>
      <c r="E6" s="96"/>
      <c r="F6" s="96">
        <f>B16*-F4</f>
        <v>-8.4</v>
      </c>
      <c r="G6" s="96">
        <f>B16*-G4</f>
        <v>-10.465</v>
      </c>
      <c r="H6" s="96">
        <f>B16*-H4</f>
        <v>-14.811999999999998</v>
      </c>
      <c r="I6" s="42"/>
      <c r="J6" s="95">
        <v>0.04</v>
      </c>
      <c r="K6" s="96">
        <v>16.109102611515681</v>
      </c>
    </row>
    <row r="7" spans="1:11">
      <c r="A7" s="13" t="s">
        <v>107</v>
      </c>
      <c r="B7" s="65">
        <v>0.13</v>
      </c>
      <c r="D7" s="10" t="s">
        <v>117</v>
      </c>
      <c r="E7" s="97"/>
      <c r="F7" s="97">
        <f>-B17</f>
        <v>-3</v>
      </c>
      <c r="G7" s="97">
        <f>F7</f>
        <v>-3</v>
      </c>
      <c r="H7" s="97">
        <f>G7</f>
        <v>-3</v>
      </c>
      <c r="I7" s="42"/>
      <c r="J7" s="95">
        <v>0.05</v>
      </c>
      <c r="K7" s="96">
        <v>14.566472303206993</v>
      </c>
    </row>
    <row r="8" spans="1:11">
      <c r="A8" s="13" t="s">
        <v>108</v>
      </c>
      <c r="B8" s="65">
        <v>0.16</v>
      </c>
      <c r="D8" s="1" t="s">
        <v>64</v>
      </c>
      <c r="E8" s="96"/>
      <c r="F8" s="96">
        <f>-$B$10/3</f>
        <v>-3</v>
      </c>
      <c r="G8" s="96">
        <f t="shared" ref="G8:H8" si="0">-$B$10/3</f>
        <v>-3</v>
      </c>
      <c r="H8" s="96">
        <f t="shared" si="0"/>
        <v>-3</v>
      </c>
      <c r="I8" s="43"/>
      <c r="J8" s="95">
        <v>0.06</v>
      </c>
      <c r="K8" s="96">
        <v>13.075819804267937</v>
      </c>
    </row>
    <row r="9" spans="1:11">
      <c r="A9" s="1" t="s">
        <v>12</v>
      </c>
      <c r="B9" s="100">
        <v>50</v>
      </c>
      <c r="D9" s="18" t="s">
        <v>118</v>
      </c>
      <c r="E9" s="98">
        <f>-B9</f>
        <v>-50</v>
      </c>
      <c r="F9" s="98">
        <v>0</v>
      </c>
      <c r="G9" s="98">
        <v>0</v>
      </c>
      <c r="H9" s="98">
        <v>0</v>
      </c>
      <c r="I9" s="42"/>
      <c r="J9" s="95">
        <v>7.0000000000000007E-2</v>
      </c>
      <c r="K9" s="96">
        <v>11.634873143228432</v>
      </c>
    </row>
    <row r="10" spans="1:11" s="45" customFormat="1">
      <c r="A10" s="16" t="s">
        <v>5</v>
      </c>
      <c r="B10" s="109">
        <v>9</v>
      </c>
      <c r="C10" s="57"/>
      <c r="D10" s="1" t="s">
        <v>103</v>
      </c>
      <c r="E10" s="96">
        <f>SUM(E4:E9)</f>
        <v>-50</v>
      </c>
      <c r="F10" s="96">
        <f>SUM(F4:F9)</f>
        <v>20.46</v>
      </c>
      <c r="G10" s="96">
        <f>SUM(G4:G9)</f>
        <v>26.964749999999995</v>
      </c>
      <c r="H10" s="96">
        <f>SUM(H4:H9)</f>
        <v>40.657799999999995</v>
      </c>
      <c r="I10" s="44"/>
      <c r="J10" s="95">
        <v>0.08</v>
      </c>
      <c r="K10" s="96">
        <v>10.241480909922245</v>
      </c>
    </row>
    <row r="11" spans="1:11">
      <c r="A11" s="16" t="s">
        <v>104</v>
      </c>
      <c r="B11" s="108">
        <v>0.17</v>
      </c>
      <c r="D11" s="1" t="s">
        <v>7</v>
      </c>
      <c r="E11" s="98">
        <f>E10*-B19</f>
        <v>20</v>
      </c>
      <c r="F11" s="98">
        <f>F10*-B19</f>
        <v>-8.1840000000000011</v>
      </c>
      <c r="G11" s="98">
        <f>G10*-B19</f>
        <v>-10.785899999999998</v>
      </c>
      <c r="H11" s="98">
        <f>H10*-B19</f>
        <v>-16.263119999999997</v>
      </c>
      <c r="I11" s="43"/>
      <c r="J11" s="95">
        <v>0.09</v>
      </c>
      <c r="K11" s="96">
        <v>8.8936047764181154</v>
      </c>
    </row>
    <row r="12" spans="1:11">
      <c r="A12" s="16" t="s">
        <v>105</v>
      </c>
      <c r="B12" s="67">
        <v>0</v>
      </c>
      <c r="D12" s="1" t="s">
        <v>58</v>
      </c>
      <c r="E12" s="96">
        <f>E10+E11</f>
        <v>-30</v>
      </c>
      <c r="F12" s="96">
        <f>F10+F11</f>
        <v>12.276</v>
      </c>
      <c r="G12" s="96">
        <f>G10+G11</f>
        <v>16.178849999999997</v>
      </c>
      <c r="H12" s="96">
        <f>H10+H11</f>
        <v>24.394679999999997</v>
      </c>
      <c r="I12" s="43"/>
      <c r="J12" s="95">
        <v>0.1</v>
      </c>
      <c r="K12" s="96">
        <v>7.589312546957153</v>
      </c>
    </row>
    <row r="13" spans="1:11">
      <c r="A13" s="13" t="s">
        <v>112</v>
      </c>
      <c r="B13" s="109">
        <v>0</v>
      </c>
      <c r="D13" s="17" t="s">
        <v>119</v>
      </c>
      <c r="E13" s="97"/>
      <c r="F13" s="97">
        <f>-F8</f>
        <v>3</v>
      </c>
      <c r="G13" s="97">
        <f>-G8</f>
        <v>3</v>
      </c>
      <c r="H13" s="97">
        <f>-H8</f>
        <v>3</v>
      </c>
      <c r="I13" s="43"/>
      <c r="J13" s="95">
        <v>0.11</v>
      </c>
      <c r="K13" s="96">
        <v>6.3267716949966655</v>
      </c>
    </row>
    <row r="14" spans="1:11">
      <c r="A14" s="13" t="s">
        <v>13</v>
      </c>
      <c r="B14" s="66">
        <v>0</v>
      </c>
      <c r="D14" s="17" t="s">
        <v>57</v>
      </c>
      <c r="E14" s="97">
        <f>$B$18</f>
        <v>-15</v>
      </c>
      <c r="F14" s="97">
        <v>0</v>
      </c>
      <c r="G14" s="97">
        <v>0</v>
      </c>
      <c r="H14" s="97">
        <f>-B18</f>
        <v>15</v>
      </c>
      <c r="I14" s="43"/>
      <c r="J14" s="95">
        <v>0.12</v>
      </c>
      <c r="K14" s="96">
        <v>5.1042433491253476</v>
      </c>
    </row>
    <row r="15" spans="1:11">
      <c r="A15" s="13" t="s">
        <v>8</v>
      </c>
      <c r="B15" s="64">
        <v>0</v>
      </c>
      <c r="D15" s="18" t="s">
        <v>120</v>
      </c>
      <c r="E15" s="98">
        <f>-B10</f>
        <v>-9</v>
      </c>
      <c r="F15" s="98"/>
      <c r="G15" s="98"/>
      <c r="H15" s="98">
        <v>0</v>
      </c>
      <c r="I15" s="43"/>
      <c r="J15" s="95">
        <v>0.13</v>
      </c>
      <c r="K15" s="96">
        <v>3.9200766929309694</v>
      </c>
    </row>
    <row r="16" spans="1:11">
      <c r="A16" s="13" t="s">
        <v>14</v>
      </c>
      <c r="B16" s="68">
        <v>0.2</v>
      </c>
      <c r="D16" s="19" t="s">
        <v>121</v>
      </c>
      <c r="E16" s="99">
        <f>SUM(E12:E15)</f>
        <v>-54</v>
      </c>
      <c r="F16" s="99">
        <f>SUM(F12:F15)</f>
        <v>15.276</v>
      </c>
      <c r="G16" s="99">
        <f>SUM(G12:G15)</f>
        <v>19.178849999999997</v>
      </c>
      <c r="H16" s="99">
        <f>SUM(H12:H15)</f>
        <v>42.394679999999994</v>
      </c>
      <c r="I16" s="43"/>
      <c r="J16" s="95">
        <v>0.14000000000000001</v>
      </c>
      <c r="K16" s="96">
        <v>2.7727037469018612</v>
      </c>
    </row>
    <row r="17" spans="1:29" s="20" customFormat="1">
      <c r="A17" s="13" t="s">
        <v>113</v>
      </c>
      <c r="B17" s="109">
        <v>3</v>
      </c>
      <c r="C17" s="58"/>
      <c r="D17" s="17"/>
      <c r="E17" s="17"/>
      <c r="F17" s="17"/>
      <c r="G17" s="17"/>
      <c r="H17" s="17"/>
      <c r="I17" s="46"/>
      <c r="J17" s="95">
        <v>0.15</v>
      </c>
      <c r="K17" s="96">
        <v>1.6606345031643102</v>
      </c>
    </row>
    <row r="18" spans="1:29" s="47" customFormat="1" ht="13.5" thickBot="1">
      <c r="A18" s="16" t="s">
        <v>65</v>
      </c>
      <c r="B18" s="109">
        <v>-15</v>
      </c>
      <c r="C18" s="58"/>
      <c r="D18" s="23" t="s">
        <v>122</v>
      </c>
      <c r="E18" s="20"/>
      <c r="F18" s="1"/>
      <c r="G18" s="1"/>
      <c r="H18" s="1"/>
      <c r="I18" s="17"/>
      <c r="J18" s="95">
        <v>0.16</v>
      </c>
      <c r="K18" s="96">
        <v>0.58245238632169816</v>
      </c>
      <c r="L18" s="17"/>
      <c r="M18" s="17"/>
      <c r="N18" s="17"/>
      <c r="O18" s="17"/>
      <c r="P18" s="17"/>
      <c r="Q18" s="17"/>
      <c r="R18" s="17"/>
      <c r="S18" s="17"/>
      <c r="T18" s="17"/>
      <c r="U18" s="17"/>
      <c r="V18" s="17"/>
      <c r="W18" s="17"/>
      <c r="X18" s="17"/>
      <c r="Y18" s="17"/>
      <c r="Z18" s="17"/>
      <c r="AA18" s="17"/>
      <c r="AB18" s="17"/>
      <c r="AC18" s="17"/>
    </row>
    <row r="19" spans="1:29" s="17" customFormat="1">
      <c r="A19" s="16" t="s">
        <v>114</v>
      </c>
      <c r="B19" s="108">
        <v>0.4</v>
      </c>
      <c r="C19" s="58"/>
      <c r="D19" s="12" t="s">
        <v>123</v>
      </c>
      <c r="E19" s="26">
        <v>0.13</v>
      </c>
      <c r="F19" s="1"/>
      <c r="G19" s="1"/>
      <c r="H19" s="1"/>
      <c r="J19" s="95">
        <v>0.17</v>
      </c>
      <c r="K19" s="96">
        <v>-0.46318998409727641</v>
      </c>
    </row>
    <row r="20" spans="1:29" s="17" customFormat="1">
      <c r="A20" s="20"/>
      <c r="B20" s="20"/>
      <c r="C20" s="58"/>
      <c r="D20" s="12" t="s">
        <v>10</v>
      </c>
      <c r="E20" s="25">
        <f>NPV(E19,F16:H16)+E16</f>
        <v>3.9200766929309694</v>
      </c>
      <c r="F20" s="1"/>
      <c r="G20" s="1"/>
      <c r="H20" s="1"/>
      <c r="J20" s="95">
        <v>0.18</v>
      </c>
      <c r="K20" s="96">
        <v>-1.477574752043779</v>
      </c>
    </row>
    <row r="21" spans="1:29" s="17" customFormat="1">
      <c r="C21" s="59"/>
      <c r="D21" s="12" t="s">
        <v>11</v>
      </c>
      <c r="E21" s="26">
        <f>IRR(E16:H16)</f>
        <v>0.1655326237025796</v>
      </c>
      <c r="F21" s="1"/>
      <c r="G21" s="1"/>
      <c r="H21" s="1"/>
      <c r="J21" s="95">
        <v>0.19</v>
      </c>
      <c r="K21" s="96">
        <v>-2.4619225248181351</v>
      </c>
    </row>
    <row r="22" spans="1:29" s="20" customFormat="1">
      <c r="C22" s="59"/>
      <c r="D22" s="1"/>
      <c r="E22" s="1"/>
      <c r="F22" s="1"/>
      <c r="G22" s="1"/>
      <c r="H22" s="1"/>
      <c r="J22" s="95">
        <v>0.2</v>
      </c>
      <c r="K22" s="96">
        <v>-3.4173958333333374</v>
      </c>
    </row>
    <row r="23" spans="1:29" s="20" customFormat="1">
      <c r="C23" s="56"/>
      <c r="J23" s="95">
        <v>0.21</v>
      </c>
      <c r="K23" s="96">
        <v>-4.3451023701695917</v>
      </c>
    </row>
    <row r="24" spans="1:29">
      <c r="D24" s="20"/>
      <c r="E24" s="20"/>
      <c r="F24" s="20"/>
      <c r="G24" s="20"/>
      <c r="H24" s="20"/>
      <c r="J24" s="95">
        <v>0.22</v>
      </c>
      <c r="K24" s="96">
        <v>-5.2460980214202948</v>
      </c>
    </row>
    <row r="25" spans="1:29" s="20" customFormat="1">
      <c r="A25" s="1"/>
      <c r="B25" s="1"/>
      <c r="C25" s="56"/>
      <c r="J25" s="95">
        <v>0.23</v>
      </c>
      <c r="K25" s="96">
        <v>-6.1213897070559042</v>
      </c>
    </row>
    <row r="26" spans="1:29" s="20" customFormat="1">
      <c r="C26" s="56"/>
      <c r="J26" s="95">
        <v>0.24</v>
      </c>
      <c r="K26" s="96">
        <v>-6.9719380433688087</v>
      </c>
    </row>
    <row r="27" spans="1:29" s="20" customFormat="1">
      <c r="C27" s="56"/>
      <c r="J27" s="95">
        <v>0.25</v>
      </c>
      <c r="K27" s="96">
        <v>-7.7986598400000062</v>
      </c>
    </row>
    <row r="28" spans="1:29" s="20" customFormat="1">
      <c r="C28" s="56"/>
      <c r="F28" s="34"/>
      <c r="J28" s="95">
        <v>0.26</v>
      </c>
      <c r="K28" s="96">
        <v>-8.6024304430767131</v>
      </c>
    </row>
    <row r="29" spans="1:29" s="20" customFormat="1">
      <c r="C29" s="56"/>
      <c r="J29" s="95">
        <v>0.27</v>
      </c>
      <c r="K29" s="96">
        <v>-9.3840859351010124</v>
      </c>
    </row>
    <row r="30" spans="1:29" s="20" customFormat="1">
      <c r="C30" s="56"/>
      <c r="J30" s="95">
        <v>0.28000000000000003</v>
      </c>
      <c r="K30" s="96">
        <v>-10.14442520141602</v>
      </c>
    </row>
    <row r="31" spans="1:29" s="20" customFormat="1">
      <c r="C31" s="56"/>
      <c r="J31" s="95">
        <v>0.28999999999999998</v>
      </c>
      <c r="K31" s="96">
        <v>-10.884211872329907</v>
      </c>
    </row>
    <row r="32" spans="1:29" s="20" customFormat="1">
      <c r="C32" s="56"/>
      <c r="J32" s="95">
        <v>0.3</v>
      </c>
      <c r="K32" s="96">
        <v>-11.604176149294496</v>
      </c>
    </row>
    <row r="33" spans="1:11" s="20" customFormat="1">
      <c r="C33" s="56"/>
      <c r="J33" s="95">
        <v>0.31</v>
      </c>
      <c r="K33" s="96">
        <v>-12.305016522907664</v>
      </c>
    </row>
    <row r="34" spans="1:11" s="20" customFormat="1">
      <c r="A34" s="1"/>
      <c r="B34" s="1"/>
      <c r="C34" s="56"/>
      <c r="J34" s="95">
        <v>0.32</v>
      </c>
      <c r="K34" s="96">
        <v>-12.987401389932387</v>
      </c>
    </row>
    <row r="35" spans="1:11" s="20" customFormat="1">
      <c r="A35" s="1"/>
      <c r="B35" s="1"/>
      <c r="C35" s="56"/>
      <c r="J35" s="95">
        <v>0.33</v>
      </c>
      <c r="K35" s="96">
        <v>-13.651970575996216</v>
      </c>
    </row>
    <row r="36" spans="1:11" s="20" customFormat="1">
      <c r="C36" s="56"/>
      <c r="D36" s="1"/>
      <c r="E36" s="1"/>
      <c r="F36" s="1"/>
      <c r="G36" s="1"/>
      <c r="H36" s="1"/>
      <c r="J36" s="95">
        <v>0.34</v>
      </c>
      <c r="K36" s="96">
        <v>-14.299336770147931</v>
      </c>
    </row>
    <row r="37" spans="1:11" s="20" customFormat="1">
      <c r="A37" s="1"/>
      <c r="B37" s="1"/>
      <c r="C37" s="56"/>
      <c r="D37" s="1"/>
      <c r="E37" s="1"/>
      <c r="F37" s="1"/>
      <c r="G37" s="1"/>
      <c r="H37" s="1"/>
      <c r="J37" s="95">
        <v>0.35</v>
      </c>
      <c r="K37" s="96">
        <v>-14.93008687700047</v>
      </c>
    </row>
    <row r="38" spans="1:11" s="20" customFormat="1">
      <c r="A38" s="1"/>
      <c r="B38" s="1"/>
      <c r="C38" s="56"/>
      <c r="D38" s="1"/>
      <c r="E38" s="1"/>
      <c r="F38" s="1"/>
      <c r="G38" s="1"/>
      <c r="H38" s="1"/>
      <c r="J38" s="95">
        <v>0.36</v>
      </c>
      <c r="K38" s="96">
        <v>-15.544783291776916</v>
      </c>
    </row>
    <row r="39" spans="1:11" s="20" customFormat="1">
      <c r="A39" s="1"/>
      <c r="B39" s="1"/>
      <c r="C39" s="56"/>
      <c r="D39" s="1"/>
      <c r="E39" s="1"/>
      <c r="F39" s="1"/>
      <c r="G39" s="1"/>
      <c r="H39" s="1"/>
      <c r="J39" s="95">
        <v>0.37</v>
      </c>
      <c r="K39" s="96">
        <v>-16.143965103196656</v>
      </c>
    </row>
    <row r="40" spans="1:11" s="20" customFormat="1">
      <c r="A40" s="1"/>
      <c r="B40" s="1"/>
      <c r="C40" s="56"/>
      <c r="D40" s="1"/>
      <c r="E40" s="1"/>
      <c r="F40" s="1"/>
      <c r="G40" s="1"/>
      <c r="H40" s="1"/>
      <c r="J40" s="95">
        <v>0.38</v>
      </c>
      <c r="K40" s="96">
        <v>-16.728149228788247</v>
      </c>
    </row>
    <row r="41" spans="1:11">
      <c r="J41" s="95">
        <v>0.39</v>
      </c>
      <c r="K41" s="96">
        <v>-17.29783148689372</v>
      </c>
    </row>
    <row r="42" spans="1:11">
      <c r="J42" s="95">
        <v>0.4</v>
      </c>
      <c r="K42" s="96">
        <v>-17.853487609329441</v>
      </c>
    </row>
    <row r="43" spans="1:11">
      <c r="D43" s="20"/>
      <c r="E43" s="20"/>
      <c r="F43" s="20"/>
      <c r="G43" s="20"/>
      <c r="H43" s="20"/>
      <c r="J43" s="95">
        <v>0.41</v>
      </c>
      <c r="K43" s="96">
        <v>-18.395574198395344</v>
      </c>
    </row>
    <row r="44" spans="1:11">
      <c r="J44" s="95">
        <v>0.42</v>
      </c>
      <c r="K44" s="96">
        <v>-18.924529631668207</v>
      </c>
    </row>
    <row r="45" spans="1:11">
      <c r="J45" s="95">
        <v>0.43</v>
      </c>
      <c r="K45" s="96">
        <v>-19.440774917781127</v>
      </c>
    </row>
    <row r="46" spans="1:11">
      <c r="J46" s="95">
        <v>0.44</v>
      </c>
      <c r="K46" s="96">
        <v>-19.944714506172843</v>
      </c>
    </row>
    <row r="47" spans="1:11">
      <c r="J47" s="95">
        <v>0.45</v>
      </c>
      <c r="K47" s="96">
        <v>-20.436737053589738</v>
      </c>
    </row>
    <row r="48" spans="1:11" s="20" customFormat="1">
      <c r="A48" s="1"/>
      <c r="B48" s="1"/>
      <c r="C48" s="56"/>
      <c r="D48" s="1"/>
      <c r="E48" s="1"/>
      <c r="F48" s="1"/>
      <c r="G48" s="1"/>
      <c r="H48" s="1"/>
      <c r="J48" s="95">
        <v>0.46</v>
      </c>
      <c r="K48" s="96">
        <v>-20.917216149936891</v>
      </c>
    </row>
    <row r="49" spans="1:11">
      <c r="J49" s="95">
        <v>0.47</v>
      </c>
      <c r="K49" s="96">
        <v>-21.386511005901731</v>
      </c>
    </row>
    <row r="50" spans="1:11">
      <c r="J50" s="95">
        <v>0.48</v>
      </c>
      <c r="K50" s="96">
        <v>-21.844967104613744</v>
      </c>
    </row>
    <row r="51" spans="1:11">
      <c r="A51" s="48"/>
      <c r="J51" s="95">
        <v>0.49</v>
      </c>
      <c r="K51" s="96">
        <v>-22.292916819455204</v>
      </c>
    </row>
    <row r="52" spans="1:11">
      <c r="A52" s="48"/>
      <c r="J52" s="95">
        <v>0.5</v>
      </c>
      <c r="K52" s="96">
        <v>-22.730680000000007</v>
      </c>
    </row>
    <row r="53" spans="1:11">
      <c r="A53" s="48"/>
    </row>
    <row r="54" spans="1:11">
      <c r="A54" s="48"/>
    </row>
    <row r="55" spans="1:11">
      <c r="A55" s="48"/>
    </row>
    <row r="56" spans="1:11">
      <c r="A56" s="48"/>
    </row>
    <row r="57" spans="1:11">
      <c r="A57" s="48"/>
    </row>
    <row r="58" spans="1:11">
      <c r="A58" s="48"/>
    </row>
    <row r="59" spans="1:11">
      <c r="A59" s="48"/>
      <c r="F59" s="35"/>
    </row>
    <row r="60" spans="1:11">
      <c r="A60" s="48"/>
    </row>
    <row r="61" spans="1:11">
      <c r="A61" s="48"/>
    </row>
    <row r="62" spans="1:11">
      <c r="A62" s="48"/>
    </row>
    <row r="65" spans="1:4">
      <c r="B65" s="17"/>
    </row>
    <row r="66" spans="1:4">
      <c r="A66" s="22" t="s">
        <v>15</v>
      </c>
      <c r="B66" s="17"/>
    </row>
    <row r="67" spans="1:4">
      <c r="A67" s="22"/>
      <c r="B67" s="49">
        <v>0.09</v>
      </c>
    </row>
    <row r="68" spans="1:4">
      <c r="A68" s="50" t="s">
        <v>16</v>
      </c>
      <c r="B68" s="22"/>
    </row>
    <row r="69" spans="1:4">
      <c r="A69" s="22"/>
    </row>
    <row r="70" spans="1:4">
      <c r="A70" s="35" t="s">
        <v>17</v>
      </c>
      <c r="B70" s="51" t="e">
        <f>(((-1*#REF!)-(SUM(F14:H14)))/I17)+3</f>
        <v>#REF!</v>
      </c>
    </row>
    <row r="71" spans="1:4">
      <c r="A71" s="20" t="s">
        <v>18</v>
      </c>
      <c r="B71" s="51" t="e">
        <f>(((-1*#REF!)-(SUM(B73:B75)))/B76)+3</f>
        <v>#REF!</v>
      </c>
    </row>
    <row r="72" spans="1:4">
      <c r="A72" s="20" t="s">
        <v>19</v>
      </c>
      <c r="B72" s="34" t="e">
        <f>#REF!</f>
        <v>#REF!</v>
      </c>
    </row>
    <row r="73" spans="1:4">
      <c r="A73" s="20" t="s">
        <v>20</v>
      </c>
      <c r="B73" s="34">
        <f>F14/(1+$B$67)</f>
        <v>0</v>
      </c>
      <c r="D73" s="20"/>
    </row>
    <row r="74" spans="1:4">
      <c r="A74" s="20" t="s">
        <v>21</v>
      </c>
      <c r="B74" s="34">
        <f>G$14/(1+$B$67)^2</f>
        <v>0</v>
      </c>
    </row>
    <row r="75" spans="1:4">
      <c r="A75" s="20" t="s">
        <v>22</v>
      </c>
      <c r="B75" s="34">
        <f>H$14/(1+$B$67)^3</f>
        <v>11.582752200915962</v>
      </c>
    </row>
    <row r="76" spans="1:4">
      <c r="A76" s="20" t="s">
        <v>23</v>
      </c>
      <c r="B76" s="34">
        <f>I$17/(1+$B$67)^4</f>
        <v>0</v>
      </c>
    </row>
    <row r="77" spans="1:4">
      <c r="A77" s="20" t="s">
        <v>24</v>
      </c>
      <c r="B77" s="34">
        <f>J$17/(1+$B$67)^5</f>
        <v>9.7489707944751786E-2</v>
      </c>
    </row>
    <row r="78" spans="1:4">
      <c r="A78" s="20" t="s">
        <v>25</v>
      </c>
      <c r="B78" s="34">
        <f>K$17/(1+$B$67)^6</f>
        <v>0.99018209612517782</v>
      </c>
    </row>
    <row r="79" spans="1:4">
      <c r="A79" s="20" t="s">
        <v>26</v>
      </c>
      <c r="B79" s="34"/>
    </row>
    <row r="80" spans="1:4">
      <c r="A80" s="20"/>
      <c r="B80" s="34"/>
    </row>
    <row r="81" spans="1:2">
      <c r="A81" s="20" t="s">
        <v>27</v>
      </c>
      <c r="B81" s="34"/>
    </row>
    <row r="82" spans="1:2">
      <c r="A82" s="20"/>
      <c r="B82" s="34"/>
    </row>
    <row r="83" spans="1:2">
      <c r="A83" s="35" t="s">
        <v>28</v>
      </c>
      <c r="B83" s="34" t="e">
        <f>SUM(B73:B78)+#REF!</f>
        <v>#REF!</v>
      </c>
    </row>
    <row r="84" spans="1:2">
      <c r="A84" s="20" t="s">
        <v>29</v>
      </c>
      <c r="B84" s="34"/>
    </row>
    <row r="85" spans="1:2">
      <c r="A85" s="20"/>
      <c r="B85" s="34"/>
    </row>
    <row r="86" spans="1:2">
      <c r="A86" s="35" t="s">
        <v>30</v>
      </c>
      <c r="B86" s="36"/>
    </row>
    <row r="87" spans="1:2">
      <c r="A87" s="20" t="s">
        <v>31</v>
      </c>
    </row>
    <row r="88" spans="1:2">
      <c r="A88" s="20"/>
    </row>
    <row r="89" spans="1:2">
      <c r="A89" s="35" t="s">
        <v>32</v>
      </c>
      <c r="B89" s="37"/>
    </row>
    <row r="90" spans="1:2">
      <c r="A90" s="20" t="s">
        <v>33</v>
      </c>
      <c r="B90" s="37"/>
    </row>
    <row r="91" spans="1:2">
      <c r="A91" s="20" t="s">
        <v>34</v>
      </c>
    </row>
    <row r="92" spans="1:2">
      <c r="A92" s="20"/>
    </row>
    <row r="93" spans="1:2">
      <c r="A93" s="35" t="s">
        <v>35</v>
      </c>
    </row>
    <row r="94" spans="1:2">
      <c r="A94" s="20" t="s">
        <v>36</v>
      </c>
    </row>
    <row r="95" spans="1:2">
      <c r="A95" s="20" t="s">
        <v>37</v>
      </c>
    </row>
    <row r="96" spans="1:2">
      <c r="A96" s="20" t="s">
        <v>38</v>
      </c>
    </row>
    <row r="97" spans="1:2">
      <c r="A97" s="20"/>
    </row>
    <row r="98" spans="1:2">
      <c r="A98" s="35" t="s">
        <v>39</v>
      </c>
    </row>
    <row r="99" spans="1:2">
      <c r="A99" s="20" t="s">
        <v>40</v>
      </c>
    </row>
    <row r="100" spans="1:2">
      <c r="A100" s="20" t="s">
        <v>41</v>
      </c>
    </row>
    <row r="101" spans="1:2">
      <c r="A101" s="20"/>
    </row>
    <row r="102" spans="1:2">
      <c r="A102" s="35" t="s">
        <v>42</v>
      </c>
    </row>
    <row r="103" spans="1:2">
      <c r="A103" s="20" t="s">
        <v>43</v>
      </c>
    </row>
    <row r="104" spans="1:2">
      <c r="A104" s="20" t="s">
        <v>44</v>
      </c>
    </row>
    <row r="105" spans="1:2">
      <c r="A105" s="20"/>
    </row>
    <row r="106" spans="1:2">
      <c r="A106" s="35" t="s">
        <v>45</v>
      </c>
      <c r="B106" s="35"/>
    </row>
    <row r="107" spans="1:2">
      <c r="A107" s="35" t="s">
        <v>46</v>
      </c>
    </row>
    <row r="108" spans="1:2">
      <c r="A108" s="35" t="s">
        <v>47</v>
      </c>
    </row>
    <row r="109" spans="1:2">
      <c r="A109" s="35" t="s">
        <v>48</v>
      </c>
    </row>
    <row r="110" spans="1:2">
      <c r="A110" s="35"/>
    </row>
    <row r="111" spans="1:2">
      <c r="A111" s="35" t="s">
        <v>49</v>
      </c>
    </row>
    <row r="112" spans="1:2">
      <c r="A112" s="20" t="s">
        <v>50</v>
      </c>
    </row>
    <row r="113" spans="1:1">
      <c r="A113" s="20" t="s">
        <v>51</v>
      </c>
    </row>
    <row r="114" spans="1:1">
      <c r="A114" s="20"/>
    </row>
    <row r="115" spans="1:1">
      <c r="A115" s="35" t="s">
        <v>52</v>
      </c>
    </row>
    <row r="116" spans="1:1">
      <c r="A116" s="20" t="s">
        <v>53</v>
      </c>
    </row>
    <row r="117" spans="1:1">
      <c r="A117" s="20"/>
    </row>
    <row r="118" spans="1:1">
      <c r="A118" s="20"/>
    </row>
    <row r="119" spans="1:1">
      <c r="A119" s="20"/>
    </row>
    <row r="120" spans="1:1">
      <c r="A120" s="20"/>
    </row>
  </sheetData>
  <mergeCells count="1">
    <mergeCell ref="E1:H1"/>
  </mergeCells>
  <phoneticPr fontId="0" type="noConversion"/>
  <pageMargins left="0.23" right="0.2" top="0.57999999999999996" bottom="1" header="0.25" footer="0.5"/>
  <pageSetup scale="81" orientation="landscape" r:id="rId1"/>
  <headerFooter alignWithMargins="0">
    <oddHeader>&amp;C&amp;14Reebok International</oddHeader>
    <oddFooter>&amp;LMVC 7&amp;RFebruary 9, 2006</oddFooter>
  </headerFooter>
</worksheet>
</file>

<file path=xl/worksheets/sheet6.xml><?xml version="1.0" encoding="utf-8"?>
<worksheet xmlns="http://schemas.openxmlformats.org/spreadsheetml/2006/main" xmlns:r="http://schemas.openxmlformats.org/officeDocument/2006/relationships">
  <dimension ref="A2:D53"/>
  <sheetViews>
    <sheetView workbookViewId="0">
      <selection activeCell="D20" sqref="D20"/>
    </sheetView>
  </sheetViews>
  <sheetFormatPr defaultRowHeight="13"/>
  <cols>
    <col min="1" max="1" width="11.7265625" style="1" bestFit="1" customWidth="1"/>
    <col min="2" max="2" width="14.90625" style="1" bestFit="1" customWidth="1"/>
    <col min="3" max="3" width="13" style="1" bestFit="1" customWidth="1"/>
    <col min="4" max="16384" width="8.7265625" style="1"/>
  </cols>
  <sheetData>
    <row r="2" spans="1:4">
      <c r="A2" s="1" t="s">
        <v>95</v>
      </c>
      <c r="B2" s="1" t="s">
        <v>96</v>
      </c>
      <c r="C2" s="1" t="s">
        <v>97</v>
      </c>
    </row>
    <row r="3" spans="1:4">
      <c r="A3" s="95">
        <v>0.01</v>
      </c>
      <c r="B3" s="96">
        <f>'"Rapid Bounce" Base Case'!K3</f>
        <v>55.74515745311146</v>
      </c>
      <c r="C3" s="96">
        <f>'"Persistence" Base Case'!K3</f>
        <v>21.073562094960579</v>
      </c>
      <c r="D3" s="95"/>
    </row>
    <row r="4" spans="1:4">
      <c r="A4" s="95">
        <v>0.02</v>
      </c>
      <c r="B4" s="96">
        <f>'"Rapid Bounce" Base Case'!K4</f>
        <v>50.854858942919947</v>
      </c>
      <c r="C4" s="96">
        <f>'"Persistence" Base Case'!K4</f>
        <v>19.360036298256318</v>
      </c>
      <c r="D4" s="95"/>
    </row>
    <row r="5" spans="1:4">
      <c r="A5" s="95">
        <v>0.03</v>
      </c>
      <c r="B5" s="96">
        <f>'"Rapid Bounce" Base Case'!K5</f>
        <v>46.131717390618348</v>
      </c>
      <c r="C5" s="96">
        <f>'"Persistence" Base Case'!K5</f>
        <v>17.706111316001142</v>
      </c>
      <c r="D5" s="95"/>
    </row>
    <row r="6" spans="1:4">
      <c r="A6" s="95">
        <v>0.04</v>
      </c>
      <c r="B6" s="96">
        <f>'"Rapid Bounce" Base Case'!K6</f>
        <v>41.568288672317863</v>
      </c>
      <c r="C6" s="96">
        <f>'"Persistence" Base Case'!K6</f>
        <v>16.109102611515681</v>
      </c>
      <c r="D6" s="95"/>
    </row>
    <row r="7" spans="1:4">
      <c r="A7" s="95">
        <v>0.05</v>
      </c>
      <c r="B7" s="96">
        <f>'"Rapid Bounce" Base Case'!K7</f>
        <v>37.157532110224082</v>
      </c>
      <c r="C7" s="96">
        <f>'"Persistence" Base Case'!K7</f>
        <v>14.566472303206993</v>
      </c>
      <c r="D7" s="95"/>
    </row>
    <row r="8" spans="1:4">
      <c r="A8" s="95">
        <v>0.06</v>
      </c>
      <c r="B8" s="96">
        <f>'"Rapid Bounce" Base Case'!K8</f>
        <v>32.89278487366937</v>
      </c>
      <c r="C8" s="96">
        <f>'"Persistence" Base Case'!K8</f>
        <v>13.075819804267937</v>
      </c>
      <c r="D8" s="95"/>
    </row>
    <row r="9" spans="1:4">
      <c r="A9" s="95">
        <v>7.0000000000000007E-2</v>
      </c>
      <c r="B9" s="96">
        <f>'"Rapid Bounce" Base Case'!K9</f>
        <v>28.767738233758479</v>
      </c>
      <c r="C9" s="96">
        <f>'"Persistence" Base Case'!K9</f>
        <v>11.634873143228432</v>
      </c>
      <c r="D9" s="95"/>
    </row>
    <row r="10" spans="1:4">
      <c r="A10" s="95">
        <v>0.08</v>
      </c>
      <c r="B10" s="96">
        <f>'"Rapid Bounce" Base Case'!K10</f>
        <v>24.776415521244672</v>
      </c>
      <c r="C10" s="96">
        <f>'"Persistence" Base Case'!K10</f>
        <v>10.241480909922245</v>
      </c>
      <c r="D10" s="95"/>
    </row>
    <row r="11" spans="1:4">
      <c r="A11" s="95">
        <v>0.09</v>
      </c>
      <c r="B11" s="96">
        <f>'"Rapid Bounce" Base Case'!K11</f>
        <v>20.913151650733795</v>
      </c>
      <c r="C11" s="96">
        <f>'"Persistence" Base Case'!K11</f>
        <v>8.8936047764181154</v>
      </c>
      <c r="D11" s="95"/>
    </row>
    <row r="12" spans="1:4">
      <c r="A12" s="95">
        <v>0.1</v>
      </c>
      <c r="B12" s="96">
        <f>'"Rapid Bounce" Base Case'!K12</f>
        <v>17.172574086474953</v>
      </c>
      <c r="C12" s="96">
        <f>'"Persistence" Base Case'!K12</f>
        <v>7.589312546957153</v>
      </c>
      <c r="D12" s="95"/>
    </row>
    <row r="13" spans="1:4">
      <c r="A13" s="95">
        <v>0.11</v>
      </c>
      <c r="B13" s="96">
        <f>'"Rapid Bounce" Base Case'!K13</f>
        <v>13.549585135974667</v>
      </c>
      <c r="C13" s="96">
        <f>'"Persistence" Base Case'!K13</f>
        <v>6.3267716949966655</v>
      </c>
      <c r="D13" s="95"/>
    </row>
    <row r="14" spans="1:4">
      <c r="A14" s="95">
        <v>0.12</v>
      </c>
      <c r="B14" s="96">
        <f>'"Rapid Bounce" Base Case'!K14</f>
        <v>10.039345467595581</v>
      </c>
      <c r="C14" s="96">
        <f>'"Persistence" Base Case'!K14</f>
        <v>5.1042433491253476</v>
      </c>
      <c r="D14" s="95"/>
    </row>
    <row r="15" spans="1:4">
      <c r="A15" s="95">
        <v>0.13</v>
      </c>
      <c r="B15" s="96">
        <f>'"Rapid Bounce" Base Case'!K15</f>
        <v>6.6372587572766975</v>
      </c>
      <c r="C15" s="96">
        <f>'"Persistence" Base Case'!K15</f>
        <v>3.9200766929309694</v>
      </c>
      <c r="D15" s="95"/>
    </row>
    <row r="16" spans="1:4">
      <c r="A16" s="95">
        <v>0.14000000000000001</v>
      </c>
      <c r="B16" s="96">
        <f>'"Rapid Bounce" Base Case'!K16</f>
        <v>3.3389573776399004</v>
      </c>
      <c r="C16" s="96">
        <f>'"Persistence" Base Case'!K16</f>
        <v>2.7727037469018612</v>
      </c>
      <c r="D16" s="95"/>
    </row>
    <row r="17" spans="1:4">
      <c r="A17" s="95">
        <v>0.15</v>
      </c>
      <c r="B17" s="96">
        <f>'"Rapid Bounce" Base Case'!K17</f>
        <v>0.14028905011801385</v>
      </c>
      <c r="C17" s="96">
        <f>'"Persistence" Base Case'!K17</f>
        <v>1.6606345031643102</v>
      </c>
      <c r="D17" s="95"/>
    </row>
    <row r="18" spans="1:4">
      <c r="A18" s="95">
        <v>0.16</v>
      </c>
      <c r="B18" s="96">
        <f>'"Rapid Bounce" Base Case'!K18</f>
        <v>-2.9626956125851791</v>
      </c>
      <c r="C18" s="96">
        <f>'"Persistence" Base Case'!K18</f>
        <v>0.58245238632169816</v>
      </c>
      <c r="D18" s="95"/>
    </row>
    <row r="19" spans="1:4">
      <c r="A19" s="95">
        <v>0.17</v>
      </c>
      <c r="B19" s="96">
        <f>'"Rapid Bounce" Base Case'!K19</f>
        <v>-5.9737547403160249</v>
      </c>
      <c r="C19" s="96">
        <f>'"Persistence" Base Case'!K19</f>
        <v>-0.46318998409727641</v>
      </c>
      <c r="D19" s="95"/>
    </row>
    <row r="20" spans="1:4">
      <c r="A20" s="95">
        <v>0.18</v>
      </c>
      <c r="B20" s="96">
        <f>'"Rapid Bounce" Base Case'!K20</f>
        <v>-8.8964660766812642</v>
      </c>
      <c r="C20" s="96">
        <f>'"Persistence" Base Case'!K20</f>
        <v>-1.477574752043779</v>
      </c>
      <c r="D20" s="95"/>
    </row>
    <row r="21" spans="1:4">
      <c r="A21" s="95">
        <v>0.19</v>
      </c>
      <c r="B21" s="96">
        <f>'"Rapid Bounce" Base Case'!K21</f>
        <v>-11.734237143736436</v>
      </c>
      <c r="C21" s="96">
        <f>'"Persistence" Base Case'!K21</f>
        <v>-2.4619225248181351</v>
      </c>
      <c r="D21" s="95"/>
    </row>
    <row r="22" spans="1:4">
      <c r="A22" s="95">
        <v>0.2</v>
      </c>
      <c r="B22" s="96">
        <f>'"Rapid Bounce" Base Case'!K22</f>
        <v>-14.490314751679279</v>
      </c>
      <c r="C22" s="96">
        <f>'"Persistence" Base Case'!K22</f>
        <v>-3.4173958333333374</v>
      </c>
      <c r="D22" s="95"/>
    </row>
    <row r="23" spans="1:4">
      <c r="A23" s="95">
        <v>0.21</v>
      </c>
      <c r="B23" s="96">
        <f>'"Rapid Bounce" Base Case'!K23</f>
        <v>-17.167793900916649</v>
      </c>
      <c r="C23" s="96">
        <f>'"Persistence" Base Case'!K23</f>
        <v>-4.3451023701695917</v>
      </c>
      <c r="D23" s="95"/>
    </row>
    <row r="24" spans="1:4">
      <c r="A24" s="95">
        <v>0.22</v>
      </c>
      <c r="B24" s="96">
        <f>'"Rapid Bounce" Base Case'!K24</f>
        <v>-19.769626120083728</v>
      </c>
      <c r="C24" s="96">
        <f>'"Persistence" Base Case'!K24</f>
        <v>-5.2460980214202948</v>
      </c>
      <c r="D24" s="95"/>
    </row>
    <row r="25" spans="1:4">
      <c r="A25" s="95">
        <v>0.23</v>
      </c>
      <c r="B25" s="96">
        <f>'"Rapid Bounce" Base Case'!K25</f>
        <v>-22.298627280134383</v>
      </c>
      <c r="C25" s="96">
        <f>'"Persistence" Base Case'!K25</f>
        <v>-6.1213897070559042</v>
      </c>
      <c r="D25" s="95"/>
    </row>
    <row r="26" spans="1:4">
      <c r="A26" s="95">
        <v>0.24</v>
      </c>
      <c r="B26" s="96">
        <f>'"Rapid Bounce" Base Case'!K26</f>
        <v>-24.757484921464226</v>
      </c>
      <c r="C26" s="96">
        <f>'"Persistence" Base Case'!K26</f>
        <v>-6.9719380433688087</v>
      </c>
      <c r="D26" s="95"/>
    </row>
    <row r="27" spans="1:4">
      <c r="A27" s="95">
        <v>0.25</v>
      </c>
      <c r="B27" s="96">
        <f>'"Rapid Bounce" Base Case'!K27</f>
        <v>-27.148765128141719</v>
      </c>
      <c r="C27" s="96">
        <f>'"Persistence" Base Case'!K27</f>
        <v>-7.7986598400000062</v>
      </c>
      <c r="D27" s="95"/>
    </row>
    <row r="28" spans="1:4">
      <c r="A28" s="95">
        <v>0.26</v>
      </c>
      <c r="B28" s="96">
        <f>'"Rapid Bounce" Base Case'!K28</f>
        <v>-29.474918980682531</v>
      </c>
      <c r="C28" s="96">
        <f>'"Persistence" Base Case'!K28</f>
        <v>-8.6024304430767131</v>
      </c>
      <c r="D28" s="95"/>
    </row>
    <row r="29" spans="1:4">
      <c r="A29" s="95">
        <v>0.27</v>
      </c>
      <c r="B29" s="96">
        <f>'"Rapid Bounce" Base Case'!K29</f>
        <v>-31.738288616387564</v>
      </c>
      <c r="C29" s="96">
        <f>'"Persistence" Base Case'!K29</f>
        <v>-9.3840859351010124</v>
      </c>
      <c r="D29" s="95"/>
    </row>
    <row r="30" spans="1:4">
      <c r="A30" s="95">
        <v>0.28000000000000003</v>
      </c>
      <c r="B30" s="96">
        <f>'"Rapid Bounce" Base Case'!K30</f>
        <v>-33.941112924052163</v>
      </c>
      <c r="C30" s="96">
        <f>'"Persistence" Base Case'!K30</f>
        <v>-10.14442520141602</v>
      </c>
      <c r="D30" s="95"/>
    </row>
    <row r="31" spans="1:4">
      <c r="A31" s="95">
        <v>0.28999999999999998</v>
      </c>
      <c r="B31" s="96">
        <f>'"Rapid Bounce" Base Case'!K31</f>
        <v>-36.085532897826283</v>
      </c>
      <c r="C31" s="96">
        <f>'"Persistence" Base Case'!K31</f>
        <v>-10.884211872329907</v>
      </c>
      <c r="D31" s="95"/>
    </row>
    <row r="32" spans="1:4">
      <c r="A32" s="95">
        <v>0.3</v>
      </c>
      <c r="B32" s="96">
        <f>'"Rapid Bounce" Base Case'!K32</f>
        <v>-38.173596673146037</v>
      </c>
      <c r="C32" s="96">
        <f>'"Persistence" Base Case'!K32</f>
        <v>-11.604176149294496</v>
      </c>
      <c r="D32" s="95"/>
    </row>
    <row r="33" spans="1:4">
      <c r="A33" s="95">
        <v>0.31</v>
      </c>
      <c r="B33" s="96">
        <f>'"Rapid Bounce" Base Case'!K33</f>
        <v>-40.207264265949107</v>
      </c>
      <c r="C33" s="96">
        <f>'"Persistence" Base Case'!K33</f>
        <v>-12.305016522907664</v>
      </c>
      <c r="D33" s="95"/>
    </row>
    <row r="34" spans="1:4">
      <c r="A34" s="95">
        <v>0.32</v>
      </c>
      <c r="B34" s="96">
        <f>'"Rapid Bounce" Base Case'!K34</f>
        <v>-42.188412034820388</v>
      </c>
      <c r="C34" s="96">
        <f>'"Persistence" Base Case'!K34</f>
        <v>-12.987401389932387</v>
      </c>
      <c r="D34" s="95"/>
    </row>
    <row r="35" spans="1:4">
      <c r="A35" s="95">
        <v>0.33</v>
      </c>
      <c r="B35" s="96">
        <f>'"Rapid Bounce" Base Case'!K35</f>
        <v>-44.118836884271502</v>
      </c>
      <c r="C35" s="96">
        <f>'"Persistence" Base Case'!K35</f>
        <v>-13.651970575996216</v>
      </c>
      <c r="D35" s="95"/>
    </row>
    <row r="36" spans="1:4">
      <c r="A36" s="95">
        <v>0.34</v>
      </c>
      <c r="B36" s="96">
        <f>'"Rapid Bounce" Base Case'!K36</f>
        <v>-46.000260226034229</v>
      </c>
      <c r="C36" s="96">
        <f>'"Persistence" Base Case'!K36</f>
        <v>-14.299336770147931</v>
      </c>
      <c r="D36" s="95"/>
    </row>
    <row r="37" spans="1:4">
      <c r="A37" s="95">
        <v>0.35</v>
      </c>
      <c r="B37" s="96">
        <f>'"Rapid Bounce" Base Case'!K37</f>
        <v>-47.834331714028082</v>
      </c>
      <c r="C37" s="96">
        <f>'"Persistence" Base Case'!K37</f>
        <v>-14.93008687700047</v>
      </c>
      <c r="D37" s="95"/>
    </row>
    <row r="38" spans="1:4">
      <c r="A38" s="95">
        <v>0.36</v>
      </c>
      <c r="B38" s="96">
        <f>'"Rapid Bounce" Base Case'!K38</f>
        <v>-49.622632767538661</v>
      </c>
      <c r="C38" s="96">
        <f>'"Persistence" Base Case'!K38</f>
        <v>-15.544783291776916</v>
      </c>
      <c r="D38" s="95"/>
    </row>
    <row r="39" spans="1:4">
      <c r="A39" s="95">
        <v>0.37</v>
      </c>
      <c r="B39" s="96">
        <f>'"Rapid Bounce" Base Case'!K39</f>
        <v>-51.366679896109872</v>
      </c>
      <c r="C39" s="96">
        <f>'"Persistence" Base Case'!K39</f>
        <v>-16.143965103196656</v>
      </c>
      <c r="D39" s="95"/>
    </row>
    <row r="40" spans="1:4">
      <c r="A40" s="95">
        <v>0.38</v>
      </c>
      <c r="B40" s="96">
        <f>'"Rapid Bounce" Base Case'!K40</f>
        <v>-53.067927838697614</v>
      </c>
      <c r="C40" s="96">
        <f>'"Persistence" Base Case'!K40</f>
        <v>-16.728149228788247</v>
      </c>
      <c r="D40" s="95"/>
    </row>
    <row r="41" spans="1:4">
      <c r="A41" s="95">
        <v>0.39</v>
      </c>
      <c r="B41" s="96">
        <f>'"Rapid Bounce" Base Case'!K41</f>
        <v>-54.72777252875477</v>
      </c>
      <c r="C41" s="96">
        <f>'"Persistence" Base Case'!K41</f>
        <v>-17.29783148689372</v>
      </c>
      <c r="D41" s="95"/>
    </row>
    <row r="42" spans="1:4">
      <c r="A42" s="95">
        <v>0.4</v>
      </c>
      <c r="B42" s="96">
        <f>'"Rapid Bounce" Base Case'!K42</f>
        <v>-56.347553896101232</v>
      </c>
      <c r="C42" s="96">
        <f>'"Persistence" Base Case'!K42</f>
        <v>-17.853487609329441</v>
      </c>
      <c r="D42" s="95"/>
    </row>
    <row r="43" spans="1:4">
      <c r="A43" s="95"/>
      <c r="B43" s="96"/>
      <c r="C43" s="96"/>
      <c r="D43" s="95"/>
    </row>
    <row r="44" spans="1:4">
      <c r="A44" s="95"/>
      <c r="B44" s="96"/>
      <c r="C44" s="96"/>
      <c r="D44" s="95"/>
    </row>
    <row r="45" spans="1:4">
      <c r="A45" s="95"/>
      <c r="B45" s="96"/>
      <c r="C45" s="96"/>
      <c r="D45" s="95"/>
    </row>
    <row r="46" spans="1:4">
      <c r="A46" s="95"/>
      <c r="B46" s="96"/>
      <c r="C46" s="96"/>
      <c r="D46" s="95"/>
    </row>
    <row r="47" spans="1:4">
      <c r="A47" s="95"/>
      <c r="B47" s="96"/>
      <c r="C47" s="96"/>
      <c r="D47" s="95"/>
    </row>
    <row r="48" spans="1:4">
      <c r="A48" s="95"/>
      <c r="B48" s="96"/>
      <c r="C48" s="96"/>
      <c r="D48" s="95"/>
    </row>
    <row r="49" spans="1:4">
      <c r="A49" s="95"/>
      <c r="B49" s="96"/>
      <c r="C49" s="96"/>
      <c r="D49" s="95"/>
    </row>
    <row r="50" spans="1:4">
      <c r="A50" s="95"/>
      <c r="B50" s="96"/>
      <c r="C50" s="96"/>
      <c r="D50" s="95"/>
    </row>
    <row r="51" spans="1:4">
      <c r="A51" s="95"/>
      <c r="B51" s="96"/>
      <c r="C51" s="96"/>
      <c r="D51" s="95"/>
    </row>
    <row r="52" spans="1:4">
      <c r="A52" s="95"/>
      <c r="B52" s="96"/>
      <c r="C52" s="96"/>
      <c r="D52" s="95"/>
    </row>
    <row r="53" spans="1:4">
      <c r="A53" s="9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25"/>
  <sheetViews>
    <sheetView topLeftCell="A10" workbookViewId="0">
      <selection activeCell="E10" sqref="E10"/>
    </sheetView>
  </sheetViews>
  <sheetFormatPr defaultRowHeight="13"/>
  <cols>
    <col min="1" max="1" width="8.7265625" style="1"/>
    <col min="2" max="2" width="9.90625" style="1" customWidth="1"/>
    <col min="3" max="3" width="8.7265625" style="1"/>
    <col min="4" max="4" width="16.26953125" style="1" bestFit="1" customWidth="1"/>
    <col min="5" max="16384" width="8.7265625" style="1"/>
  </cols>
  <sheetData>
    <row r="1" spans="1:9">
      <c r="A1" s="101" t="s">
        <v>99</v>
      </c>
    </row>
    <row r="3" spans="1:9" ht="30" customHeight="1">
      <c r="A3" s="103" t="s">
        <v>98</v>
      </c>
      <c r="B3" s="103" t="s">
        <v>100</v>
      </c>
      <c r="D3" s="20" t="s">
        <v>101</v>
      </c>
    </row>
    <row r="4" spans="1:9">
      <c r="A4" s="1">
        <v>1</v>
      </c>
      <c r="B4" s="102">
        <v>11.441051325939585</v>
      </c>
      <c r="D4" s="1" t="s">
        <v>73</v>
      </c>
    </row>
    <row r="5" spans="1:9">
      <c r="A5" s="1">
        <v>2</v>
      </c>
      <c r="B5" s="102">
        <v>11.724532781498336</v>
      </c>
    </row>
    <row r="6" spans="1:9">
      <c r="A6" s="1">
        <v>3</v>
      </c>
      <c r="B6" s="102">
        <v>13.846681377744401</v>
      </c>
      <c r="D6" s="1" t="s">
        <v>74</v>
      </c>
    </row>
    <row r="7" spans="1:9">
      <c r="A7" s="1">
        <v>4</v>
      </c>
      <c r="B7" s="102">
        <v>13.683507553019471</v>
      </c>
      <c r="D7" s="1" t="s">
        <v>75</v>
      </c>
      <c r="E7" s="1">
        <v>0.87115398410550748</v>
      </c>
    </row>
    <row r="8" spans="1:9">
      <c r="A8" s="1">
        <v>5</v>
      </c>
      <c r="B8" s="102">
        <v>12.229692030809803</v>
      </c>
      <c r="D8" s="1" t="s">
        <v>76</v>
      </c>
      <c r="E8" s="1">
        <v>0.75890926402289882</v>
      </c>
    </row>
    <row r="9" spans="1:9">
      <c r="A9" s="1">
        <v>6</v>
      </c>
      <c r="B9" s="102">
        <v>12.012416364595451</v>
      </c>
      <c r="D9" s="1" t="s">
        <v>77</v>
      </c>
      <c r="E9" s="1">
        <v>0.74551533424639316</v>
      </c>
    </row>
    <row r="10" spans="1:9">
      <c r="A10" s="1">
        <v>7</v>
      </c>
      <c r="B10" s="102">
        <v>13.924914122346042</v>
      </c>
      <c r="D10" s="1" t="s">
        <v>78</v>
      </c>
      <c r="E10" s="1">
        <v>1.0792208114198547</v>
      </c>
    </row>
    <row r="11" spans="1:9">
      <c r="A11" s="1">
        <v>8</v>
      </c>
      <c r="B11" s="102">
        <v>13.246810273044353</v>
      </c>
      <c r="D11" s="1" t="s">
        <v>79</v>
      </c>
      <c r="E11" s="1">
        <v>20</v>
      </c>
    </row>
    <row r="12" spans="1:9">
      <c r="A12" s="1">
        <v>9</v>
      </c>
      <c r="B12" s="102">
        <v>15.60547837744638</v>
      </c>
    </row>
    <row r="13" spans="1:9">
      <c r="A13" s="1">
        <v>10</v>
      </c>
      <c r="B13" s="102">
        <v>14.639534831083369</v>
      </c>
      <c r="D13" s="1" t="s">
        <v>80</v>
      </c>
    </row>
    <row r="14" spans="1:9">
      <c r="A14" s="1">
        <v>11</v>
      </c>
      <c r="B14" s="102">
        <v>16.114646351467577</v>
      </c>
      <c r="E14" s="1" t="s">
        <v>85</v>
      </c>
      <c r="F14" s="1" t="s">
        <v>86</v>
      </c>
      <c r="G14" s="1" t="s">
        <v>87</v>
      </c>
      <c r="H14" s="1" t="s">
        <v>88</v>
      </c>
      <c r="I14" s="1" t="s">
        <v>89</v>
      </c>
    </row>
    <row r="15" spans="1:9">
      <c r="A15" s="1">
        <v>12</v>
      </c>
      <c r="B15" s="102">
        <v>15.066951017752604</v>
      </c>
      <c r="D15" s="1" t="s">
        <v>81</v>
      </c>
      <c r="E15" s="1">
        <v>1</v>
      </c>
      <c r="F15" s="1">
        <v>65.993697208578666</v>
      </c>
      <c r="G15" s="1">
        <v>65.993697208578666</v>
      </c>
      <c r="H15" s="1">
        <v>56.660687093798778</v>
      </c>
      <c r="I15" s="1">
        <v>5.769472674792311E-7</v>
      </c>
    </row>
    <row r="16" spans="1:9">
      <c r="A16" s="1">
        <v>13</v>
      </c>
      <c r="B16" s="102">
        <v>17.162205027298267</v>
      </c>
      <c r="D16" s="1" t="s">
        <v>82</v>
      </c>
      <c r="E16" s="1">
        <v>18</v>
      </c>
      <c r="F16" s="1">
        <v>20.964916076431134</v>
      </c>
      <c r="G16" s="1">
        <v>1.1647175598017296</v>
      </c>
    </row>
    <row r="17" spans="1:10">
      <c r="A17" s="1">
        <v>14</v>
      </c>
      <c r="B17" s="102">
        <v>16.365823251022135</v>
      </c>
      <c r="D17" s="1" t="s">
        <v>83</v>
      </c>
      <c r="E17" s="1">
        <v>19</v>
      </c>
      <c r="F17" s="1">
        <v>86.958613285009804</v>
      </c>
    </row>
    <row r="18" spans="1:10">
      <c r="A18" s="1">
        <v>15</v>
      </c>
      <c r="B18" s="102">
        <v>17.820410648632766</v>
      </c>
    </row>
    <row r="19" spans="1:10">
      <c r="A19" s="1">
        <v>16</v>
      </c>
      <c r="B19" s="102">
        <v>18.083720473884309</v>
      </c>
      <c r="E19" s="1" t="s">
        <v>90</v>
      </c>
      <c r="F19" s="1" t="s">
        <v>78</v>
      </c>
      <c r="G19" s="1" t="s">
        <v>91</v>
      </c>
      <c r="H19" s="1" t="s">
        <v>92</v>
      </c>
      <c r="I19" s="1" t="s">
        <v>93</v>
      </c>
      <c r="J19" s="1" t="s">
        <v>94</v>
      </c>
    </row>
    <row r="20" spans="1:10">
      <c r="A20" s="1">
        <v>17</v>
      </c>
      <c r="B20" s="1">
        <v>17.649999999999999</v>
      </c>
      <c r="D20" s="1" t="s">
        <v>84</v>
      </c>
      <c r="E20" s="1">
        <v>11.683333166087358</v>
      </c>
      <c r="F20" s="1">
        <v>0.50133201495652879</v>
      </c>
      <c r="G20" s="1">
        <v>23.304582228007995</v>
      </c>
      <c r="H20" s="1">
        <v>6.771791053893734E-15</v>
      </c>
      <c r="I20" s="1">
        <v>10.630073688081168</v>
      </c>
      <c r="J20" s="1">
        <v>12.736592644093548</v>
      </c>
    </row>
    <row r="21" spans="1:10">
      <c r="A21" s="1">
        <v>18</v>
      </c>
      <c r="B21" s="102">
        <v>16.122834830837078</v>
      </c>
      <c r="D21" s="1" t="s">
        <v>98</v>
      </c>
      <c r="E21" s="1">
        <v>0.31502165388892756</v>
      </c>
      <c r="F21" s="1">
        <v>4.1850388016665484E-2</v>
      </c>
      <c r="G21" s="1">
        <v>7.5273293467071554</v>
      </c>
      <c r="H21" s="1">
        <v>5.769472674792311E-7</v>
      </c>
      <c r="I21" s="1">
        <v>0.22709725145352397</v>
      </c>
      <c r="J21" s="1">
        <v>0.40294605632433117</v>
      </c>
    </row>
    <row r="22" spans="1:10">
      <c r="A22" s="1">
        <v>19</v>
      </c>
      <c r="B22" s="102">
        <v>15.87</v>
      </c>
    </row>
    <row r="23" spans="1:10">
      <c r="A23" s="1">
        <v>20</v>
      </c>
      <c r="B23" s="102">
        <v>17.21</v>
      </c>
    </row>
    <row r="25" spans="1:10">
      <c r="A25" s="1">
        <v>21</v>
      </c>
      <c r="B25" s="102">
        <f>$E$20+$E$21*A25</f>
        <v>18.298787897754835</v>
      </c>
      <c r="C25" s="1" t="s">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V31"/>
  <sheetViews>
    <sheetView zoomScale="85" zoomScaleNormal="85" workbookViewId="0">
      <selection activeCell="B13" sqref="B13"/>
    </sheetView>
  </sheetViews>
  <sheetFormatPr defaultRowHeight="13"/>
  <cols>
    <col min="1" max="1" width="25.1796875" style="1" bestFit="1" customWidth="1"/>
    <col min="2" max="2" width="10.36328125" style="1" customWidth="1"/>
    <col min="3" max="3" width="9.7265625" style="1" customWidth="1"/>
    <col min="4" max="4" width="35" style="1" bestFit="1" customWidth="1"/>
    <col min="5" max="5" width="11.1796875" style="1" customWidth="1"/>
    <col min="6" max="6" width="13.81640625" style="1" customWidth="1"/>
    <col min="7" max="7" width="14" style="1" customWidth="1"/>
    <col min="8" max="8" width="15.54296875" style="1" customWidth="1"/>
    <col min="9" max="9" width="2.36328125" style="1" customWidth="1"/>
    <col min="10" max="10" width="25.26953125" style="1" bestFit="1" customWidth="1"/>
    <col min="11" max="11" width="8.7265625" style="1"/>
    <col min="12" max="12" width="6.7265625" style="45" customWidth="1"/>
    <col min="13" max="13" width="35.1796875" style="1" bestFit="1" customWidth="1"/>
    <col min="14" max="16384" width="8.7265625" style="1"/>
  </cols>
  <sheetData>
    <row r="1" spans="1:22">
      <c r="A1" s="104" t="s">
        <v>60</v>
      </c>
      <c r="B1" s="2"/>
      <c r="D1" s="3"/>
      <c r="E1" s="165" t="s">
        <v>61</v>
      </c>
      <c r="F1" s="165"/>
      <c r="G1" s="165"/>
      <c r="H1" s="165"/>
      <c r="I1" s="55"/>
      <c r="J1" s="105" t="s">
        <v>56</v>
      </c>
      <c r="K1" s="3"/>
      <c r="L1" s="112"/>
      <c r="M1" s="3"/>
      <c r="N1" s="165" t="s">
        <v>59</v>
      </c>
      <c r="O1" s="165"/>
      <c r="P1" s="165"/>
      <c r="Q1" s="165"/>
    </row>
    <row r="2" spans="1:22">
      <c r="A2" s="5" t="s">
        <v>55</v>
      </c>
      <c r="B2" s="6"/>
      <c r="D2" s="7"/>
      <c r="E2" s="8" t="s">
        <v>0</v>
      </c>
      <c r="F2" s="8" t="s">
        <v>1</v>
      </c>
      <c r="G2" s="8" t="s">
        <v>2</v>
      </c>
      <c r="H2" s="9" t="s">
        <v>3</v>
      </c>
      <c r="I2" s="60"/>
      <c r="J2" s="5" t="s">
        <v>55</v>
      </c>
      <c r="K2" s="27"/>
      <c r="L2" s="113"/>
      <c r="M2" s="7"/>
      <c r="N2" s="38" t="s">
        <v>0</v>
      </c>
      <c r="O2" s="38" t="s">
        <v>1</v>
      </c>
      <c r="P2" s="38" t="s">
        <v>2</v>
      </c>
      <c r="Q2" s="38" t="s">
        <v>3</v>
      </c>
      <c r="S2" s="119" t="s">
        <v>137</v>
      </c>
      <c r="T2" s="121" t="str">
        <f ca="1">"Market share (year 1): in "&amp;CELL("address",$K$6)</f>
        <v>Market share (year 1): in $K$6</v>
      </c>
      <c r="U2" s="121" t="str">
        <f ca="1">"Market share (year 2): in "&amp;CELL("address",$K$7)</f>
        <v>Market share (year 2): in $K$7</v>
      </c>
      <c r="V2" s="121" t="str">
        <f ca="1">"Market share (year 3): in "&amp;CELL("address",$K$8)</f>
        <v>Market share (year 3): in $K$8</v>
      </c>
    </row>
    <row r="3" spans="1:22">
      <c r="A3" s="10" t="s">
        <v>111</v>
      </c>
      <c r="B3" s="54">
        <v>3</v>
      </c>
      <c r="D3" s="1" t="s">
        <v>4</v>
      </c>
      <c r="E3" s="96"/>
      <c r="F3" s="96" t="e">
        <f ca="1">B4*B6</f>
        <v>#NAME?</v>
      </c>
      <c r="G3" s="96" t="e">
        <f ca="1">$B$4*(1+$B$5)^1*$B7</f>
        <v>#NAME?</v>
      </c>
      <c r="H3" s="96" t="e">
        <f ca="1">$B$4*(1+$B$5)^5*$B$8</f>
        <v>#NAME?</v>
      </c>
      <c r="I3" s="60"/>
      <c r="J3" s="13" t="s">
        <v>111</v>
      </c>
      <c r="K3" s="27">
        <v>3</v>
      </c>
      <c r="L3" s="114"/>
      <c r="M3" s="7"/>
      <c r="N3" s="39"/>
      <c r="O3" s="39"/>
      <c r="P3" s="39"/>
      <c r="Q3" s="39"/>
      <c r="S3" s="121" t="str">
        <f ca="1">"Market share (year 1): in "&amp;CELL("address",$K$6)</f>
        <v>Market share (year 1): in $K$6</v>
      </c>
      <c r="T3" s="122">
        <v>1</v>
      </c>
      <c r="U3" s="123"/>
      <c r="V3" s="123"/>
    </row>
    <row r="4" spans="1:22">
      <c r="A4" s="12" t="s">
        <v>138</v>
      </c>
      <c r="B4" s="106" t="e">
        <f ca="1">RiskOutput()+RiskNormal(18300,1100)</f>
        <v>#NAME?</v>
      </c>
      <c r="D4" s="13" t="s">
        <v>62</v>
      </c>
      <c r="E4" s="96"/>
      <c r="F4" s="96" t="e">
        <f ca="1">-$B$13</f>
        <v>#NAME?</v>
      </c>
      <c r="G4" s="96" t="e">
        <f ca="1">-$B$13</f>
        <v>#NAME?</v>
      </c>
      <c r="H4" s="96" t="e">
        <f ca="1">-$B$13</f>
        <v>#NAME?</v>
      </c>
      <c r="I4" s="60"/>
      <c r="J4" s="13" t="s">
        <v>110</v>
      </c>
      <c r="K4" s="109" t="e">
        <f ca="1">RiskOutput()+RiskNormal(350,10)</f>
        <v>#NAME?</v>
      </c>
      <c r="L4" s="114"/>
      <c r="M4" s="1" t="s">
        <v>4</v>
      </c>
      <c r="N4" s="96"/>
      <c r="O4" s="96" t="e">
        <f ca="1">K6*K4</f>
        <v>#NAME?</v>
      </c>
      <c r="P4" s="110" t="e">
        <f ca="1">K7*(K4*(1+K5))</f>
        <v>#NAME?</v>
      </c>
      <c r="Q4" s="110" t="e">
        <f ca="1">K8*(K4*(1+K5)^2)</f>
        <v>#NAME?</v>
      </c>
      <c r="S4" s="121" t="str">
        <f ca="1">"Market share (year 2): in "&amp;CELL("address",$K$7)</f>
        <v>Market share (year 2): in $K$7</v>
      </c>
      <c r="T4" s="120">
        <v>0.8</v>
      </c>
      <c r="U4" s="118">
        <v>1</v>
      </c>
      <c r="V4" s="118"/>
    </row>
    <row r="5" spans="1:22">
      <c r="A5" s="12" t="s">
        <v>109</v>
      </c>
      <c r="B5" s="69" t="e">
        <f ca="1">RiskOutput()+RiskBetaGeneral(5.5,4,-0.08,0.11)</f>
        <v>#NAME?</v>
      </c>
      <c r="D5" s="1" t="s">
        <v>127</v>
      </c>
      <c r="E5" s="107"/>
      <c r="F5" s="107" t="e">
        <f ca="1">F3+F4</f>
        <v>#NAME?</v>
      </c>
      <c r="G5" s="107" t="e">
        <f t="shared" ref="G5:H5" ca="1" si="0">G3+G4</f>
        <v>#NAME?</v>
      </c>
      <c r="H5" s="107" t="e">
        <f t="shared" ca="1" si="0"/>
        <v>#NAME?</v>
      </c>
      <c r="I5" s="60"/>
      <c r="J5" s="16" t="s">
        <v>109</v>
      </c>
      <c r="K5" s="65" t="e">
        <f ca="1">RiskOutput()+RiskBetaGeneral(2.6,1.9,0.08,0.2)</f>
        <v>#NAME?</v>
      </c>
      <c r="L5" s="114"/>
      <c r="M5" s="1" t="s">
        <v>115</v>
      </c>
      <c r="N5" s="96"/>
      <c r="O5" s="96" t="e">
        <f ca="1">K11*-O4</f>
        <v>#NAME?</v>
      </c>
      <c r="P5" s="96" t="e">
        <f ca="1">K11*-P4</f>
        <v>#NAME?</v>
      </c>
      <c r="Q5" s="96" t="e">
        <f ca="1">K11*-Q4</f>
        <v>#NAME?</v>
      </c>
      <c r="S5" s="121" t="str">
        <f ca="1">"Market share (year 3): in "&amp;CELL("address",$K$8)</f>
        <v>Market share (year 3): in $K$8</v>
      </c>
      <c r="T5" s="120">
        <v>0.4</v>
      </c>
      <c r="U5" s="118">
        <v>0.8</v>
      </c>
      <c r="V5" s="118">
        <v>1</v>
      </c>
    </row>
    <row r="6" spans="1:22">
      <c r="A6" s="10" t="s">
        <v>106</v>
      </c>
      <c r="B6" s="69" t="e">
        <f ca="1">RiskOutput()+RiskUniform(VLOOKUP(B31,A28:C30,2),VLOOKUP(B31,A28:C30,3))</f>
        <v>#NAME?</v>
      </c>
      <c r="D6" s="1" t="s">
        <v>115</v>
      </c>
      <c r="E6" s="96"/>
      <c r="F6" s="96" t="e">
        <f ca="1">-F5*$B$12</f>
        <v>#NAME?</v>
      </c>
      <c r="G6" s="96" t="e">
        <f ca="1">-G5*$B$12</f>
        <v>#NAME?</v>
      </c>
      <c r="H6" s="96" t="e">
        <f ca="1">-H5*$B$12</f>
        <v>#NAME?</v>
      </c>
      <c r="I6" s="60"/>
      <c r="J6" s="13" t="s">
        <v>106</v>
      </c>
      <c r="K6" s="53" t="e">
        <f ca="1">RiskOutput()+RiskNormal(0.1188,0.05,RiskTruncate(0,),RiskCorrmat(PMktShareCorrelations,1))</f>
        <v>#NAME?</v>
      </c>
      <c r="L6" s="114"/>
      <c r="M6" s="16" t="s">
        <v>116</v>
      </c>
      <c r="N6" s="96"/>
      <c r="O6" s="96" t="e">
        <f ca="1">K16*-O4</f>
        <v>#NAME?</v>
      </c>
      <c r="P6" s="96" t="e">
        <f ca="1">K16*-P4</f>
        <v>#NAME?</v>
      </c>
      <c r="Q6" s="96" t="e">
        <f ca="1">K16*-Q4</f>
        <v>#NAME?</v>
      </c>
    </row>
    <row r="7" spans="1:22">
      <c r="A7" s="10" t="s">
        <v>107</v>
      </c>
      <c r="B7" s="69" t="e">
        <f ca="1">RiskOutput()+RiskNormal(B6,0.007,RiskTruncate(0,))</f>
        <v>#NAME?</v>
      </c>
      <c r="D7" s="13" t="s">
        <v>126</v>
      </c>
      <c r="E7" s="96"/>
      <c r="F7" s="96">
        <f>-$B$14</f>
        <v>-7</v>
      </c>
      <c r="G7" s="96">
        <f>-$B$14</f>
        <v>-7</v>
      </c>
      <c r="H7" s="96">
        <f>-$B$14</f>
        <v>-7</v>
      </c>
      <c r="I7" s="60"/>
      <c r="J7" s="13" t="s">
        <v>107</v>
      </c>
      <c r="K7" s="65" t="e">
        <f ca="1">RiskOutput()+RiskNormal(0.1275,0.06,RiskTruncate(0,),RiskCorrmat(PMktShareCorrelations,2))</f>
        <v>#NAME?</v>
      </c>
      <c r="L7" s="114"/>
      <c r="M7" s="10" t="s">
        <v>117</v>
      </c>
      <c r="N7" s="97"/>
      <c r="O7" s="97">
        <f>-K17</f>
        <v>-3</v>
      </c>
      <c r="P7" s="97">
        <f>O7</f>
        <v>-3</v>
      </c>
      <c r="Q7" s="97">
        <f>P7</f>
        <v>-3</v>
      </c>
    </row>
    <row r="8" spans="1:22">
      <c r="A8" s="10" t="s">
        <v>108</v>
      </c>
      <c r="B8" s="69" t="e">
        <f ca="1">RiskNormal(B7,0.007,RiskTruncate(0,))</f>
        <v>#NAME?</v>
      </c>
      <c r="D8" s="1" t="s">
        <v>6</v>
      </c>
      <c r="E8" s="96"/>
      <c r="F8" s="96">
        <f>-$B$15</f>
        <v>-10</v>
      </c>
      <c r="G8" s="96">
        <f>-$B$15</f>
        <v>-10</v>
      </c>
      <c r="H8" s="96"/>
      <c r="I8" s="60"/>
      <c r="J8" s="13" t="s">
        <v>108</v>
      </c>
      <c r="K8" s="65" t="e">
        <f ca="1">RiskNormal(0.1578,0.07,RiskTruncate(0,),RiskCorrmat(PMktShareCorrelations,3))</f>
        <v>#NAME?</v>
      </c>
      <c r="L8" s="114"/>
      <c r="M8" s="1" t="s">
        <v>64</v>
      </c>
      <c r="N8" s="96"/>
      <c r="O8" s="96">
        <f>-K10/3</f>
        <v>-3</v>
      </c>
      <c r="P8" s="96">
        <f>-K10/3</f>
        <v>-3</v>
      </c>
      <c r="Q8" s="96">
        <f>-K10/3</f>
        <v>-3</v>
      </c>
    </row>
    <row r="9" spans="1:22">
      <c r="A9" s="12" t="s">
        <v>130</v>
      </c>
      <c r="B9" s="106">
        <v>100</v>
      </c>
      <c r="D9" s="10" t="s">
        <v>117</v>
      </c>
      <c r="E9" s="97"/>
      <c r="F9" s="97">
        <f>-$B$16</f>
        <v>-20</v>
      </c>
      <c r="G9" s="97">
        <f>-$B$16</f>
        <v>-20</v>
      </c>
      <c r="H9" s="97">
        <f>-$B$16</f>
        <v>-20</v>
      </c>
      <c r="I9" s="60"/>
      <c r="J9" s="1" t="s">
        <v>12</v>
      </c>
      <c r="K9" s="100">
        <v>50</v>
      </c>
      <c r="L9" s="114"/>
      <c r="M9" s="18" t="s">
        <v>118</v>
      </c>
      <c r="N9" s="98">
        <f>-K9</f>
        <v>-50</v>
      </c>
      <c r="O9" s="98">
        <v>0</v>
      </c>
      <c r="P9" s="98">
        <v>0</v>
      </c>
      <c r="Q9" s="98">
        <v>0</v>
      </c>
    </row>
    <row r="10" spans="1:22">
      <c r="A10" s="12" t="s">
        <v>5</v>
      </c>
      <c r="B10" s="106">
        <v>15</v>
      </c>
      <c r="D10" s="1" t="s">
        <v>63</v>
      </c>
      <c r="E10" s="96"/>
      <c r="F10" s="96">
        <f>-$B$9/20</f>
        <v>-5</v>
      </c>
      <c r="G10" s="96">
        <f>-$B$9/20</f>
        <v>-5</v>
      </c>
      <c r="H10" s="96">
        <f>-$B$9/20</f>
        <v>-5</v>
      </c>
      <c r="I10" s="60"/>
      <c r="J10" s="16" t="s">
        <v>5</v>
      </c>
      <c r="K10" s="109">
        <v>9</v>
      </c>
      <c r="L10" s="114"/>
      <c r="M10" s="1" t="s">
        <v>103</v>
      </c>
      <c r="N10" s="96">
        <f>SUM(N4:N9)</f>
        <v>-50</v>
      </c>
      <c r="O10" s="96" t="e">
        <f ca="1">SUM(O4:O9)</f>
        <v>#NAME?</v>
      </c>
      <c r="P10" s="96" t="e">
        <f ca="1">SUM(P4:P9)</f>
        <v>#NAME?</v>
      </c>
      <c r="Q10" s="96" t="e">
        <f ca="1">SUM(Q4:Q9)</f>
        <v>#NAME?</v>
      </c>
    </row>
    <row r="11" spans="1:22">
      <c r="A11" s="12" t="s">
        <v>129</v>
      </c>
      <c r="B11" s="106">
        <v>5</v>
      </c>
      <c r="D11" s="1" t="s">
        <v>64</v>
      </c>
      <c r="E11" s="96"/>
      <c r="F11" s="96">
        <f>-($B$10+$B$11)/5</f>
        <v>-4</v>
      </c>
      <c r="G11" s="96">
        <f>-($B$10+$B$11)/5</f>
        <v>-4</v>
      </c>
      <c r="H11" s="96">
        <f>-($B$10+$B$11)/5</f>
        <v>-4</v>
      </c>
      <c r="I11" s="60"/>
      <c r="J11" s="16" t="s">
        <v>104</v>
      </c>
      <c r="K11" s="108">
        <v>0.17</v>
      </c>
      <c r="L11" s="114"/>
      <c r="M11" s="1" t="s">
        <v>7</v>
      </c>
      <c r="N11" s="98">
        <f>N10*-K19</f>
        <v>20</v>
      </c>
      <c r="O11" s="98" t="e">
        <f ca="1">O10*-K19</f>
        <v>#NAME?</v>
      </c>
      <c r="P11" s="98" t="e">
        <f ca="1">P10*-K19</f>
        <v>#NAME?</v>
      </c>
      <c r="Q11" s="98" t="e">
        <f ca="1">Q10*-K19</f>
        <v>#NAME?</v>
      </c>
    </row>
    <row r="12" spans="1:22">
      <c r="A12" s="12" t="s">
        <v>104</v>
      </c>
      <c r="B12" s="70">
        <v>0.31</v>
      </c>
      <c r="D12" s="1" t="s">
        <v>103</v>
      </c>
      <c r="E12" s="96"/>
      <c r="F12" s="96" t="e">
        <f ca="1">SUM(F5:F11)</f>
        <v>#NAME?</v>
      </c>
      <c r="G12" s="96" t="e">
        <f t="shared" ref="G12:H12" ca="1" si="1">SUM(G5:G11)</f>
        <v>#NAME?</v>
      </c>
      <c r="H12" s="96" t="e">
        <f t="shared" ca="1" si="1"/>
        <v>#NAME?</v>
      </c>
      <c r="I12" s="60"/>
      <c r="J12" s="16" t="s">
        <v>105</v>
      </c>
      <c r="K12" s="67">
        <v>0</v>
      </c>
      <c r="L12" s="114"/>
      <c r="M12" s="1" t="s">
        <v>58</v>
      </c>
      <c r="N12" s="96">
        <f>N10+N11</f>
        <v>-30</v>
      </c>
      <c r="O12" s="96" t="e">
        <f ca="1">O10+O11</f>
        <v>#NAME?</v>
      </c>
      <c r="P12" s="96" t="e">
        <f ca="1">P10+P11</f>
        <v>#NAME?</v>
      </c>
      <c r="Q12" s="96" t="e">
        <f ca="1">Q10+Q11</f>
        <v>#NAME?</v>
      </c>
    </row>
    <row r="13" spans="1:22">
      <c r="A13" s="12" t="s">
        <v>54</v>
      </c>
      <c r="B13" s="106" t="e">
        <f ca="1">RiskNormal(170,20)</f>
        <v>#NAME?</v>
      </c>
      <c r="D13" s="1" t="s">
        <v>7</v>
      </c>
      <c r="E13" s="98"/>
      <c r="F13" s="98" t="e">
        <f ca="1">-F12*$B$18</f>
        <v>#NAME?</v>
      </c>
      <c r="G13" s="98" t="e">
        <f ca="1">-G12*$B$18</f>
        <v>#NAME?</v>
      </c>
      <c r="H13" s="98" t="e">
        <f ca="1">-H12*$B$18</f>
        <v>#NAME?</v>
      </c>
      <c r="I13" s="60"/>
      <c r="J13" s="13" t="s">
        <v>112</v>
      </c>
      <c r="K13" s="109">
        <v>0</v>
      </c>
      <c r="L13" s="114"/>
      <c r="M13" s="17" t="s">
        <v>119</v>
      </c>
      <c r="N13" s="97"/>
      <c r="O13" s="97">
        <f>-O8</f>
        <v>3</v>
      </c>
      <c r="P13" s="97">
        <f>-P8</f>
        <v>3</v>
      </c>
      <c r="Q13" s="97">
        <f>-Q8</f>
        <v>3</v>
      </c>
    </row>
    <row r="14" spans="1:22">
      <c r="A14" s="12" t="s">
        <v>128</v>
      </c>
      <c r="B14" s="106">
        <v>7</v>
      </c>
      <c r="D14" s="1" t="s">
        <v>58</v>
      </c>
      <c r="E14" s="96"/>
      <c r="F14" s="96" t="e">
        <f t="shared" ref="F14:H14" ca="1" si="2">F12+F13</f>
        <v>#NAME?</v>
      </c>
      <c r="G14" s="96" t="e">
        <f t="shared" ca="1" si="2"/>
        <v>#NAME?</v>
      </c>
      <c r="H14" s="96" t="e">
        <f t="shared" ca="1" si="2"/>
        <v>#NAME?</v>
      </c>
      <c r="I14" s="60"/>
      <c r="J14" s="13" t="s">
        <v>13</v>
      </c>
      <c r="K14" s="66">
        <v>0</v>
      </c>
      <c r="L14" s="114"/>
      <c r="M14" s="17" t="s">
        <v>57</v>
      </c>
      <c r="N14" s="97">
        <f>K18</f>
        <v>-15</v>
      </c>
      <c r="O14" s="97">
        <v>0</v>
      </c>
      <c r="P14" s="97">
        <v>0</v>
      </c>
      <c r="Q14" s="97">
        <f>-K18</f>
        <v>15</v>
      </c>
    </row>
    <row r="15" spans="1:22">
      <c r="A15" s="12" t="s">
        <v>9</v>
      </c>
      <c r="B15" s="106">
        <v>10</v>
      </c>
      <c r="D15" s="1" t="s">
        <v>125</v>
      </c>
      <c r="E15" s="96"/>
      <c r="F15" s="96">
        <f>-1*F10</f>
        <v>5</v>
      </c>
      <c r="G15" s="96">
        <f t="shared" ref="F15:H16" si="3">-1*G10</f>
        <v>5</v>
      </c>
      <c r="H15" s="96">
        <f t="shared" si="3"/>
        <v>5</v>
      </c>
      <c r="I15" s="60"/>
      <c r="J15" s="13" t="s">
        <v>8</v>
      </c>
      <c r="K15" s="64">
        <v>0</v>
      </c>
      <c r="L15" s="114"/>
      <c r="M15" s="18" t="s">
        <v>120</v>
      </c>
      <c r="N15" s="98">
        <f>-K10</f>
        <v>-9</v>
      </c>
      <c r="O15" s="98"/>
      <c r="P15" s="98"/>
      <c r="Q15" s="98">
        <v>0</v>
      </c>
    </row>
    <row r="16" spans="1:22">
      <c r="A16" s="10" t="s">
        <v>113</v>
      </c>
      <c r="B16" s="106">
        <v>20</v>
      </c>
      <c r="D16" s="17" t="s">
        <v>119</v>
      </c>
      <c r="E16" s="97"/>
      <c r="F16" s="97">
        <f t="shared" si="3"/>
        <v>4</v>
      </c>
      <c r="G16" s="97">
        <f t="shared" si="3"/>
        <v>4</v>
      </c>
      <c r="H16" s="97">
        <f t="shared" si="3"/>
        <v>4</v>
      </c>
      <c r="I16" s="60"/>
      <c r="J16" s="13" t="s">
        <v>14</v>
      </c>
      <c r="K16" s="68">
        <v>0.2</v>
      </c>
      <c r="L16" s="114"/>
      <c r="M16" s="19" t="s">
        <v>121</v>
      </c>
      <c r="N16" s="99">
        <f>SUM(N12:N15)</f>
        <v>-54</v>
      </c>
      <c r="O16" s="99" t="e">
        <f ca="1">SUM(O12:O15)</f>
        <v>#NAME?</v>
      </c>
      <c r="P16" s="99" t="e">
        <f ca="1">SUM(P12:P15)</f>
        <v>#NAME?</v>
      </c>
      <c r="Q16" s="99" t="e">
        <f ca="1">SUM(Q12:Q15)</f>
        <v>#NAME?</v>
      </c>
    </row>
    <row r="17" spans="1:17">
      <c r="A17" s="12" t="s">
        <v>65</v>
      </c>
      <c r="B17" s="106">
        <v>-45</v>
      </c>
      <c r="D17" s="17" t="s">
        <v>57</v>
      </c>
      <c r="E17" s="97">
        <f>B17</f>
        <v>-45</v>
      </c>
      <c r="F17" s="97">
        <v>0</v>
      </c>
      <c r="G17" s="97">
        <v>0</v>
      </c>
      <c r="H17" s="97">
        <f>-B17</f>
        <v>45</v>
      </c>
      <c r="I17" s="60"/>
      <c r="J17" s="13" t="s">
        <v>113</v>
      </c>
      <c r="K17" s="109">
        <v>3</v>
      </c>
      <c r="L17" s="115"/>
      <c r="M17" s="17"/>
      <c r="N17" s="17"/>
      <c r="O17" s="17">
        <v>15.276</v>
      </c>
      <c r="P17" s="17">
        <v>19.178849999999997</v>
      </c>
      <c r="Q17" s="17">
        <v>42.394679999999994</v>
      </c>
    </row>
    <row r="18" spans="1:17">
      <c r="A18" s="12" t="s">
        <v>114</v>
      </c>
      <c r="B18" s="71">
        <v>0.4</v>
      </c>
      <c r="D18" s="1" t="s">
        <v>124</v>
      </c>
      <c r="E18" s="96">
        <f>-B9</f>
        <v>-100</v>
      </c>
      <c r="F18" s="96"/>
      <c r="G18" s="96"/>
      <c r="H18" s="96"/>
      <c r="I18" s="60"/>
      <c r="J18" s="16" t="s">
        <v>65</v>
      </c>
      <c r="K18" s="109">
        <v>-15</v>
      </c>
      <c r="L18" s="115"/>
      <c r="M18" s="23" t="s">
        <v>122</v>
      </c>
      <c r="N18" s="20"/>
    </row>
    <row r="19" spans="1:17">
      <c r="A19" s="17"/>
      <c r="B19" s="17"/>
      <c r="D19" s="18" t="s">
        <v>120</v>
      </c>
      <c r="E19" s="98">
        <f>-B10-B11</f>
        <v>-20</v>
      </c>
      <c r="F19" s="98"/>
      <c r="G19" s="98"/>
      <c r="H19" s="98"/>
      <c r="I19" s="60"/>
      <c r="J19" s="16" t="s">
        <v>114</v>
      </c>
      <c r="K19" s="108">
        <v>0.4</v>
      </c>
      <c r="L19" s="115"/>
      <c r="M19" s="12" t="s">
        <v>123</v>
      </c>
      <c r="N19" s="26">
        <v>0.13</v>
      </c>
    </row>
    <row r="20" spans="1:17">
      <c r="A20" s="17"/>
      <c r="B20" s="17"/>
      <c r="D20" s="19" t="s">
        <v>121</v>
      </c>
      <c r="E20" s="99">
        <f>SUM(E14:E19)</f>
        <v>-165</v>
      </c>
      <c r="F20" s="99" t="e">
        <f t="shared" ref="F20:H20" ca="1" si="4">SUM(F14:F19)</f>
        <v>#NAME?</v>
      </c>
      <c r="G20" s="99" t="e">
        <f ca="1">SUM(G14:G19)</f>
        <v>#NAME?</v>
      </c>
      <c r="H20" s="99" t="e">
        <f t="shared" ca="1" si="4"/>
        <v>#NAME?</v>
      </c>
      <c r="I20" s="60"/>
      <c r="J20" s="20"/>
      <c r="K20" s="20"/>
      <c r="L20" s="115"/>
      <c r="M20" s="12" t="s">
        <v>10</v>
      </c>
      <c r="N20" s="116" t="e">
        <f ca="1">RiskOutput("Persistence NPV")+NPV(N19,O16:Q16)+N16</f>
        <v>#NAME?</v>
      </c>
    </row>
    <row r="21" spans="1:17">
      <c r="A21" s="17"/>
      <c r="B21" s="17"/>
      <c r="D21" s="17"/>
      <c r="E21" s="17">
        <v>-165</v>
      </c>
      <c r="F21" s="15">
        <v>47.391599999999997</v>
      </c>
      <c r="G21" s="15">
        <v>67.08972</v>
      </c>
      <c r="H21" s="15">
        <v>111.32916810909821</v>
      </c>
      <c r="I21" s="61"/>
      <c r="J21" s="17"/>
      <c r="K21" s="17"/>
      <c r="M21" s="12" t="s">
        <v>11</v>
      </c>
      <c r="N21" s="26" t="e">
        <f ca="1">IRR(N16:Q16)</f>
        <v>#VALUE!</v>
      </c>
    </row>
    <row r="22" spans="1:17">
      <c r="A22" s="17"/>
      <c r="B22" s="17"/>
      <c r="D22" s="23" t="s">
        <v>122</v>
      </c>
      <c r="E22" s="6"/>
      <c r="F22" s="15"/>
      <c r="G22" s="15"/>
      <c r="H22" s="24"/>
      <c r="I22" s="61"/>
    </row>
    <row r="23" spans="1:17">
      <c r="A23" s="17"/>
      <c r="B23" s="17"/>
      <c r="D23" s="12" t="s">
        <v>123</v>
      </c>
      <c r="E23" s="26">
        <v>0.1051</v>
      </c>
      <c r="I23" s="60"/>
      <c r="M23" s="1" t="s">
        <v>136</v>
      </c>
      <c r="N23" s="117" t="e">
        <f ca="1">RiskOutput("NPV(Rapid Bounce) - NPV(Persistence)")+E24-N20</f>
        <v>#NAME?</v>
      </c>
    </row>
    <row r="24" spans="1:17">
      <c r="A24" s="22"/>
      <c r="B24" s="22"/>
      <c r="D24" s="12" t="s">
        <v>10</v>
      </c>
      <c r="E24" s="116" t="e">
        <f ca="1">RiskOutput("Rapid Bounce NPV")+E20+NPV(E23,F20:H20)</f>
        <v>#NAME?</v>
      </c>
      <c r="I24" s="60"/>
    </row>
    <row r="25" spans="1:17">
      <c r="A25" s="17"/>
      <c r="B25" s="17"/>
      <c r="D25" s="12" t="s">
        <v>11</v>
      </c>
      <c r="E25" s="26" t="e">
        <f ca="1">IRR(E20:H20)</f>
        <v>#VALUE!</v>
      </c>
      <c r="I25" s="59"/>
    </row>
    <row r="27" spans="1:17">
      <c r="A27" s="1" t="s">
        <v>131</v>
      </c>
      <c r="B27" s="1" t="s">
        <v>132</v>
      </c>
      <c r="C27" s="1" t="s">
        <v>133</v>
      </c>
      <c r="D27" s="1" t="s">
        <v>135</v>
      </c>
    </row>
    <row r="28" spans="1:17">
      <c r="A28" s="1">
        <v>1</v>
      </c>
      <c r="B28" s="111">
        <v>1.6500000000000001E-2</v>
      </c>
      <c r="C28" s="111">
        <v>0.02</v>
      </c>
      <c r="D28" s="95">
        <v>0.95</v>
      </c>
    </row>
    <row r="29" spans="1:17">
      <c r="A29" s="1">
        <v>2</v>
      </c>
      <c r="B29" s="111">
        <v>1.4E-2</v>
      </c>
      <c r="C29" s="111">
        <v>1.6E-2</v>
      </c>
      <c r="D29" s="95">
        <v>0.03</v>
      </c>
    </row>
    <row r="30" spans="1:17">
      <c r="A30" s="1">
        <v>3</v>
      </c>
      <c r="B30" s="111">
        <v>2E-3</v>
      </c>
      <c r="C30" s="111">
        <v>4.0000000000000001E-3</v>
      </c>
      <c r="D30" s="95">
        <v>0.02</v>
      </c>
    </row>
    <row r="31" spans="1:17">
      <c r="A31" s="1" t="s">
        <v>134</v>
      </c>
      <c r="B31" s="1" t="e">
        <f ca="1">RiskDiscrete(A28:A30,D28:D30)</f>
        <v>#NAME?</v>
      </c>
    </row>
  </sheetData>
  <mergeCells count="2">
    <mergeCell ref="E1:H1"/>
    <mergeCell ref="N1:Q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B1:Y60"/>
  <sheetViews>
    <sheetView showGridLines="0" topLeftCell="F5" workbookViewId="0">
      <selection activeCell="K22" sqref="K22"/>
    </sheetView>
  </sheetViews>
  <sheetFormatPr defaultColWidth="9.08984375" defaultRowHeight="14.5"/>
  <cols>
    <col min="1" max="1" width="0.26953125" style="130" customWidth="1"/>
    <col min="2" max="25" width="15" style="130" customWidth="1"/>
    <col min="26" max="16384" width="9.08984375" style="130"/>
  </cols>
  <sheetData>
    <row r="1" spans="2:25" s="124" customFormat="1" ht="17.5">
      <c r="B1" s="125" t="s">
        <v>139</v>
      </c>
    </row>
    <row r="2" spans="2:25" s="126" customFormat="1" ht="10">
      <c r="B2" s="127" t="s">
        <v>140</v>
      </c>
    </row>
    <row r="3" spans="2:25" s="128" customFormat="1" ht="10">
      <c r="B3" s="129"/>
    </row>
    <row r="4" spans="2:25" ht="15" thickBot="1"/>
    <row r="5" spans="2:25">
      <c r="B5" s="131"/>
      <c r="C5" s="132"/>
      <c r="D5" s="133"/>
      <c r="E5" s="133"/>
      <c r="F5" s="133"/>
      <c r="G5" s="133"/>
      <c r="H5" s="133"/>
      <c r="I5" s="133"/>
      <c r="J5" s="133"/>
      <c r="K5" s="133"/>
      <c r="L5" s="133"/>
      <c r="M5" s="133"/>
      <c r="N5" s="133"/>
      <c r="O5" s="133"/>
      <c r="P5" s="133"/>
      <c r="Q5" s="133"/>
      <c r="R5" s="133"/>
      <c r="S5" s="133"/>
      <c r="T5" s="133"/>
      <c r="U5" s="133"/>
      <c r="V5" s="133"/>
      <c r="W5" s="133"/>
      <c r="X5" s="133"/>
      <c r="Y5" s="134"/>
    </row>
    <row r="6" spans="2:25">
      <c r="B6" s="135" t="s">
        <v>141</v>
      </c>
      <c r="C6" s="136" t="s">
        <v>138</v>
      </c>
      <c r="D6" s="137" t="s">
        <v>110</v>
      </c>
      <c r="E6" s="137" t="s">
        <v>109</v>
      </c>
      <c r="F6" s="137" t="s">
        <v>109</v>
      </c>
      <c r="G6" s="137" t="s">
        <v>106</v>
      </c>
      <c r="H6" s="137" t="s">
        <v>106</v>
      </c>
      <c r="I6" s="137" t="s">
        <v>107</v>
      </c>
      <c r="J6" s="137" t="s">
        <v>107</v>
      </c>
      <c r="K6" s="137" t="s">
        <v>142</v>
      </c>
      <c r="L6" s="137" t="s">
        <v>143</v>
      </c>
      <c r="M6" s="137" t="s">
        <v>144</v>
      </c>
      <c r="N6" s="137" t="s">
        <v>138</v>
      </c>
      <c r="O6" s="137" t="s">
        <v>110</v>
      </c>
      <c r="P6" s="137" t="s">
        <v>109</v>
      </c>
      <c r="Q6" s="137" t="s">
        <v>109</v>
      </c>
      <c r="R6" s="137" t="s">
        <v>106</v>
      </c>
      <c r="S6" s="137" t="s">
        <v>106</v>
      </c>
      <c r="T6" s="137" t="s">
        <v>107</v>
      </c>
      <c r="U6" s="137" t="s">
        <v>107</v>
      </c>
      <c r="V6" s="137" t="s">
        <v>108</v>
      </c>
      <c r="W6" s="137" t="s">
        <v>108</v>
      </c>
      <c r="X6" s="137" t="s">
        <v>54</v>
      </c>
      <c r="Y6" s="138" t="s">
        <v>145</v>
      </c>
    </row>
    <row r="7" spans="2:25">
      <c r="B7" s="135" t="s">
        <v>146</v>
      </c>
      <c r="C7" s="136" t="s">
        <v>147</v>
      </c>
      <c r="D7" s="137" t="s">
        <v>147</v>
      </c>
      <c r="E7" s="137" t="s">
        <v>147</v>
      </c>
      <c r="F7" s="137" t="s">
        <v>147</v>
      </c>
      <c r="G7" s="137" t="s">
        <v>147</v>
      </c>
      <c r="H7" s="137" t="s">
        <v>147</v>
      </c>
      <c r="I7" s="137" t="s">
        <v>147</v>
      </c>
      <c r="J7" s="137" t="s">
        <v>147</v>
      </c>
      <c r="K7" s="137" t="s">
        <v>147</v>
      </c>
      <c r="L7" s="137" t="s">
        <v>147</v>
      </c>
      <c r="M7" s="137" t="s">
        <v>147</v>
      </c>
      <c r="N7" s="137" t="s">
        <v>148</v>
      </c>
      <c r="O7" s="137" t="s">
        <v>149</v>
      </c>
      <c r="P7" s="137" t="s">
        <v>150</v>
      </c>
      <c r="Q7" s="137" t="s">
        <v>151</v>
      </c>
      <c r="R7" s="137" t="s">
        <v>152</v>
      </c>
      <c r="S7" s="137" t="s">
        <v>153</v>
      </c>
      <c r="T7" s="137" t="s">
        <v>154</v>
      </c>
      <c r="U7" s="137" t="s">
        <v>155</v>
      </c>
      <c r="V7" s="137" t="s">
        <v>156</v>
      </c>
      <c r="W7" s="137" t="s">
        <v>157</v>
      </c>
      <c r="X7" s="137" t="s">
        <v>158</v>
      </c>
      <c r="Y7" s="138" t="s">
        <v>159</v>
      </c>
    </row>
    <row r="8" spans="2:25">
      <c r="B8" s="139" t="s">
        <v>160</v>
      </c>
      <c r="C8" s="140" t="s">
        <v>161</v>
      </c>
      <c r="D8" s="141" t="s">
        <v>162</v>
      </c>
      <c r="E8" s="141" t="s">
        <v>163</v>
      </c>
      <c r="F8" s="141" t="s">
        <v>164</v>
      </c>
      <c r="G8" s="141" t="s">
        <v>165</v>
      </c>
      <c r="H8" s="141" t="s">
        <v>166</v>
      </c>
      <c r="I8" s="141" t="s">
        <v>167</v>
      </c>
      <c r="J8" s="141" t="s">
        <v>168</v>
      </c>
      <c r="K8" s="141" t="s">
        <v>169</v>
      </c>
      <c r="L8" s="141" t="s">
        <v>170</v>
      </c>
      <c r="M8" s="141" t="s">
        <v>171</v>
      </c>
      <c r="N8" s="141" t="s">
        <v>161</v>
      </c>
      <c r="O8" s="141" t="s">
        <v>162</v>
      </c>
      <c r="P8" s="141" t="s">
        <v>163</v>
      </c>
      <c r="Q8" s="141" t="s">
        <v>164</v>
      </c>
      <c r="R8" s="141" t="s">
        <v>165</v>
      </c>
      <c r="S8" s="141" t="s">
        <v>166</v>
      </c>
      <c r="T8" s="141" t="s">
        <v>167</v>
      </c>
      <c r="U8" s="141" t="s">
        <v>168</v>
      </c>
      <c r="V8" s="141" t="s">
        <v>172</v>
      </c>
      <c r="W8" s="141" t="s">
        <v>173</v>
      </c>
      <c r="X8" s="141" t="s">
        <v>174</v>
      </c>
      <c r="Y8" s="142" t="s">
        <v>175</v>
      </c>
    </row>
    <row r="9" spans="2:25">
      <c r="B9" s="143" t="s">
        <v>176</v>
      </c>
      <c r="C9" s="144">
        <v>14199.6</v>
      </c>
      <c r="D9" s="145">
        <v>310.04770000000002</v>
      </c>
      <c r="E9" s="145">
        <v>-6.5555840000000004E-2</v>
      </c>
      <c r="F9" s="145">
        <v>8.1209740000000002E-2</v>
      </c>
      <c r="G9" s="145">
        <v>2.0047440000000001E-3</v>
      </c>
      <c r="H9" s="145">
        <v>4.432423E-5</v>
      </c>
      <c r="I9" s="145">
        <v>2.9972319999999999E-5</v>
      </c>
      <c r="J9" s="145">
        <v>8.1931610000000001E-5</v>
      </c>
      <c r="K9" s="145">
        <v>-44.879190000000001</v>
      </c>
      <c r="L9" s="145">
        <v>-383.46800000000002</v>
      </c>
      <c r="M9" s="145">
        <v>-353.12060000000002</v>
      </c>
      <c r="N9" s="145">
        <v>14199.6</v>
      </c>
      <c r="O9" s="145">
        <v>310.04770000000002</v>
      </c>
      <c r="P9" s="145">
        <v>-6.5555840000000004E-2</v>
      </c>
      <c r="Q9" s="145">
        <v>8.1209740000000002E-2</v>
      </c>
      <c r="R9" s="145">
        <v>2.0047440000000001E-3</v>
      </c>
      <c r="S9" s="145">
        <v>4.432423E-5</v>
      </c>
      <c r="T9" s="145">
        <v>2.9972319999999999E-5</v>
      </c>
      <c r="U9" s="145">
        <v>8.1931610000000001E-5</v>
      </c>
      <c r="V9" s="145">
        <v>4.2769760000000002E-5</v>
      </c>
      <c r="W9" s="145">
        <v>1.9872189999999999E-4</v>
      </c>
      <c r="X9" s="145">
        <v>84.762050000000002</v>
      </c>
      <c r="Y9" s="146">
        <v>1</v>
      </c>
    </row>
    <row r="10" spans="2:25">
      <c r="B10" s="147" t="s">
        <v>177</v>
      </c>
      <c r="C10" s="148">
        <v>22575.75</v>
      </c>
      <c r="D10" s="149">
        <v>389.57100000000003</v>
      </c>
      <c r="E10" s="149">
        <v>0.106209</v>
      </c>
      <c r="F10" s="149">
        <v>0.1996945</v>
      </c>
      <c r="G10" s="149">
        <v>1.9999840000000001E-2</v>
      </c>
      <c r="H10" s="149">
        <v>0.33628259999999999</v>
      </c>
      <c r="I10" s="149">
        <v>5.1359059999999998E-2</v>
      </c>
      <c r="J10" s="149">
        <v>0.35764580000000001</v>
      </c>
      <c r="K10" s="149">
        <v>78.752170000000007</v>
      </c>
      <c r="L10" s="149">
        <v>551.7808</v>
      </c>
      <c r="M10" s="149">
        <v>539.68939999999998</v>
      </c>
      <c r="N10" s="149">
        <v>22575.75</v>
      </c>
      <c r="O10" s="149">
        <v>389.57100000000003</v>
      </c>
      <c r="P10" s="149">
        <v>0.106209</v>
      </c>
      <c r="Q10" s="149">
        <v>0.1996945</v>
      </c>
      <c r="R10" s="149">
        <v>1.9999840000000001E-2</v>
      </c>
      <c r="S10" s="149">
        <v>0.33628259999999999</v>
      </c>
      <c r="T10" s="149">
        <v>5.1359059999999998E-2</v>
      </c>
      <c r="U10" s="149">
        <v>0.35764580000000001</v>
      </c>
      <c r="V10" s="149">
        <v>5.5738740000000002E-2</v>
      </c>
      <c r="W10" s="149">
        <v>0.49267240000000001</v>
      </c>
      <c r="X10" s="149">
        <v>251.2689</v>
      </c>
      <c r="Y10" s="150">
        <v>3</v>
      </c>
    </row>
    <row r="11" spans="2:25">
      <c r="B11" s="147" t="s">
        <v>178</v>
      </c>
      <c r="C11" s="148">
        <v>18300.02</v>
      </c>
      <c r="D11" s="149">
        <v>350</v>
      </c>
      <c r="E11" s="149">
        <v>3.000013E-2</v>
      </c>
      <c r="F11" s="149">
        <v>0.1493332</v>
      </c>
      <c r="G11" s="149">
        <v>1.7848639999999999E-2</v>
      </c>
      <c r="H11" s="149">
        <v>0.1199982</v>
      </c>
      <c r="I11" s="149">
        <v>1.8036980000000001E-2</v>
      </c>
      <c r="J11" s="149">
        <v>0.13004569999999999</v>
      </c>
      <c r="K11" s="149">
        <v>3.9035880000000001</v>
      </c>
      <c r="L11" s="149">
        <v>8.7754630000000002</v>
      </c>
      <c r="M11" s="149">
        <v>12.67905</v>
      </c>
      <c r="N11" s="149">
        <v>18300.02</v>
      </c>
      <c r="O11" s="149">
        <v>350</v>
      </c>
      <c r="P11" s="149">
        <v>3.000013E-2</v>
      </c>
      <c r="Q11" s="149">
        <v>0.1493332</v>
      </c>
      <c r="R11" s="149">
        <v>1.7848639999999999E-2</v>
      </c>
      <c r="S11" s="149">
        <v>0.1199982</v>
      </c>
      <c r="T11" s="149">
        <v>1.8036980000000001E-2</v>
      </c>
      <c r="U11" s="149">
        <v>0.13004569999999999</v>
      </c>
      <c r="V11" s="149">
        <v>1.850365E-2</v>
      </c>
      <c r="W11" s="149">
        <v>0.16003229999999999</v>
      </c>
      <c r="X11" s="149">
        <v>169.99930000000001</v>
      </c>
      <c r="Y11" s="150">
        <v>1.07</v>
      </c>
    </row>
    <row r="12" spans="2:25">
      <c r="B12" s="147" t="s">
        <v>179</v>
      </c>
      <c r="C12" s="148">
        <v>1099.93</v>
      </c>
      <c r="D12" s="149">
        <v>10.000260000000001</v>
      </c>
      <c r="E12" s="149">
        <v>2.8952039999999998E-2</v>
      </c>
      <c r="F12" s="149">
        <v>2.5274250000000002E-2</v>
      </c>
      <c r="G12" s="149">
        <v>2.416793E-3</v>
      </c>
      <c r="H12" s="149">
        <v>4.8554519999999997E-2</v>
      </c>
      <c r="I12" s="149">
        <v>7.1319010000000004E-3</v>
      </c>
      <c r="J12" s="149">
        <v>5.7175360000000001E-2</v>
      </c>
      <c r="K12" s="149">
        <v>18.418489999999998</v>
      </c>
      <c r="L12" s="149">
        <v>112.5783</v>
      </c>
      <c r="M12" s="149">
        <v>111.0381</v>
      </c>
      <c r="N12" s="149">
        <v>1099.93</v>
      </c>
      <c r="O12" s="149">
        <v>10.000260000000001</v>
      </c>
      <c r="P12" s="149">
        <v>2.8952039999999998E-2</v>
      </c>
      <c r="Q12" s="149">
        <v>2.5274250000000002E-2</v>
      </c>
      <c r="R12" s="149">
        <v>2.416793E-3</v>
      </c>
      <c r="S12" s="149">
        <v>4.8554519999999997E-2</v>
      </c>
      <c r="T12" s="149">
        <v>7.1319010000000004E-3</v>
      </c>
      <c r="U12" s="149">
        <v>5.7175360000000001E-2</v>
      </c>
      <c r="V12" s="149">
        <v>9.3189180000000007E-3</v>
      </c>
      <c r="W12" s="149">
        <v>6.7432309999999995E-2</v>
      </c>
      <c r="X12" s="149">
        <v>20.004010000000001</v>
      </c>
      <c r="Y12" s="150">
        <v>0.32420749999999998</v>
      </c>
    </row>
    <row r="13" spans="2:25">
      <c r="B13" s="147" t="s">
        <v>180</v>
      </c>
      <c r="C13" s="148">
        <v>1209846</v>
      </c>
      <c r="D13" s="149">
        <v>100.00530000000001</v>
      </c>
      <c r="E13" s="149">
        <v>8.3822080000000004E-4</v>
      </c>
      <c r="F13" s="149">
        <v>6.3878760000000002E-4</v>
      </c>
      <c r="G13" s="149">
        <v>5.8408879999999999E-6</v>
      </c>
      <c r="H13" s="149">
        <v>2.3575409999999999E-3</v>
      </c>
      <c r="I13" s="149">
        <v>5.086401E-5</v>
      </c>
      <c r="J13" s="149">
        <v>3.2690219999999999E-3</v>
      </c>
      <c r="K13" s="149">
        <v>339.24059999999997</v>
      </c>
      <c r="L13" s="149">
        <v>12673.88</v>
      </c>
      <c r="M13" s="149">
        <v>12329.46</v>
      </c>
      <c r="N13" s="149">
        <v>1209846</v>
      </c>
      <c r="O13" s="149">
        <v>100.00530000000001</v>
      </c>
      <c r="P13" s="149">
        <v>8.3822080000000004E-4</v>
      </c>
      <c r="Q13" s="149">
        <v>6.3878760000000002E-4</v>
      </c>
      <c r="R13" s="149">
        <v>5.8408879999999999E-6</v>
      </c>
      <c r="S13" s="149">
        <v>2.3575409999999999E-3</v>
      </c>
      <c r="T13" s="149">
        <v>5.086401E-5</v>
      </c>
      <c r="U13" s="149">
        <v>3.2690219999999999E-3</v>
      </c>
      <c r="V13" s="149">
        <v>8.6842229999999995E-5</v>
      </c>
      <c r="W13" s="149">
        <v>4.5471169999999998E-3</v>
      </c>
      <c r="X13" s="149">
        <v>400.16050000000001</v>
      </c>
      <c r="Y13" s="150">
        <v>0.1051105</v>
      </c>
    </row>
    <row r="14" spans="2:25">
      <c r="B14" s="147" t="s">
        <v>181</v>
      </c>
      <c r="C14" s="148">
        <v>4.0924100000000002E-4</v>
      </c>
      <c r="D14" s="149">
        <v>6.7042729999999996E-5</v>
      </c>
      <c r="E14" s="149">
        <v>-0.18018419999999999</v>
      </c>
      <c r="F14" s="149">
        <v>-0.227377</v>
      </c>
      <c r="G14" s="149">
        <v>-4.7065010000000003</v>
      </c>
      <c r="H14" s="149">
        <v>0.1279614</v>
      </c>
      <c r="I14" s="149">
        <v>5.2793340000000001E-2</v>
      </c>
      <c r="J14" s="149">
        <v>0.18546389999999999</v>
      </c>
      <c r="K14" s="149">
        <v>0.1691802</v>
      </c>
      <c r="L14" s="149">
        <v>0.18133779999999999</v>
      </c>
      <c r="M14" s="149">
        <v>0.1840146</v>
      </c>
      <c r="N14" s="149">
        <v>4.0924100000000002E-4</v>
      </c>
      <c r="O14" s="149">
        <v>6.7042729999999996E-5</v>
      </c>
      <c r="P14" s="149">
        <v>-0.18018419999999999</v>
      </c>
      <c r="Q14" s="149">
        <v>-0.227377</v>
      </c>
      <c r="R14" s="149">
        <v>-4.7065010000000003</v>
      </c>
      <c r="S14" s="149">
        <v>0.1279614</v>
      </c>
      <c r="T14" s="149">
        <v>5.2793340000000001E-2</v>
      </c>
      <c r="U14" s="149">
        <v>0.18546389999999999</v>
      </c>
      <c r="V14" s="149">
        <v>0.30996010000000002</v>
      </c>
      <c r="W14" s="149">
        <v>0.15755849999999999</v>
      </c>
      <c r="X14" s="149">
        <v>-1.318437E-3</v>
      </c>
      <c r="Y14" s="150">
        <v>4.9192489999999998</v>
      </c>
    </row>
    <row r="15" spans="2:25">
      <c r="B15" s="147" t="s">
        <v>182</v>
      </c>
      <c r="C15" s="148">
        <v>2.994148</v>
      </c>
      <c r="D15" s="149">
        <v>2.9996589999999999</v>
      </c>
      <c r="E15" s="149">
        <v>2.5656340000000002</v>
      </c>
      <c r="F15" s="149">
        <v>2.2675770000000002</v>
      </c>
      <c r="G15" s="149">
        <v>29.57536</v>
      </c>
      <c r="H15" s="149">
        <v>2.818384</v>
      </c>
      <c r="I15" s="149">
        <v>2.8466800000000001</v>
      </c>
      <c r="J15" s="149">
        <v>2.7695590000000001</v>
      </c>
      <c r="K15" s="149">
        <v>2.864141</v>
      </c>
      <c r="L15" s="149">
        <v>3.15205</v>
      </c>
      <c r="M15" s="149">
        <v>3.1528510000000001</v>
      </c>
      <c r="N15" s="149">
        <v>2.994148</v>
      </c>
      <c r="O15" s="149">
        <v>2.9996589999999999</v>
      </c>
      <c r="P15" s="149">
        <v>2.5656340000000002</v>
      </c>
      <c r="Q15" s="149">
        <v>2.2675770000000002</v>
      </c>
      <c r="R15" s="149">
        <v>29.57536</v>
      </c>
      <c r="S15" s="149">
        <v>2.818384</v>
      </c>
      <c r="T15" s="149">
        <v>2.8466800000000001</v>
      </c>
      <c r="U15" s="149">
        <v>2.7695590000000001</v>
      </c>
      <c r="V15" s="149">
        <v>2.7618710000000002</v>
      </c>
      <c r="W15" s="149">
        <v>2.813787</v>
      </c>
      <c r="X15" s="149">
        <v>3.0079389999999999</v>
      </c>
      <c r="Y15" s="150">
        <v>27.168369999999999</v>
      </c>
    </row>
    <row r="16" spans="2:25">
      <c r="B16" s="147" t="s">
        <v>183</v>
      </c>
      <c r="C16" s="148">
        <v>0</v>
      </c>
      <c r="D16" s="149">
        <v>0</v>
      </c>
      <c r="E16" s="149">
        <v>0</v>
      </c>
      <c r="F16" s="149">
        <v>0</v>
      </c>
      <c r="G16" s="149">
        <v>0</v>
      </c>
      <c r="H16" s="149">
        <v>0</v>
      </c>
      <c r="I16" s="149">
        <v>0</v>
      </c>
      <c r="J16" s="149">
        <v>0</v>
      </c>
      <c r="K16" s="149">
        <v>0</v>
      </c>
      <c r="L16" s="149">
        <v>0</v>
      </c>
      <c r="M16" s="149">
        <v>0</v>
      </c>
      <c r="N16" s="149">
        <v>0</v>
      </c>
      <c r="O16" s="149">
        <v>0</v>
      </c>
      <c r="P16" s="149">
        <v>0</v>
      </c>
      <c r="Q16" s="149">
        <v>0</v>
      </c>
      <c r="R16" s="149">
        <v>0</v>
      </c>
      <c r="S16" s="149">
        <v>0</v>
      </c>
      <c r="T16" s="149">
        <v>0</v>
      </c>
      <c r="U16" s="149">
        <v>0</v>
      </c>
      <c r="V16" s="149">
        <v>0</v>
      </c>
      <c r="W16" s="149">
        <v>0</v>
      </c>
      <c r="X16" s="149">
        <v>0</v>
      </c>
      <c r="Y16" s="150">
        <v>0</v>
      </c>
    </row>
    <row r="17" spans="2:25">
      <c r="B17" s="147" t="s">
        <v>184</v>
      </c>
      <c r="C17" s="148">
        <v>18258.63</v>
      </c>
      <c r="D17" s="149">
        <v>349.62389999999999</v>
      </c>
      <c r="E17" s="149">
        <v>3.1484749999999999E-2</v>
      </c>
      <c r="F17" s="149">
        <v>0.15775349999999999</v>
      </c>
      <c r="G17" s="149">
        <v>1.8477150000000001E-2</v>
      </c>
      <c r="H17" s="149">
        <v>0.1187267</v>
      </c>
      <c r="I17" s="149">
        <v>1.6837609999999999E-2</v>
      </c>
      <c r="J17" s="149">
        <v>0.12654509999999999</v>
      </c>
      <c r="K17" s="149">
        <v>-0.48844729999999997</v>
      </c>
      <c r="L17" s="149">
        <v>-13.50328</v>
      </c>
      <c r="M17" s="149">
        <v>12.02787</v>
      </c>
      <c r="N17" s="149">
        <v>18258.63</v>
      </c>
      <c r="O17" s="149">
        <v>349.62389999999999</v>
      </c>
      <c r="P17" s="149">
        <v>3.1484749999999999E-2</v>
      </c>
      <c r="Q17" s="149">
        <v>0.15775349999999999</v>
      </c>
      <c r="R17" s="149">
        <v>1.8477150000000001E-2</v>
      </c>
      <c r="S17" s="149">
        <v>0.1187267</v>
      </c>
      <c r="T17" s="149">
        <v>1.6837609999999999E-2</v>
      </c>
      <c r="U17" s="149">
        <v>0.12654509999999999</v>
      </c>
      <c r="V17" s="149">
        <v>1.7732049999999999E-2</v>
      </c>
      <c r="W17" s="149">
        <v>0.1562607</v>
      </c>
      <c r="X17" s="149">
        <v>168.2432</v>
      </c>
      <c r="Y17" s="150">
        <v>1</v>
      </c>
    </row>
    <row r="18" spans="2:25">
      <c r="B18" s="147" t="s">
        <v>185</v>
      </c>
      <c r="C18" s="148">
        <v>16490.52</v>
      </c>
      <c r="D18" s="149">
        <v>333.5446</v>
      </c>
      <c r="E18" s="149">
        <v>-1.9586449999999998E-2</v>
      </c>
      <c r="F18" s="149">
        <v>0.10551000000000001</v>
      </c>
      <c r="G18" s="149">
        <v>1.5998370000000001E-2</v>
      </c>
      <c r="H18" s="149">
        <v>4.032707E-2</v>
      </c>
      <c r="I18" s="149">
        <v>6.1115639999999999E-3</v>
      </c>
      <c r="J18" s="149">
        <v>3.7080599999999998E-2</v>
      </c>
      <c r="K18" s="149">
        <v>-26.012830000000001</v>
      </c>
      <c r="L18" s="149">
        <v>-167.17910000000001</v>
      </c>
      <c r="M18" s="149">
        <v>-160.73920000000001</v>
      </c>
      <c r="N18" s="149">
        <v>16490.52</v>
      </c>
      <c r="O18" s="149">
        <v>333.5446</v>
      </c>
      <c r="P18" s="149">
        <v>-1.9586449999999998E-2</v>
      </c>
      <c r="Q18" s="149">
        <v>0.10551000000000001</v>
      </c>
      <c r="R18" s="149">
        <v>1.5998370000000001E-2</v>
      </c>
      <c r="S18" s="149">
        <v>4.032707E-2</v>
      </c>
      <c r="T18" s="149">
        <v>6.1115639999999999E-3</v>
      </c>
      <c r="U18" s="149">
        <v>3.7080599999999998E-2</v>
      </c>
      <c r="V18" s="149">
        <v>3.7667270000000001E-3</v>
      </c>
      <c r="W18" s="149">
        <v>4.9789399999999998E-2</v>
      </c>
      <c r="X18" s="149">
        <v>137.09790000000001</v>
      </c>
      <c r="Y18" s="150">
        <v>1</v>
      </c>
    </row>
    <row r="19" spans="2:25">
      <c r="B19" s="147" t="s">
        <v>186</v>
      </c>
      <c r="C19" s="148">
        <v>16889.72</v>
      </c>
      <c r="D19" s="149">
        <v>337.18200000000002</v>
      </c>
      <c r="E19" s="149">
        <v>-8.9968860000000008E-3</v>
      </c>
      <c r="F19" s="149">
        <v>0.11403339999999999</v>
      </c>
      <c r="G19" s="149">
        <v>1.6686099999999999E-2</v>
      </c>
      <c r="H19" s="149">
        <v>5.689495E-2</v>
      </c>
      <c r="I19" s="149">
        <v>8.7384469999999999E-3</v>
      </c>
      <c r="J19" s="149">
        <v>5.550588E-2</v>
      </c>
      <c r="K19" s="149">
        <v>-19.70946</v>
      </c>
      <c r="L19" s="149">
        <v>-130.8981</v>
      </c>
      <c r="M19" s="149">
        <v>-123.4037</v>
      </c>
      <c r="N19" s="149">
        <v>16889.72</v>
      </c>
      <c r="O19" s="149">
        <v>337.18200000000002</v>
      </c>
      <c r="P19" s="149">
        <v>-8.9968860000000008E-3</v>
      </c>
      <c r="Q19" s="149">
        <v>0.11403339999999999</v>
      </c>
      <c r="R19" s="149">
        <v>1.6686099999999999E-2</v>
      </c>
      <c r="S19" s="149">
        <v>5.689495E-2</v>
      </c>
      <c r="T19" s="149">
        <v>8.7384469999999999E-3</v>
      </c>
      <c r="U19" s="149">
        <v>5.550588E-2</v>
      </c>
      <c r="V19" s="149">
        <v>6.4177720000000004E-3</v>
      </c>
      <c r="W19" s="149">
        <v>7.2258959999999997E-2</v>
      </c>
      <c r="X19" s="149">
        <v>144.35839999999999</v>
      </c>
      <c r="Y19" s="150">
        <v>1</v>
      </c>
    </row>
    <row r="20" spans="2:25">
      <c r="B20" s="147" t="s">
        <v>187</v>
      </c>
      <c r="C20" s="148">
        <v>17159.759999999998</v>
      </c>
      <c r="D20" s="149">
        <v>339.63380000000001</v>
      </c>
      <c r="E20" s="149">
        <v>-1.5371740000000001E-3</v>
      </c>
      <c r="F20" s="149">
        <v>0.12047529999999999</v>
      </c>
      <c r="G20" s="149">
        <v>1.6871480000000001E-2</v>
      </c>
      <c r="H20" s="149">
        <v>6.8545270000000005E-2</v>
      </c>
      <c r="I20" s="149">
        <v>1.050509E-2</v>
      </c>
      <c r="J20" s="149">
        <v>6.8867440000000002E-2</v>
      </c>
      <c r="K20" s="149">
        <v>-15.721769999999999</v>
      </c>
      <c r="L20" s="149">
        <v>-106.68940000000001</v>
      </c>
      <c r="M20" s="149">
        <v>-100.2885</v>
      </c>
      <c r="N20" s="149">
        <v>17159.759999999998</v>
      </c>
      <c r="O20" s="149">
        <v>339.63380000000001</v>
      </c>
      <c r="P20" s="149">
        <v>-1.5371740000000001E-3</v>
      </c>
      <c r="Q20" s="149">
        <v>0.12047529999999999</v>
      </c>
      <c r="R20" s="149">
        <v>1.6871480000000001E-2</v>
      </c>
      <c r="S20" s="149">
        <v>6.8545270000000005E-2</v>
      </c>
      <c r="T20" s="149">
        <v>1.050509E-2</v>
      </c>
      <c r="U20" s="149">
        <v>6.8867440000000002E-2</v>
      </c>
      <c r="V20" s="149">
        <v>8.4759399999999995E-3</v>
      </c>
      <c r="W20" s="149">
        <v>8.8254299999999994E-2</v>
      </c>
      <c r="X20" s="149">
        <v>149.2647</v>
      </c>
      <c r="Y20" s="150">
        <v>1</v>
      </c>
    </row>
    <row r="21" spans="2:25">
      <c r="B21" s="147" t="s">
        <v>188</v>
      </c>
      <c r="C21" s="148">
        <v>17374.07</v>
      </c>
      <c r="D21" s="149">
        <v>341.58199999999999</v>
      </c>
      <c r="E21" s="149">
        <v>4.521962E-3</v>
      </c>
      <c r="F21" s="149">
        <v>0.12591069999999999</v>
      </c>
      <c r="G21" s="149">
        <v>1.7055810000000001E-2</v>
      </c>
      <c r="H21" s="149">
        <v>7.7940490000000001E-2</v>
      </c>
      <c r="I21" s="149">
        <v>1.19936E-2</v>
      </c>
      <c r="J21" s="149">
        <v>7.9820310000000005E-2</v>
      </c>
      <c r="K21" s="149">
        <v>-12.01235</v>
      </c>
      <c r="L21" s="149">
        <v>-85.276529999999994</v>
      </c>
      <c r="M21" s="149">
        <v>-80.650930000000002</v>
      </c>
      <c r="N21" s="149">
        <v>17374.07</v>
      </c>
      <c r="O21" s="149">
        <v>341.58199999999999</v>
      </c>
      <c r="P21" s="149">
        <v>4.521962E-3</v>
      </c>
      <c r="Q21" s="149">
        <v>0.12591069999999999</v>
      </c>
      <c r="R21" s="149">
        <v>1.7055810000000001E-2</v>
      </c>
      <c r="S21" s="149">
        <v>7.7940490000000001E-2</v>
      </c>
      <c r="T21" s="149">
        <v>1.19936E-2</v>
      </c>
      <c r="U21" s="149">
        <v>7.9820310000000005E-2</v>
      </c>
      <c r="V21" s="149">
        <v>1.0149780000000001E-2</v>
      </c>
      <c r="W21" s="149">
        <v>0.1012595</v>
      </c>
      <c r="X21" s="149">
        <v>153.1645</v>
      </c>
      <c r="Y21" s="150">
        <v>1</v>
      </c>
    </row>
    <row r="22" spans="2:25">
      <c r="B22" s="147" t="s">
        <v>189</v>
      </c>
      <c r="C22" s="148">
        <v>17557.759999999998</v>
      </c>
      <c r="D22" s="149">
        <v>343.25209999999998</v>
      </c>
      <c r="E22" s="149">
        <v>9.7843570000000005E-3</v>
      </c>
      <c r="F22" s="149">
        <v>0.13074569999999999</v>
      </c>
      <c r="G22" s="149">
        <v>1.724233E-2</v>
      </c>
      <c r="H22" s="149">
        <v>8.6101059999999993E-2</v>
      </c>
      <c r="I22" s="149">
        <v>1.320487E-2</v>
      </c>
      <c r="J22" s="149">
        <v>8.9367089999999996E-2</v>
      </c>
      <c r="K22" s="149">
        <v>-8.94984</v>
      </c>
      <c r="L22" s="149">
        <v>-68.282759999999996</v>
      </c>
      <c r="M22" s="149">
        <v>-62.994300000000003</v>
      </c>
      <c r="N22" s="149">
        <v>17557.759999999998</v>
      </c>
      <c r="O22" s="149">
        <v>343.25209999999998</v>
      </c>
      <c r="P22" s="149">
        <v>9.7843570000000005E-3</v>
      </c>
      <c r="Q22" s="149">
        <v>0.13074569999999999</v>
      </c>
      <c r="R22" s="149">
        <v>1.724233E-2</v>
      </c>
      <c r="S22" s="149">
        <v>8.6101059999999993E-2</v>
      </c>
      <c r="T22" s="149">
        <v>1.320487E-2</v>
      </c>
      <c r="U22" s="149">
        <v>8.9367089999999996E-2</v>
      </c>
      <c r="V22" s="149">
        <v>1.158416E-2</v>
      </c>
      <c r="W22" s="149">
        <v>0.1125602</v>
      </c>
      <c r="X22" s="149">
        <v>156.50790000000001</v>
      </c>
      <c r="Y22" s="150">
        <v>1</v>
      </c>
    </row>
    <row r="23" spans="2:25">
      <c r="B23" s="147" t="s">
        <v>190</v>
      </c>
      <c r="C23" s="148">
        <v>17723.04</v>
      </c>
      <c r="D23" s="149">
        <v>344.75580000000002</v>
      </c>
      <c r="E23" s="149">
        <v>1.454137E-2</v>
      </c>
      <c r="F23" s="149">
        <v>0.13518260000000001</v>
      </c>
      <c r="G23" s="149">
        <v>1.7425079999999999E-2</v>
      </c>
      <c r="H23" s="149">
        <v>9.3453960000000003E-2</v>
      </c>
      <c r="I23" s="149">
        <v>1.4249700000000001E-2</v>
      </c>
      <c r="J23" s="149">
        <v>9.8045069999999998E-2</v>
      </c>
      <c r="K23" s="149">
        <v>-6.4310869999999998</v>
      </c>
      <c r="L23" s="149">
        <v>-51.79974</v>
      </c>
      <c r="M23" s="149">
        <v>-48.34</v>
      </c>
      <c r="N23" s="149">
        <v>17723.04</v>
      </c>
      <c r="O23" s="149">
        <v>344.75580000000002</v>
      </c>
      <c r="P23" s="149">
        <v>1.454137E-2</v>
      </c>
      <c r="Q23" s="149">
        <v>0.13518260000000001</v>
      </c>
      <c r="R23" s="149">
        <v>1.7425079999999999E-2</v>
      </c>
      <c r="S23" s="149">
        <v>9.3453960000000003E-2</v>
      </c>
      <c r="T23" s="149">
        <v>1.4249700000000001E-2</v>
      </c>
      <c r="U23" s="149">
        <v>9.8045069999999998E-2</v>
      </c>
      <c r="V23" s="149">
        <v>1.2946630000000001E-2</v>
      </c>
      <c r="W23" s="149">
        <v>0.1227736</v>
      </c>
      <c r="X23" s="149">
        <v>159.5067</v>
      </c>
      <c r="Y23" s="150">
        <v>1</v>
      </c>
    </row>
    <row r="24" spans="2:25">
      <c r="B24" s="147" t="s">
        <v>191</v>
      </c>
      <c r="C24" s="148">
        <v>17876.12</v>
      </c>
      <c r="D24" s="149">
        <v>346.14519999999999</v>
      </c>
      <c r="E24" s="149">
        <v>1.8953370000000001E-2</v>
      </c>
      <c r="F24" s="149">
        <v>0.1393355</v>
      </c>
      <c r="G24" s="149">
        <v>1.7610270000000001E-2</v>
      </c>
      <c r="H24" s="149">
        <v>0.10028769999999999</v>
      </c>
      <c r="I24" s="149">
        <v>1.523685E-2</v>
      </c>
      <c r="J24" s="149">
        <v>0.1061363</v>
      </c>
      <c r="K24" s="149">
        <v>-3.7029329999999998</v>
      </c>
      <c r="L24" s="149">
        <v>-37.089530000000003</v>
      </c>
      <c r="M24" s="149">
        <v>-33.168660000000003</v>
      </c>
      <c r="N24" s="149">
        <v>17876.12</v>
      </c>
      <c r="O24" s="149">
        <v>346.14519999999999</v>
      </c>
      <c r="P24" s="149">
        <v>1.8953370000000001E-2</v>
      </c>
      <c r="Q24" s="149">
        <v>0.1393355</v>
      </c>
      <c r="R24" s="149">
        <v>1.7610270000000001E-2</v>
      </c>
      <c r="S24" s="149">
        <v>0.10028769999999999</v>
      </c>
      <c r="T24" s="149">
        <v>1.523685E-2</v>
      </c>
      <c r="U24" s="149">
        <v>0.1061363</v>
      </c>
      <c r="V24" s="149">
        <v>1.4274999999999999E-2</v>
      </c>
      <c r="W24" s="149">
        <v>0.13230020000000001</v>
      </c>
      <c r="X24" s="149">
        <v>162.29</v>
      </c>
      <c r="Y24" s="150">
        <v>1</v>
      </c>
    </row>
    <row r="25" spans="2:25">
      <c r="B25" s="147" t="s">
        <v>192</v>
      </c>
      <c r="C25" s="148">
        <v>18021.04</v>
      </c>
      <c r="D25" s="149">
        <v>347.46429999999998</v>
      </c>
      <c r="E25" s="149">
        <v>2.3130769999999998E-2</v>
      </c>
      <c r="F25" s="149">
        <v>0.1432927</v>
      </c>
      <c r="G25" s="149">
        <v>1.7794879999999999E-2</v>
      </c>
      <c r="H25" s="149">
        <v>0.1068042</v>
      </c>
      <c r="I25" s="149">
        <v>1.6213129999999999E-2</v>
      </c>
      <c r="J25" s="149">
        <v>0.1138508</v>
      </c>
      <c r="K25" s="149">
        <v>-1.1470689999999999</v>
      </c>
      <c r="L25" s="149">
        <v>-22.556629999999998</v>
      </c>
      <c r="M25" s="149">
        <v>-18.937750000000001</v>
      </c>
      <c r="N25" s="149">
        <v>18021.04</v>
      </c>
      <c r="O25" s="149">
        <v>347.46429999999998</v>
      </c>
      <c r="P25" s="149">
        <v>2.3130769999999998E-2</v>
      </c>
      <c r="Q25" s="149">
        <v>0.1432927</v>
      </c>
      <c r="R25" s="149">
        <v>1.7794879999999999E-2</v>
      </c>
      <c r="S25" s="149">
        <v>0.1068042</v>
      </c>
      <c r="T25" s="149">
        <v>1.6213129999999999E-2</v>
      </c>
      <c r="U25" s="149">
        <v>0.1138508</v>
      </c>
      <c r="V25" s="149">
        <v>1.558301E-2</v>
      </c>
      <c r="W25" s="149">
        <v>0.14136750000000001</v>
      </c>
      <c r="X25" s="149">
        <v>164.93129999999999</v>
      </c>
      <c r="Y25" s="150">
        <v>1</v>
      </c>
    </row>
    <row r="26" spans="2:25">
      <c r="B26" s="147" t="s">
        <v>193</v>
      </c>
      <c r="C26" s="148">
        <v>18161.61</v>
      </c>
      <c r="D26" s="149">
        <v>348.74200000000002</v>
      </c>
      <c r="E26" s="149">
        <v>2.7153630000000002E-2</v>
      </c>
      <c r="F26" s="149">
        <v>0.1471065</v>
      </c>
      <c r="G26" s="149">
        <v>1.7978910000000001E-2</v>
      </c>
      <c r="H26" s="149">
        <v>0.1131195</v>
      </c>
      <c r="I26" s="149">
        <v>1.709424E-2</v>
      </c>
      <c r="J26" s="149">
        <v>0.1213539</v>
      </c>
      <c r="K26" s="149">
        <v>1.1613549999999999</v>
      </c>
      <c r="L26" s="149">
        <v>-9.4219910000000002</v>
      </c>
      <c r="M26" s="149">
        <v>-4.7255589999999996</v>
      </c>
      <c r="N26" s="149">
        <v>18161.61</v>
      </c>
      <c r="O26" s="149">
        <v>348.74200000000002</v>
      </c>
      <c r="P26" s="149">
        <v>2.7153630000000002E-2</v>
      </c>
      <c r="Q26" s="149">
        <v>0.1471065</v>
      </c>
      <c r="R26" s="149">
        <v>1.7978910000000001E-2</v>
      </c>
      <c r="S26" s="149">
        <v>0.1131195</v>
      </c>
      <c r="T26" s="149">
        <v>1.709424E-2</v>
      </c>
      <c r="U26" s="149">
        <v>0.1213539</v>
      </c>
      <c r="V26" s="149">
        <v>1.6921930000000002E-2</v>
      </c>
      <c r="W26" s="149">
        <v>0.15016479999999999</v>
      </c>
      <c r="X26" s="149">
        <v>167.48220000000001</v>
      </c>
      <c r="Y26" s="150">
        <v>1</v>
      </c>
    </row>
    <row r="27" spans="2:25">
      <c r="B27" s="147" t="s">
        <v>194</v>
      </c>
      <c r="C27" s="148">
        <v>18299.77</v>
      </c>
      <c r="D27" s="149">
        <v>349.99860000000001</v>
      </c>
      <c r="E27" s="149">
        <v>3.108996E-2</v>
      </c>
      <c r="F27" s="149">
        <v>0.15082129999999999</v>
      </c>
      <c r="G27" s="149">
        <v>1.816276E-2</v>
      </c>
      <c r="H27" s="149">
        <v>0.1193423</v>
      </c>
      <c r="I27" s="149">
        <v>1.7999399999999999E-2</v>
      </c>
      <c r="J27" s="149">
        <v>0.12875629999999999</v>
      </c>
      <c r="K27" s="149">
        <v>3.5496720000000002</v>
      </c>
      <c r="L27" s="149">
        <v>4.2621070000000003</v>
      </c>
      <c r="M27" s="149">
        <v>8.3328509999999998</v>
      </c>
      <c r="N27" s="149">
        <v>18299.77</v>
      </c>
      <c r="O27" s="149">
        <v>349.99860000000001</v>
      </c>
      <c r="P27" s="149">
        <v>3.108996E-2</v>
      </c>
      <c r="Q27" s="149">
        <v>0.15082129999999999</v>
      </c>
      <c r="R27" s="149">
        <v>1.816276E-2</v>
      </c>
      <c r="S27" s="149">
        <v>0.1193423</v>
      </c>
      <c r="T27" s="149">
        <v>1.7999399999999999E-2</v>
      </c>
      <c r="U27" s="149">
        <v>0.12875629999999999</v>
      </c>
      <c r="V27" s="149">
        <v>1.8119369999999999E-2</v>
      </c>
      <c r="W27" s="149">
        <v>0.15885640000000001</v>
      </c>
      <c r="X27" s="149">
        <v>169.9956</v>
      </c>
      <c r="Y27" s="150">
        <v>1</v>
      </c>
    </row>
    <row r="28" spans="2:25">
      <c r="B28" s="147" t="s">
        <v>195</v>
      </c>
      <c r="C28" s="148">
        <v>18438.2</v>
      </c>
      <c r="D28" s="149">
        <v>351.25630000000001</v>
      </c>
      <c r="E28" s="149">
        <v>3.4985259999999997E-2</v>
      </c>
      <c r="F28" s="149">
        <v>0.1544816</v>
      </c>
      <c r="G28" s="149">
        <v>1.8347680000000002E-2</v>
      </c>
      <c r="H28" s="149">
        <v>0.1255715</v>
      </c>
      <c r="I28" s="149">
        <v>1.8960540000000001E-2</v>
      </c>
      <c r="J28" s="149">
        <v>0.1361784</v>
      </c>
      <c r="K28" s="149">
        <v>5.8320980000000002</v>
      </c>
      <c r="L28" s="149">
        <v>17.756979999999999</v>
      </c>
      <c r="M28" s="149">
        <v>21.139700000000001</v>
      </c>
      <c r="N28" s="149">
        <v>18438.2</v>
      </c>
      <c r="O28" s="149">
        <v>351.25630000000001</v>
      </c>
      <c r="P28" s="149">
        <v>3.4985259999999997E-2</v>
      </c>
      <c r="Q28" s="149">
        <v>0.1544816</v>
      </c>
      <c r="R28" s="149">
        <v>1.8347680000000002E-2</v>
      </c>
      <c r="S28" s="149">
        <v>0.1255715</v>
      </c>
      <c r="T28" s="149">
        <v>1.8960540000000001E-2</v>
      </c>
      <c r="U28" s="149">
        <v>0.1361784</v>
      </c>
      <c r="V28" s="149">
        <v>1.9373919999999999E-2</v>
      </c>
      <c r="W28" s="149">
        <v>0.16755880000000001</v>
      </c>
      <c r="X28" s="149">
        <v>172.51179999999999</v>
      </c>
      <c r="Y28" s="150">
        <v>1</v>
      </c>
    </row>
    <row r="29" spans="2:25">
      <c r="B29" s="147" t="s">
        <v>196</v>
      </c>
      <c r="C29" s="148">
        <v>18578.43</v>
      </c>
      <c r="D29" s="149">
        <v>352.53300000000002</v>
      </c>
      <c r="E29" s="149">
        <v>3.8894079999999998E-2</v>
      </c>
      <c r="F29" s="149">
        <v>0.15810969999999999</v>
      </c>
      <c r="G29" s="149">
        <v>1.853078E-2</v>
      </c>
      <c r="H29" s="149">
        <v>0.131909</v>
      </c>
      <c r="I29" s="149">
        <v>1.9885400000000001E-2</v>
      </c>
      <c r="J29" s="149">
        <v>0.1437312</v>
      </c>
      <c r="K29" s="149">
        <v>8.3615019999999998</v>
      </c>
      <c r="L29" s="149">
        <v>31.852340000000002</v>
      </c>
      <c r="M29" s="149">
        <v>35.685470000000002</v>
      </c>
      <c r="N29" s="149">
        <v>18578.43</v>
      </c>
      <c r="O29" s="149">
        <v>352.53300000000002</v>
      </c>
      <c r="P29" s="149">
        <v>3.8894079999999998E-2</v>
      </c>
      <c r="Q29" s="149">
        <v>0.15810969999999999</v>
      </c>
      <c r="R29" s="149">
        <v>1.853078E-2</v>
      </c>
      <c r="S29" s="149">
        <v>0.131909</v>
      </c>
      <c r="T29" s="149">
        <v>1.9885400000000001E-2</v>
      </c>
      <c r="U29" s="149">
        <v>0.1437312</v>
      </c>
      <c r="V29" s="149">
        <v>2.063245E-2</v>
      </c>
      <c r="W29" s="149">
        <v>0.1763941</v>
      </c>
      <c r="X29" s="149">
        <v>175.06219999999999</v>
      </c>
      <c r="Y29" s="150">
        <v>1</v>
      </c>
    </row>
    <row r="30" spans="2:25">
      <c r="B30" s="147" t="s">
        <v>197</v>
      </c>
      <c r="C30" s="148">
        <v>18723.740000000002</v>
      </c>
      <c r="D30" s="149">
        <v>353.85180000000003</v>
      </c>
      <c r="E30" s="149">
        <v>4.2875049999999998E-2</v>
      </c>
      <c r="F30" s="149">
        <v>0.16175980000000001</v>
      </c>
      <c r="G30" s="149">
        <v>1.8711729999999999E-2</v>
      </c>
      <c r="H30" s="149">
        <v>0.13846820000000001</v>
      </c>
      <c r="I30" s="149">
        <v>2.0804059999999999E-2</v>
      </c>
      <c r="J30" s="149">
        <v>0.15157300000000001</v>
      </c>
      <c r="K30" s="149">
        <v>10.80742</v>
      </c>
      <c r="L30" s="149">
        <v>47.367570000000001</v>
      </c>
      <c r="M30" s="149">
        <v>51.197189999999999</v>
      </c>
      <c r="N30" s="149">
        <v>18723.740000000002</v>
      </c>
      <c r="O30" s="149">
        <v>353.85180000000003</v>
      </c>
      <c r="P30" s="149">
        <v>4.2875049999999998E-2</v>
      </c>
      <c r="Q30" s="149">
        <v>0.16175980000000001</v>
      </c>
      <c r="R30" s="149">
        <v>1.8711729999999999E-2</v>
      </c>
      <c r="S30" s="149">
        <v>0.13846820000000001</v>
      </c>
      <c r="T30" s="149">
        <v>2.0804059999999999E-2</v>
      </c>
      <c r="U30" s="149">
        <v>0.15157300000000001</v>
      </c>
      <c r="V30" s="149">
        <v>2.1922819999999999E-2</v>
      </c>
      <c r="W30" s="149">
        <v>0.18555859999999999</v>
      </c>
      <c r="X30" s="149">
        <v>177.7045</v>
      </c>
      <c r="Y30" s="150">
        <v>1</v>
      </c>
    </row>
    <row r="31" spans="2:25">
      <c r="B31" s="147" t="s">
        <v>198</v>
      </c>
      <c r="C31" s="148">
        <v>18876.63</v>
      </c>
      <c r="D31" s="149">
        <v>355.2414</v>
      </c>
      <c r="E31" s="149">
        <v>4.6985859999999997E-2</v>
      </c>
      <c r="F31" s="149">
        <v>0.16546459999999999</v>
      </c>
      <c r="G31" s="149">
        <v>1.8897400000000002E-2</v>
      </c>
      <c r="H31" s="149">
        <v>0.14539540000000001</v>
      </c>
      <c r="I31" s="149">
        <v>2.1760789999999999E-2</v>
      </c>
      <c r="J31" s="149">
        <v>0.159826</v>
      </c>
      <c r="K31" s="149">
        <v>13.35636</v>
      </c>
      <c r="L31" s="149">
        <v>64.517229999999998</v>
      </c>
      <c r="M31" s="149">
        <v>66.803229999999999</v>
      </c>
      <c r="N31" s="149">
        <v>18876.63</v>
      </c>
      <c r="O31" s="149">
        <v>355.2414</v>
      </c>
      <c r="P31" s="149">
        <v>4.6985859999999997E-2</v>
      </c>
      <c r="Q31" s="149">
        <v>0.16546459999999999</v>
      </c>
      <c r="R31" s="149">
        <v>1.8897400000000002E-2</v>
      </c>
      <c r="S31" s="149">
        <v>0.14539540000000001</v>
      </c>
      <c r="T31" s="149">
        <v>2.1760789999999999E-2</v>
      </c>
      <c r="U31" s="149">
        <v>0.159826</v>
      </c>
      <c r="V31" s="149">
        <v>2.33615E-2</v>
      </c>
      <c r="W31" s="149">
        <v>0.19523209999999999</v>
      </c>
      <c r="X31" s="149">
        <v>180.48750000000001</v>
      </c>
      <c r="Y31" s="150">
        <v>1</v>
      </c>
    </row>
    <row r="32" spans="2:25">
      <c r="B32" s="147" t="s">
        <v>199</v>
      </c>
      <c r="C32" s="148">
        <v>19041.849999999999</v>
      </c>
      <c r="D32" s="149">
        <v>356.74220000000003</v>
      </c>
      <c r="E32" s="149">
        <v>5.1310979999999999E-2</v>
      </c>
      <c r="F32" s="149">
        <v>0.16927200000000001</v>
      </c>
      <c r="G32" s="149">
        <v>1.9078540000000001E-2</v>
      </c>
      <c r="H32" s="149">
        <v>0.15285509999999999</v>
      </c>
      <c r="I32" s="149">
        <v>2.2908689999999999E-2</v>
      </c>
      <c r="J32" s="149">
        <v>0.1687544</v>
      </c>
      <c r="K32" s="149">
        <v>16.200500000000002</v>
      </c>
      <c r="L32" s="149">
        <v>81.868799999999993</v>
      </c>
      <c r="M32" s="149">
        <v>84.639160000000004</v>
      </c>
      <c r="N32" s="149">
        <v>19041.849999999999</v>
      </c>
      <c r="O32" s="149">
        <v>356.74220000000003</v>
      </c>
      <c r="P32" s="149">
        <v>5.1310979999999999E-2</v>
      </c>
      <c r="Q32" s="149">
        <v>0.16927200000000001</v>
      </c>
      <c r="R32" s="149">
        <v>1.9078540000000001E-2</v>
      </c>
      <c r="S32" s="149">
        <v>0.15285509999999999</v>
      </c>
      <c r="T32" s="149">
        <v>2.2908689999999999E-2</v>
      </c>
      <c r="U32" s="149">
        <v>0.1687544</v>
      </c>
      <c r="V32" s="149">
        <v>2.4804179999999999E-2</v>
      </c>
      <c r="W32" s="149">
        <v>0.20567489999999999</v>
      </c>
      <c r="X32" s="149">
        <v>183.48660000000001</v>
      </c>
      <c r="Y32" s="150">
        <v>1</v>
      </c>
    </row>
    <row r="33" spans="2:25">
      <c r="B33" s="147" t="s">
        <v>200</v>
      </c>
      <c r="C33" s="148">
        <v>19225.48</v>
      </c>
      <c r="D33" s="149">
        <v>358.41489999999999</v>
      </c>
      <c r="E33" s="149">
        <v>5.598786E-2</v>
      </c>
      <c r="F33" s="149">
        <v>0.1732515</v>
      </c>
      <c r="G33" s="149">
        <v>1.9261250000000001E-2</v>
      </c>
      <c r="H33" s="149">
        <v>0.16118679999999999</v>
      </c>
      <c r="I33" s="149">
        <v>2.4045259999999999E-2</v>
      </c>
      <c r="J33" s="149">
        <v>0.1787068</v>
      </c>
      <c r="K33" s="149">
        <v>19.373280000000001</v>
      </c>
      <c r="L33" s="149">
        <v>101.35039999999999</v>
      </c>
      <c r="M33" s="149">
        <v>103.18429999999999</v>
      </c>
      <c r="N33" s="149">
        <v>19225.48</v>
      </c>
      <c r="O33" s="149">
        <v>358.41489999999999</v>
      </c>
      <c r="P33" s="149">
        <v>5.598786E-2</v>
      </c>
      <c r="Q33" s="149">
        <v>0.1732515</v>
      </c>
      <c r="R33" s="149">
        <v>1.9261250000000001E-2</v>
      </c>
      <c r="S33" s="149">
        <v>0.16118679999999999</v>
      </c>
      <c r="T33" s="149">
        <v>2.4045259999999999E-2</v>
      </c>
      <c r="U33" s="149">
        <v>0.1787068</v>
      </c>
      <c r="V33" s="149">
        <v>2.6415020000000001E-2</v>
      </c>
      <c r="W33" s="149">
        <v>0.2172973</v>
      </c>
      <c r="X33" s="149">
        <v>186.8287</v>
      </c>
      <c r="Y33" s="150">
        <v>1</v>
      </c>
    </row>
    <row r="34" spans="2:25">
      <c r="B34" s="147" t="s">
        <v>201</v>
      </c>
      <c r="C34" s="148">
        <v>19439.849999999999</v>
      </c>
      <c r="D34" s="149">
        <v>360.36419999999998</v>
      </c>
      <c r="E34" s="149">
        <v>6.1215829999999999E-2</v>
      </c>
      <c r="F34" s="149">
        <v>0.1775158</v>
      </c>
      <c r="G34" s="149">
        <v>1.944626E-2</v>
      </c>
      <c r="H34" s="149">
        <v>0.1708858</v>
      </c>
      <c r="I34" s="149">
        <v>2.5466599999999999E-2</v>
      </c>
      <c r="J34" s="149">
        <v>0.19033269999999999</v>
      </c>
      <c r="K34" s="149">
        <v>23.15625</v>
      </c>
      <c r="L34" s="149">
        <v>124.315</v>
      </c>
      <c r="M34" s="149">
        <v>126.9704</v>
      </c>
      <c r="N34" s="149">
        <v>19439.849999999999</v>
      </c>
      <c r="O34" s="149">
        <v>360.36419999999998</v>
      </c>
      <c r="P34" s="149">
        <v>6.1215829999999999E-2</v>
      </c>
      <c r="Q34" s="149">
        <v>0.1775158</v>
      </c>
      <c r="R34" s="149">
        <v>1.944626E-2</v>
      </c>
      <c r="S34" s="149">
        <v>0.1708858</v>
      </c>
      <c r="T34" s="149">
        <v>2.5466599999999999E-2</v>
      </c>
      <c r="U34" s="149">
        <v>0.19033269999999999</v>
      </c>
      <c r="V34" s="149">
        <v>2.8325289999999999E-2</v>
      </c>
      <c r="W34" s="149">
        <v>0.2308885</v>
      </c>
      <c r="X34" s="149">
        <v>190.7278</v>
      </c>
      <c r="Y34" s="150">
        <v>1</v>
      </c>
    </row>
    <row r="35" spans="2:25">
      <c r="B35" s="147" t="s">
        <v>202</v>
      </c>
      <c r="C35" s="148">
        <v>19709.580000000002</v>
      </c>
      <c r="D35" s="149">
        <v>362.81119999999999</v>
      </c>
      <c r="E35" s="149">
        <v>6.7417089999999999E-2</v>
      </c>
      <c r="F35" s="149">
        <v>0.18226719999999999</v>
      </c>
      <c r="G35" s="149">
        <v>1.9631039999999999E-2</v>
      </c>
      <c r="H35" s="149">
        <v>0.18312619999999999</v>
      </c>
      <c r="I35" s="149">
        <v>2.7281119999999999E-2</v>
      </c>
      <c r="J35" s="149">
        <v>0.2049657</v>
      </c>
      <c r="K35" s="149">
        <v>27.86326</v>
      </c>
      <c r="L35" s="149">
        <v>155.49760000000001</v>
      </c>
      <c r="M35" s="149">
        <v>157.10300000000001</v>
      </c>
      <c r="N35" s="149">
        <v>19709.580000000002</v>
      </c>
      <c r="O35" s="149">
        <v>362.81119999999999</v>
      </c>
      <c r="P35" s="149">
        <v>6.7417089999999999E-2</v>
      </c>
      <c r="Q35" s="149">
        <v>0.18226719999999999</v>
      </c>
      <c r="R35" s="149">
        <v>1.9631039999999999E-2</v>
      </c>
      <c r="S35" s="149">
        <v>0.18312619999999999</v>
      </c>
      <c r="T35" s="149">
        <v>2.7281119999999999E-2</v>
      </c>
      <c r="U35" s="149">
        <v>0.2049657</v>
      </c>
      <c r="V35" s="149">
        <v>3.0850180000000001E-2</v>
      </c>
      <c r="W35" s="149">
        <v>0.24796499999999999</v>
      </c>
      <c r="X35" s="149">
        <v>195.6259</v>
      </c>
      <c r="Y35" s="150">
        <v>1</v>
      </c>
    </row>
    <row r="36" spans="2:25">
      <c r="B36" s="147" t="s">
        <v>203</v>
      </c>
      <c r="C36" s="148">
        <v>20108.53</v>
      </c>
      <c r="D36" s="149">
        <v>366.44630000000001</v>
      </c>
      <c r="E36" s="149">
        <v>7.5780200000000006E-2</v>
      </c>
      <c r="F36" s="149">
        <v>0.18803829999999999</v>
      </c>
      <c r="G36" s="149">
        <v>1.9817939999999999E-2</v>
      </c>
      <c r="H36" s="149">
        <v>0.20124049999999999</v>
      </c>
      <c r="I36" s="149">
        <v>2.9785579999999999E-2</v>
      </c>
      <c r="J36" s="149">
        <v>0.2266473</v>
      </c>
      <c r="K36" s="149">
        <v>35.09449</v>
      </c>
      <c r="L36" s="149">
        <v>202.20910000000001</v>
      </c>
      <c r="M36" s="149">
        <v>205.6362</v>
      </c>
      <c r="N36" s="149">
        <v>20108.53</v>
      </c>
      <c r="O36" s="149">
        <v>366.44630000000001</v>
      </c>
      <c r="P36" s="149">
        <v>7.5780200000000006E-2</v>
      </c>
      <c r="Q36" s="149">
        <v>0.18803829999999999</v>
      </c>
      <c r="R36" s="149">
        <v>1.9817939999999999E-2</v>
      </c>
      <c r="S36" s="149">
        <v>0.20124049999999999</v>
      </c>
      <c r="T36" s="149">
        <v>2.9785579999999999E-2</v>
      </c>
      <c r="U36" s="149">
        <v>0.2266473</v>
      </c>
      <c r="V36" s="149">
        <v>3.452707E-2</v>
      </c>
      <c r="W36" s="149">
        <v>0.27330510000000002</v>
      </c>
      <c r="X36" s="149">
        <v>202.88679999999999</v>
      </c>
      <c r="Y36" s="150">
        <v>1</v>
      </c>
    </row>
    <row r="37" spans="2:25">
      <c r="B37" s="147" t="s">
        <v>204</v>
      </c>
      <c r="C37" s="148"/>
      <c r="D37" s="149"/>
      <c r="E37" s="149"/>
      <c r="F37" s="149"/>
      <c r="G37" s="149"/>
      <c r="H37" s="149"/>
      <c r="I37" s="149"/>
      <c r="J37" s="149"/>
      <c r="K37" s="149"/>
      <c r="L37" s="149"/>
      <c r="M37" s="149"/>
      <c r="N37" s="149"/>
      <c r="O37" s="149"/>
      <c r="P37" s="149"/>
      <c r="Q37" s="149"/>
      <c r="R37" s="149"/>
      <c r="S37" s="149"/>
      <c r="T37" s="149"/>
      <c r="U37" s="149"/>
      <c r="V37" s="149"/>
      <c r="W37" s="149"/>
      <c r="X37" s="149"/>
      <c r="Y37" s="150"/>
    </row>
    <row r="38" spans="2:25">
      <c r="B38" s="147" t="s">
        <v>205</v>
      </c>
      <c r="C38" s="148"/>
      <c r="D38" s="149"/>
      <c r="E38" s="149"/>
      <c r="F38" s="149"/>
      <c r="G38" s="149"/>
      <c r="H38" s="149"/>
      <c r="I38" s="149"/>
      <c r="J38" s="149"/>
      <c r="K38" s="149"/>
      <c r="L38" s="149"/>
      <c r="M38" s="149"/>
      <c r="N38" s="149"/>
      <c r="O38" s="149"/>
      <c r="P38" s="149"/>
      <c r="Q38" s="149"/>
      <c r="R38" s="149"/>
      <c r="S38" s="149"/>
      <c r="T38" s="149"/>
      <c r="U38" s="149"/>
      <c r="V38" s="149"/>
      <c r="W38" s="149"/>
      <c r="X38" s="149"/>
      <c r="Y38" s="150"/>
    </row>
    <row r="39" spans="2:25">
      <c r="B39" s="147" t="s">
        <v>206</v>
      </c>
      <c r="C39" s="148"/>
      <c r="D39" s="149"/>
      <c r="E39" s="149"/>
      <c r="F39" s="149"/>
      <c r="G39" s="149"/>
      <c r="H39" s="149"/>
      <c r="I39" s="149"/>
      <c r="J39" s="149"/>
      <c r="K39" s="149"/>
      <c r="L39" s="149"/>
      <c r="M39" s="149"/>
      <c r="N39" s="149"/>
      <c r="O39" s="149"/>
      <c r="P39" s="149"/>
      <c r="Q39" s="149"/>
      <c r="R39" s="149"/>
      <c r="S39" s="149"/>
      <c r="T39" s="149"/>
      <c r="U39" s="149"/>
      <c r="V39" s="149"/>
      <c r="W39" s="149"/>
      <c r="X39" s="149"/>
      <c r="Y39" s="150"/>
    </row>
    <row r="40" spans="2:25">
      <c r="B40" s="147" t="s">
        <v>207</v>
      </c>
      <c r="C40" s="148">
        <v>0</v>
      </c>
      <c r="D40" s="149">
        <v>0</v>
      </c>
      <c r="E40" s="149">
        <v>0</v>
      </c>
      <c r="F40" s="149">
        <v>0</v>
      </c>
      <c r="G40" s="149">
        <v>0</v>
      </c>
      <c r="H40" s="149">
        <v>0</v>
      </c>
      <c r="I40" s="149">
        <v>0</v>
      </c>
      <c r="J40" s="149">
        <v>0</v>
      </c>
      <c r="K40" s="149">
        <v>0</v>
      </c>
      <c r="L40" s="149">
        <v>0</v>
      </c>
      <c r="M40" s="149">
        <v>0</v>
      </c>
      <c r="N40" s="149">
        <v>0</v>
      </c>
      <c r="O40" s="149">
        <v>0</v>
      </c>
      <c r="P40" s="149">
        <v>0</v>
      </c>
      <c r="Q40" s="149">
        <v>0</v>
      </c>
      <c r="R40" s="149">
        <v>0</v>
      </c>
      <c r="S40" s="149">
        <v>0</v>
      </c>
      <c r="T40" s="149">
        <v>0</v>
      </c>
      <c r="U40" s="149">
        <v>0</v>
      </c>
      <c r="V40" s="149">
        <v>0</v>
      </c>
      <c r="W40" s="149">
        <v>0</v>
      </c>
      <c r="X40" s="149">
        <v>0</v>
      </c>
      <c r="Y40" s="150">
        <v>0</v>
      </c>
    </row>
    <row r="41" spans="2:25">
      <c r="B41" s="147" t="s">
        <v>208</v>
      </c>
      <c r="C41" s="148"/>
      <c r="D41" s="149"/>
      <c r="E41" s="149"/>
      <c r="F41" s="149"/>
      <c r="G41" s="149"/>
      <c r="H41" s="149"/>
      <c r="I41" s="149"/>
      <c r="J41" s="149"/>
      <c r="K41" s="149"/>
      <c r="L41" s="149"/>
      <c r="M41" s="149"/>
      <c r="N41" s="149"/>
      <c r="O41" s="149"/>
      <c r="P41" s="149"/>
      <c r="Q41" s="149"/>
      <c r="R41" s="149"/>
      <c r="S41" s="149"/>
      <c r="T41" s="149"/>
      <c r="U41" s="149"/>
      <c r="V41" s="149"/>
      <c r="W41" s="149"/>
      <c r="X41" s="149"/>
      <c r="Y41" s="150"/>
    </row>
    <row r="42" spans="2:25">
      <c r="B42" s="147" t="s">
        <v>209</v>
      </c>
      <c r="C42" s="148"/>
      <c r="D42" s="149"/>
      <c r="E42" s="149"/>
      <c r="F42" s="149"/>
      <c r="G42" s="149"/>
      <c r="H42" s="149"/>
      <c r="I42" s="149"/>
      <c r="J42" s="149"/>
      <c r="K42" s="149"/>
      <c r="L42" s="149"/>
      <c r="M42" s="149"/>
      <c r="N42" s="149"/>
      <c r="O42" s="149"/>
      <c r="P42" s="149"/>
      <c r="Q42" s="149"/>
      <c r="R42" s="149"/>
      <c r="S42" s="149"/>
      <c r="T42" s="149"/>
      <c r="U42" s="149"/>
      <c r="V42" s="149"/>
      <c r="W42" s="149"/>
      <c r="X42" s="149"/>
      <c r="Y42" s="150"/>
    </row>
    <row r="43" spans="2:25">
      <c r="B43" s="147" t="s">
        <v>210</v>
      </c>
      <c r="C43" s="148"/>
      <c r="D43" s="149"/>
      <c r="E43" s="149"/>
      <c r="F43" s="149"/>
      <c r="G43" s="149"/>
      <c r="H43" s="149"/>
      <c r="I43" s="149"/>
      <c r="J43" s="149"/>
      <c r="K43" s="149"/>
      <c r="L43" s="149"/>
      <c r="M43" s="149"/>
      <c r="N43" s="149"/>
      <c r="O43" s="149"/>
      <c r="P43" s="149"/>
      <c r="Q43" s="149"/>
      <c r="R43" s="149"/>
      <c r="S43" s="149"/>
      <c r="T43" s="149"/>
      <c r="U43" s="149"/>
      <c r="V43" s="149"/>
      <c r="W43" s="149"/>
      <c r="X43" s="149"/>
      <c r="Y43" s="150"/>
    </row>
    <row r="44" spans="2:25">
      <c r="B44" s="147" t="s">
        <v>211</v>
      </c>
      <c r="C44" s="148"/>
      <c r="D44" s="149"/>
      <c r="E44" s="149"/>
      <c r="F44" s="149"/>
      <c r="G44" s="149"/>
      <c r="H44" s="149"/>
      <c r="I44" s="149"/>
      <c r="J44" s="149"/>
      <c r="K44" s="149"/>
      <c r="L44" s="149"/>
      <c r="M44" s="149"/>
      <c r="N44" s="149"/>
      <c r="O44" s="149"/>
      <c r="P44" s="149"/>
      <c r="Q44" s="149"/>
      <c r="R44" s="149"/>
      <c r="S44" s="149"/>
      <c r="T44" s="149"/>
      <c r="U44" s="149"/>
      <c r="V44" s="149"/>
      <c r="W44" s="149"/>
      <c r="X44" s="149"/>
      <c r="Y44" s="150"/>
    </row>
    <row r="45" spans="2:25">
      <c r="B45" s="147" t="s">
        <v>212</v>
      </c>
      <c r="C45" s="148"/>
      <c r="D45" s="149"/>
      <c r="E45" s="149"/>
      <c r="F45" s="149"/>
      <c r="G45" s="149"/>
      <c r="H45" s="149"/>
      <c r="I45" s="149"/>
      <c r="J45" s="149"/>
      <c r="K45" s="149"/>
      <c r="L45" s="149"/>
      <c r="M45" s="149"/>
      <c r="N45" s="149"/>
      <c r="O45" s="149"/>
      <c r="P45" s="149"/>
      <c r="Q45" s="149"/>
      <c r="R45" s="149"/>
      <c r="S45" s="149"/>
      <c r="T45" s="149"/>
      <c r="U45" s="149"/>
      <c r="V45" s="149"/>
      <c r="W45" s="149"/>
      <c r="X45" s="149"/>
      <c r="Y45" s="150"/>
    </row>
    <row r="46" spans="2:25">
      <c r="B46" s="147" t="s">
        <v>213</v>
      </c>
      <c r="C46" s="148"/>
      <c r="D46" s="149"/>
      <c r="E46" s="149"/>
      <c r="F46" s="149"/>
      <c r="G46" s="149"/>
      <c r="H46" s="149"/>
      <c r="I46" s="149"/>
      <c r="J46" s="149"/>
      <c r="K46" s="149"/>
      <c r="L46" s="149"/>
      <c r="M46" s="149"/>
      <c r="N46" s="149"/>
      <c r="O46" s="149"/>
      <c r="P46" s="149"/>
      <c r="Q46" s="149"/>
      <c r="R46" s="149"/>
      <c r="S46" s="149"/>
      <c r="T46" s="149"/>
      <c r="U46" s="149"/>
      <c r="V46" s="149"/>
      <c r="W46" s="149"/>
      <c r="X46" s="149"/>
      <c r="Y46" s="150"/>
    </row>
    <row r="47" spans="2:25">
      <c r="B47" s="147" t="s">
        <v>214</v>
      </c>
      <c r="C47" s="148"/>
      <c r="D47" s="149"/>
      <c r="E47" s="149"/>
      <c r="F47" s="149"/>
      <c r="G47" s="149"/>
      <c r="H47" s="149"/>
      <c r="I47" s="149"/>
      <c r="J47" s="149"/>
      <c r="K47" s="149"/>
      <c r="L47" s="149"/>
      <c r="M47" s="149"/>
      <c r="N47" s="149"/>
      <c r="O47" s="149"/>
      <c r="P47" s="149"/>
      <c r="Q47" s="149"/>
      <c r="R47" s="149"/>
      <c r="S47" s="149"/>
      <c r="T47" s="149"/>
      <c r="U47" s="149"/>
      <c r="V47" s="149"/>
      <c r="W47" s="149"/>
      <c r="X47" s="149"/>
      <c r="Y47" s="150"/>
    </row>
    <row r="48" spans="2:25">
      <c r="B48" s="147" t="s">
        <v>215</v>
      </c>
      <c r="C48" s="148"/>
      <c r="D48" s="149"/>
      <c r="E48" s="149"/>
      <c r="F48" s="149"/>
      <c r="G48" s="149"/>
      <c r="H48" s="149"/>
      <c r="I48" s="149"/>
      <c r="J48" s="149"/>
      <c r="K48" s="149"/>
      <c r="L48" s="149"/>
      <c r="M48" s="149"/>
      <c r="N48" s="149"/>
      <c r="O48" s="149"/>
      <c r="P48" s="149"/>
      <c r="Q48" s="149"/>
      <c r="R48" s="149"/>
      <c r="S48" s="149"/>
      <c r="T48" s="149"/>
      <c r="U48" s="149"/>
      <c r="V48" s="149"/>
      <c r="W48" s="149"/>
      <c r="X48" s="149"/>
      <c r="Y48" s="150"/>
    </row>
    <row r="49" spans="2:25">
      <c r="B49" s="147" t="s">
        <v>216</v>
      </c>
      <c r="C49" s="148"/>
      <c r="D49" s="149"/>
      <c r="E49" s="149"/>
      <c r="F49" s="149"/>
      <c r="G49" s="149"/>
      <c r="H49" s="149"/>
      <c r="I49" s="149"/>
      <c r="J49" s="149"/>
      <c r="K49" s="149"/>
      <c r="L49" s="149"/>
      <c r="M49" s="149"/>
      <c r="N49" s="149"/>
      <c r="O49" s="149"/>
      <c r="P49" s="149"/>
      <c r="Q49" s="149"/>
      <c r="R49" s="149"/>
      <c r="S49" s="149"/>
      <c r="T49" s="149"/>
      <c r="U49" s="149"/>
      <c r="V49" s="149"/>
      <c r="W49" s="149"/>
      <c r="X49" s="149"/>
      <c r="Y49" s="150"/>
    </row>
    <row r="50" spans="2:25">
      <c r="B50" s="147" t="s">
        <v>217</v>
      </c>
      <c r="C50" s="148"/>
      <c r="D50" s="149"/>
      <c r="E50" s="149"/>
      <c r="F50" s="149"/>
      <c r="G50" s="149"/>
      <c r="H50" s="149"/>
      <c r="I50" s="149"/>
      <c r="J50" s="149"/>
      <c r="K50" s="149"/>
      <c r="L50" s="149"/>
      <c r="M50" s="149"/>
      <c r="N50" s="149"/>
      <c r="O50" s="149"/>
      <c r="P50" s="149"/>
      <c r="Q50" s="149"/>
      <c r="R50" s="149"/>
      <c r="S50" s="149"/>
      <c r="T50" s="149"/>
      <c r="U50" s="149"/>
      <c r="V50" s="149"/>
      <c r="W50" s="149"/>
      <c r="X50" s="149"/>
      <c r="Y50" s="150"/>
    </row>
    <row r="51" spans="2:25">
      <c r="B51" s="147" t="s">
        <v>218</v>
      </c>
      <c r="C51" s="148"/>
      <c r="D51" s="149"/>
      <c r="E51" s="149"/>
      <c r="F51" s="149"/>
      <c r="G51" s="149"/>
      <c r="H51" s="149"/>
      <c r="I51" s="149"/>
      <c r="J51" s="149"/>
      <c r="K51" s="149"/>
      <c r="L51" s="149"/>
      <c r="M51" s="149"/>
      <c r="N51" s="149"/>
      <c r="O51" s="149"/>
      <c r="P51" s="149"/>
      <c r="Q51" s="149"/>
      <c r="R51" s="149"/>
      <c r="S51" s="149"/>
      <c r="T51" s="149"/>
      <c r="U51" s="149"/>
      <c r="V51" s="149"/>
      <c r="W51" s="149"/>
      <c r="X51" s="149"/>
      <c r="Y51" s="150"/>
    </row>
    <row r="52" spans="2:25">
      <c r="B52" s="147" t="s">
        <v>219</v>
      </c>
      <c r="C52" s="148"/>
      <c r="D52" s="149"/>
      <c r="E52" s="149"/>
      <c r="F52" s="149"/>
      <c r="G52" s="149"/>
      <c r="H52" s="149"/>
      <c r="I52" s="149"/>
      <c r="J52" s="149"/>
      <c r="K52" s="149"/>
      <c r="L52" s="149"/>
      <c r="M52" s="149"/>
      <c r="N52" s="149"/>
      <c r="O52" s="149"/>
      <c r="P52" s="149"/>
      <c r="Q52" s="149"/>
      <c r="R52" s="149"/>
      <c r="S52" s="149"/>
      <c r="T52" s="149"/>
      <c r="U52" s="149"/>
      <c r="V52" s="149"/>
      <c r="W52" s="149"/>
      <c r="X52" s="149"/>
      <c r="Y52" s="150"/>
    </row>
    <row r="53" spans="2:25">
      <c r="B53" s="147" t="s">
        <v>220</v>
      </c>
      <c r="C53" s="148"/>
      <c r="D53" s="149"/>
      <c r="E53" s="149"/>
      <c r="F53" s="149"/>
      <c r="G53" s="149"/>
      <c r="H53" s="149"/>
      <c r="I53" s="149"/>
      <c r="J53" s="149"/>
      <c r="K53" s="149"/>
      <c r="L53" s="149"/>
      <c r="M53" s="149"/>
      <c r="N53" s="149"/>
      <c r="O53" s="149"/>
      <c r="P53" s="149"/>
      <c r="Q53" s="149"/>
      <c r="R53" s="149"/>
      <c r="S53" s="149"/>
      <c r="T53" s="149"/>
      <c r="U53" s="149"/>
      <c r="V53" s="149"/>
      <c r="W53" s="149"/>
      <c r="X53" s="149"/>
      <c r="Y53" s="150"/>
    </row>
    <row r="54" spans="2:25">
      <c r="B54" s="147" t="s">
        <v>221</v>
      </c>
      <c r="C54" s="148"/>
      <c r="D54" s="149"/>
      <c r="E54" s="149"/>
      <c r="F54" s="149"/>
      <c r="G54" s="149"/>
      <c r="H54" s="149"/>
      <c r="I54" s="149"/>
      <c r="J54" s="149"/>
      <c r="K54" s="149"/>
      <c r="L54" s="149"/>
      <c r="M54" s="149"/>
      <c r="N54" s="149"/>
      <c r="O54" s="149"/>
      <c r="P54" s="149"/>
      <c r="Q54" s="149"/>
      <c r="R54" s="149"/>
      <c r="S54" s="149"/>
      <c r="T54" s="149"/>
      <c r="U54" s="149"/>
      <c r="V54" s="149"/>
      <c r="W54" s="149"/>
      <c r="X54" s="149"/>
      <c r="Y54" s="150"/>
    </row>
    <row r="55" spans="2:25">
      <c r="B55" s="147" t="s">
        <v>222</v>
      </c>
      <c r="C55" s="148"/>
      <c r="D55" s="149"/>
      <c r="E55" s="149"/>
      <c r="F55" s="149"/>
      <c r="G55" s="149"/>
      <c r="H55" s="149"/>
      <c r="I55" s="149"/>
      <c r="J55" s="149"/>
      <c r="K55" s="149"/>
      <c r="L55" s="149"/>
      <c r="M55" s="149"/>
      <c r="N55" s="149"/>
      <c r="O55" s="149"/>
      <c r="P55" s="149"/>
      <c r="Q55" s="149"/>
      <c r="R55" s="149"/>
      <c r="S55" s="149"/>
      <c r="T55" s="149"/>
      <c r="U55" s="149"/>
      <c r="V55" s="149"/>
      <c r="W55" s="149"/>
      <c r="X55" s="149"/>
      <c r="Y55" s="150"/>
    </row>
    <row r="56" spans="2:25">
      <c r="B56" s="147" t="s">
        <v>223</v>
      </c>
      <c r="C56" s="148"/>
      <c r="D56" s="149"/>
      <c r="E56" s="149"/>
      <c r="F56" s="149"/>
      <c r="G56" s="149"/>
      <c r="H56" s="149"/>
      <c r="I56" s="149"/>
      <c r="J56" s="149"/>
      <c r="K56" s="149"/>
      <c r="L56" s="149"/>
      <c r="M56" s="149"/>
      <c r="N56" s="149"/>
      <c r="O56" s="149"/>
      <c r="P56" s="149"/>
      <c r="Q56" s="149"/>
      <c r="R56" s="149"/>
      <c r="S56" s="149"/>
      <c r="T56" s="149"/>
      <c r="U56" s="149"/>
      <c r="V56" s="149"/>
      <c r="W56" s="149"/>
      <c r="X56" s="149"/>
      <c r="Y56" s="150"/>
    </row>
    <row r="57" spans="2:25">
      <c r="B57" s="147" t="s">
        <v>224</v>
      </c>
      <c r="C57" s="148"/>
      <c r="D57" s="149"/>
      <c r="E57" s="149"/>
      <c r="F57" s="149"/>
      <c r="G57" s="149"/>
      <c r="H57" s="149"/>
      <c r="I57" s="149"/>
      <c r="J57" s="149"/>
      <c r="K57" s="149"/>
      <c r="L57" s="149"/>
      <c r="M57" s="149"/>
      <c r="N57" s="149"/>
      <c r="O57" s="149"/>
      <c r="P57" s="149"/>
      <c r="Q57" s="149"/>
      <c r="R57" s="149"/>
      <c r="S57" s="149"/>
      <c r="T57" s="149"/>
      <c r="U57" s="149"/>
      <c r="V57" s="149"/>
      <c r="W57" s="149"/>
      <c r="X57" s="149"/>
      <c r="Y57" s="150"/>
    </row>
    <row r="58" spans="2:25">
      <c r="B58" s="147" t="s">
        <v>225</v>
      </c>
      <c r="C58" s="148"/>
      <c r="D58" s="149"/>
      <c r="E58" s="149"/>
      <c r="F58" s="149"/>
      <c r="G58" s="149"/>
      <c r="H58" s="149"/>
      <c r="I58" s="149"/>
      <c r="J58" s="149"/>
      <c r="K58" s="149"/>
      <c r="L58" s="149"/>
      <c r="M58" s="149"/>
      <c r="N58" s="149"/>
      <c r="O58" s="149"/>
      <c r="P58" s="149"/>
      <c r="Q58" s="149"/>
      <c r="R58" s="149"/>
      <c r="S58" s="149"/>
      <c r="T58" s="149"/>
      <c r="U58" s="149"/>
      <c r="V58" s="149"/>
      <c r="W58" s="149"/>
      <c r="X58" s="149"/>
      <c r="Y58" s="150"/>
    </row>
    <row r="59" spans="2:25">
      <c r="B59" s="147" t="s">
        <v>226</v>
      </c>
      <c r="C59" s="148"/>
      <c r="D59" s="149"/>
      <c r="E59" s="149"/>
      <c r="F59" s="149"/>
      <c r="G59" s="149"/>
      <c r="H59" s="149"/>
      <c r="I59" s="149"/>
      <c r="J59" s="149"/>
      <c r="K59" s="149"/>
      <c r="L59" s="149"/>
      <c r="M59" s="149"/>
      <c r="N59" s="149"/>
      <c r="O59" s="149"/>
      <c r="P59" s="149"/>
      <c r="Q59" s="149"/>
      <c r="R59" s="149"/>
      <c r="S59" s="149"/>
      <c r="T59" s="149"/>
      <c r="U59" s="149"/>
      <c r="V59" s="149"/>
      <c r="W59" s="149"/>
      <c r="X59" s="149"/>
      <c r="Y59" s="150"/>
    </row>
    <row r="60" spans="2:25" ht="15" thickBot="1">
      <c r="B60" s="151" t="s">
        <v>227</v>
      </c>
      <c r="C60" s="152"/>
      <c r="D60" s="153"/>
      <c r="E60" s="153"/>
      <c r="F60" s="153"/>
      <c r="G60" s="153"/>
      <c r="H60" s="153"/>
      <c r="I60" s="153"/>
      <c r="J60" s="153"/>
      <c r="K60" s="153"/>
      <c r="L60" s="153"/>
      <c r="M60" s="153"/>
      <c r="N60" s="153"/>
      <c r="O60" s="153"/>
      <c r="P60" s="153"/>
      <c r="Q60" s="153"/>
      <c r="R60" s="153"/>
      <c r="S60" s="153"/>
      <c r="T60" s="153"/>
      <c r="U60" s="153"/>
      <c r="V60" s="153"/>
      <c r="W60" s="153"/>
      <c r="X60" s="153"/>
      <c r="Y60" s="154"/>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2:F15"/>
  <sheetViews>
    <sheetView workbookViewId="0">
      <selection activeCell="B8" sqref="B8"/>
    </sheetView>
  </sheetViews>
  <sheetFormatPr defaultRowHeight="13"/>
  <cols>
    <col min="1" max="1" width="12" style="155" customWidth="1"/>
    <col min="2" max="2" width="12.81640625" style="155" customWidth="1"/>
    <col min="3" max="3" width="11" style="155" customWidth="1"/>
    <col min="4" max="4" width="17.1796875" style="155" customWidth="1"/>
    <col min="5" max="5" width="18.453125" style="155" bestFit="1" customWidth="1"/>
    <col min="6" max="6" width="18.6328125" style="155" customWidth="1"/>
    <col min="7" max="16384" width="8.7265625" style="155"/>
  </cols>
  <sheetData>
    <row r="2" spans="1:6">
      <c r="A2" s="163"/>
      <c r="B2" s="162"/>
      <c r="C2" s="162"/>
      <c r="D2" s="162"/>
    </row>
    <row r="3" spans="1:6" ht="26">
      <c r="A3" s="157"/>
      <c r="B3" s="161" t="s">
        <v>228</v>
      </c>
      <c r="C3" s="161" t="s">
        <v>229</v>
      </c>
      <c r="E3" s="157"/>
      <c r="F3" s="161" t="s">
        <v>230</v>
      </c>
    </row>
    <row r="4" spans="1:6">
      <c r="A4" s="157" t="s">
        <v>176</v>
      </c>
      <c r="B4" s="156">
        <v>-353.12060000000002</v>
      </c>
      <c r="C4" s="156">
        <v>-44.879190000000001</v>
      </c>
      <c r="E4" s="157" t="s">
        <v>176</v>
      </c>
      <c r="F4" s="159">
        <v>-383.46800000000002</v>
      </c>
    </row>
    <row r="5" spans="1:6">
      <c r="A5" s="157" t="s">
        <v>177</v>
      </c>
      <c r="B5" s="156">
        <v>539.68939999999998</v>
      </c>
      <c r="C5" s="156">
        <v>78.752170000000007</v>
      </c>
      <c r="E5" s="157" t="s">
        <v>177</v>
      </c>
      <c r="F5" s="159">
        <v>551.7808</v>
      </c>
    </row>
    <row r="6" spans="1:6">
      <c r="A6" s="157" t="s">
        <v>178</v>
      </c>
      <c r="B6" s="156">
        <v>12.67905</v>
      </c>
      <c r="C6" s="156">
        <v>3.9035880000000001</v>
      </c>
      <c r="E6" s="157" t="s">
        <v>178</v>
      </c>
      <c r="F6" s="159">
        <v>8.7754630000000002</v>
      </c>
    </row>
    <row r="7" spans="1:6" ht="25.5" customHeight="1">
      <c r="A7" s="160" t="s">
        <v>231</v>
      </c>
      <c r="B7" s="156">
        <v>111.0381</v>
      </c>
      <c r="C7" s="156">
        <v>18.418489999999998</v>
      </c>
      <c r="E7" s="157" t="s">
        <v>231</v>
      </c>
      <c r="F7" s="159">
        <v>112.5783</v>
      </c>
    </row>
    <row r="8" spans="1:6" ht="25" customHeight="1">
      <c r="A8" s="160" t="s">
        <v>232</v>
      </c>
      <c r="B8" s="156">
        <f>B7/B6</f>
        <v>8.757604079169969</v>
      </c>
      <c r="C8" s="156">
        <f>C7/C6</f>
        <v>4.7183488626361179</v>
      </c>
      <c r="E8" s="157" t="s">
        <v>232</v>
      </c>
      <c r="F8" s="159">
        <f>F7/F6</f>
        <v>12.828759006789726</v>
      </c>
    </row>
    <row r="9" spans="1:6">
      <c r="A9" s="157" t="s">
        <v>181</v>
      </c>
      <c r="B9" s="158">
        <v>0.1840146</v>
      </c>
      <c r="C9" s="158">
        <v>0.1691802</v>
      </c>
      <c r="E9" s="157" t="s">
        <v>181</v>
      </c>
      <c r="F9" s="158">
        <v>0.18133779999999999</v>
      </c>
    </row>
    <row r="10" spans="1:6">
      <c r="A10" s="157" t="s">
        <v>182</v>
      </c>
      <c r="B10" s="158">
        <v>3.1528510000000001</v>
      </c>
      <c r="C10" s="158">
        <v>2.864141</v>
      </c>
      <c r="E10" s="157" t="s">
        <v>182</v>
      </c>
      <c r="F10" s="156">
        <v>3.15205</v>
      </c>
    </row>
    <row r="11" spans="1:6">
      <c r="A11" s="157" t="s">
        <v>184</v>
      </c>
      <c r="B11" s="156">
        <v>12.02787</v>
      </c>
      <c r="C11" s="156">
        <v>-0.48844729999999997</v>
      </c>
      <c r="E11" s="157" t="s">
        <v>184</v>
      </c>
      <c r="F11" s="156">
        <v>-13.50328</v>
      </c>
    </row>
    <row r="12" spans="1:6">
      <c r="A12" s="157" t="s">
        <v>235</v>
      </c>
      <c r="B12" s="156">
        <v>-160.73920000000001</v>
      </c>
      <c r="C12" s="156">
        <v>-26.012830000000001</v>
      </c>
      <c r="E12" s="157" t="s">
        <v>235</v>
      </c>
      <c r="F12" s="156">
        <v>-167.17910000000001</v>
      </c>
    </row>
    <row r="13" spans="1:6">
      <c r="A13" s="157" t="s">
        <v>234</v>
      </c>
      <c r="B13" s="156">
        <v>8.3328509999999998</v>
      </c>
      <c r="C13" s="156">
        <v>3.5496720000000002</v>
      </c>
      <c r="E13" s="157" t="s">
        <v>234</v>
      </c>
      <c r="F13" s="156">
        <v>-9.4219910000000002</v>
      </c>
    </row>
    <row r="14" spans="1:6">
      <c r="A14" s="157" t="s">
        <v>233</v>
      </c>
      <c r="B14" s="156">
        <v>205.6362</v>
      </c>
      <c r="C14" s="156">
        <v>35.09449</v>
      </c>
      <c r="E14" s="157" t="s">
        <v>233</v>
      </c>
      <c r="F14" s="156">
        <v>202.20910000000001</v>
      </c>
    </row>
    <row r="15" spans="1:6">
      <c r="A15" s="157" t="s">
        <v>236</v>
      </c>
      <c r="B15" s="164">
        <v>0.53110000000000002</v>
      </c>
      <c r="C15" s="164">
        <v>0.57320000000000004</v>
      </c>
      <c r="E15" s="157" t="s">
        <v>236</v>
      </c>
      <c r="F15" s="156">
        <v>202.20910000000001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NAV0</vt:lpstr>
      <vt:lpstr>NAV1</vt:lpstr>
      <vt:lpstr>Beta Data</vt:lpstr>
      <vt:lpstr>"Rapid Bounce" Base Case</vt:lpstr>
      <vt:lpstr>"Persistence" Base Case</vt:lpstr>
      <vt:lpstr>NPV Profiles</vt:lpstr>
      <vt:lpstr>Market Size Data</vt:lpstr>
      <vt:lpstr>Simulation</vt:lpstr>
      <vt:lpstr>Output</vt:lpstr>
      <vt:lpstr>Summary</vt:lpstr>
      <vt:lpstr>PMktShareCorrelations</vt:lpstr>
      <vt:lpstr>'"Persistence" Base Case'!Print_Area</vt:lpstr>
      <vt:lpstr>'"Rapid Bounce" Base Case'!Print_Area</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cp:lastPrinted>2006-02-10T19:28:32Z</cp:lastPrinted>
  <dcterms:created xsi:type="dcterms:W3CDTF">1997-10-20T19:01:07Z</dcterms:created>
  <dcterms:modified xsi:type="dcterms:W3CDTF">2010-03-08T03:03:01Z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LE ID">
    <vt:lpwstr>060575</vt:lpwstr>
  </property>
</Properties>
</file>