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60" yWindow="40" windowWidth="14160" windowHeight="5850"/>
  </bookViews>
  <sheets>
    <sheet name="Classical NPV" sheetId="1" r:id="rId1"/>
    <sheet name="Simple Expansion Option" sheetId="4" r:id="rId2"/>
    <sheet name="Expansion B-S Price" sheetId="5" r:id="rId3"/>
    <sheet name="Expansion Simulation" sheetId="2" r:id="rId4"/>
    <sheet name="Abandon" sheetId="7" r:id="rId5"/>
    <sheet name="Abandon B-S Price" sheetId="8" r:id="rId6"/>
    <sheet name="Expansion and Abandon" sheetId="3" r:id="rId7"/>
    <sheet name="Abandon Option (2)" sheetId="6" r:id="rId8"/>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FALSE</definedName>
  </definedNames>
  <calcPr calcId="125725"/>
</workbook>
</file>

<file path=xl/calcChain.xml><?xml version="1.0" encoding="utf-8"?>
<calcChain xmlns="http://schemas.openxmlformats.org/spreadsheetml/2006/main">
  <c r="E3" i="3"/>
  <c r="E3" i="6" l="1"/>
  <c r="E4" i="3"/>
  <c r="B3" i="8"/>
  <c r="C10" i="7"/>
  <c r="D10"/>
  <c r="E10"/>
  <c r="F10"/>
  <c r="G10"/>
  <c r="H10"/>
  <c r="I10"/>
  <c r="J10"/>
  <c r="K10"/>
  <c r="L10"/>
  <c r="B10"/>
  <c r="B6" i="8" l="1"/>
  <c r="H11" i="7"/>
  <c r="H12" s="1"/>
  <c r="I11"/>
  <c r="J11"/>
  <c r="J12" s="1"/>
  <c r="K11"/>
  <c r="K12" s="1"/>
  <c r="L11"/>
  <c r="L12" s="1"/>
  <c r="I12"/>
  <c r="B11"/>
  <c r="B12"/>
  <c r="G11"/>
  <c r="F11"/>
  <c r="E11"/>
  <c r="D11"/>
  <c r="C11"/>
  <c r="F12" i="4"/>
  <c r="B3"/>
  <c r="F15" s="1"/>
  <c r="F11" i="1"/>
  <c r="B3" i="5"/>
  <c r="E15" i="4"/>
  <c r="B7" i="6"/>
  <c r="B5"/>
  <c r="B3" i="2"/>
  <c r="B3" i="6" s="1"/>
  <c r="B11" s="1"/>
  <c r="C12" s="1"/>
  <c r="D13" s="1"/>
  <c r="E14" s="1"/>
  <c r="F15" s="1"/>
  <c r="G16" s="1"/>
  <c r="B3" i="3"/>
  <c r="D15" i="4"/>
  <c r="F25"/>
  <c r="E4" i="6"/>
  <c r="B6" i="5"/>
  <c r="B4"/>
  <c r="B7" i="3"/>
  <c r="B5"/>
  <c r="B4" i="2"/>
  <c r="B4" i="3" s="1"/>
  <c r="B6" i="2"/>
  <c r="F22" i="4"/>
  <c r="B6"/>
  <c r="F24"/>
  <c r="F26" s="1"/>
  <c r="C24"/>
  <c r="F14"/>
  <c r="D14"/>
  <c r="D16" s="1"/>
  <c r="B14"/>
  <c r="F10" i="1"/>
  <c r="F12"/>
  <c r="C11"/>
  <c r="B11"/>
  <c r="D11"/>
  <c r="E11"/>
  <c r="C10"/>
  <c r="C12"/>
  <c r="D10"/>
  <c r="E10"/>
  <c r="B10"/>
  <c r="B12"/>
  <c r="E12"/>
  <c r="D12"/>
  <c r="B14"/>
  <c r="B6" i="3"/>
  <c r="E5" s="1"/>
  <c r="H4"/>
  <c r="B6" i="6"/>
  <c r="E5" s="1"/>
  <c r="B11" i="3"/>
  <c r="C12" s="1"/>
  <c r="D13" s="1"/>
  <c r="E14" s="1"/>
  <c r="F15" s="1"/>
  <c r="G16" s="1"/>
  <c r="H4" i="6"/>
  <c r="B10" i="2"/>
  <c r="B10" i="5" l="1"/>
  <c r="B11" s="1"/>
  <c r="B13" s="1"/>
  <c r="C14" i="4"/>
  <c r="E14"/>
  <c r="E16" s="1"/>
  <c r="B24"/>
  <c r="D24"/>
  <c r="E24"/>
  <c r="D25"/>
  <c r="D26" s="1"/>
  <c r="B15"/>
  <c r="C15"/>
  <c r="E25"/>
  <c r="E26" s="1"/>
  <c r="B16"/>
  <c r="C11" i="6"/>
  <c r="D12" s="1"/>
  <c r="E13" s="1"/>
  <c r="F14" s="1"/>
  <c r="G15" s="1"/>
  <c r="B4"/>
  <c r="G44" s="1"/>
  <c r="C25" i="4"/>
  <c r="C26"/>
  <c r="F16"/>
  <c r="H17" i="6"/>
  <c r="I18" s="1"/>
  <c r="J19" s="1"/>
  <c r="K20" s="1"/>
  <c r="L21" s="1"/>
  <c r="L35" s="1"/>
  <c r="H16"/>
  <c r="I17" s="1"/>
  <c r="J18" s="1"/>
  <c r="K19" s="1"/>
  <c r="L20" s="1"/>
  <c r="G25" i="3"/>
  <c r="G34"/>
  <c r="B32" i="4"/>
  <c r="D11" i="6"/>
  <c r="C11" i="3"/>
  <c r="B25" i="4"/>
  <c r="B26" s="1"/>
  <c r="D12" i="7"/>
  <c r="B10" i="8"/>
  <c r="B12" s="1"/>
  <c r="C12" i="7"/>
  <c r="E12"/>
  <c r="G12"/>
  <c r="F12"/>
  <c r="B12" i="5"/>
  <c r="B12" i="2"/>
  <c r="B15"/>
  <c r="B11"/>
  <c r="G43" i="6" l="1"/>
  <c r="F43"/>
  <c r="B28" i="4"/>
  <c r="L34" i="6"/>
  <c r="K34" s="1"/>
  <c r="C16" i="4"/>
  <c r="B18" s="1"/>
  <c r="B30" s="1"/>
  <c r="D11" i="3"/>
  <c r="D12"/>
  <c r="E13" s="1"/>
  <c r="F14" s="1"/>
  <c r="G15" s="1"/>
  <c r="E12" i="6"/>
  <c r="F13" s="1"/>
  <c r="G14" s="1"/>
  <c r="E11"/>
  <c r="B15" i="5"/>
  <c r="F3" s="1"/>
  <c r="B11" i="8"/>
  <c r="B13" s="1"/>
  <c r="B14" i="7"/>
  <c r="H15" i="6" l="1"/>
  <c r="I16" s="1"/>
  <c r="J17" s="1"/>
  <c r="K18" s="1"/>
  <c r="L19" s="1"/>
  <c r="L33" s="1"/>
  <c r="K33" s="1"/>
  <c r="J33" s="1"/>
  <c r="G42"/>
  <c r="F42" s="1"/>
  <c r="E42" s="1"/>
  <c r="E12" i="3"/>
  <c r="F13" s="1"/>
  <c r="G14" s="1"/>
  <c r="E11"/>
  <c r="F12" i="6"/>
  <c r="G13" s="1"/>
  <c r="F11"/>
  <c r="G24" i="3"/>
  <c r="F24" s="1"/>
  <c r="G33"/>
  <c r="F33" s="1"/>
  <c r="B15" i="8"/>
  <c r="F3" s="1"/>
  <c r="H14" i="6" l="1"/>
  <c r="I15" s="1"/>
  <c r="J16" s="1"/>
  <c r="K17" s="1"/>
  <c r="L18" s="1"/>
  <c r="L32" s="1"/>
  <c r="K32" s="1"/>
  <c r="J32" s="1"/>
  <c r="I32" s="1"/>
  <c r="G41"/>
  <c r="F41" s="1"/>
  <c r="E41" s="1"/>
  <c r="D41" s="1"/>
  <c r="G32" i="3"/>
  <c r="F32" s="1"/>
  <c r="E32" s="1"/>
  <c r="G23"/>
  <c r="F23" s="1"/>
  <c r="E23" s="1"/>
  <c r="G11" i="6"/>
  <c r="G12"/>
  <c r="F11" i="3"/>
  <c r="F12"/>
  <c r="G13" s="1"/>
  <c r="G12" l="1"/>
  <c r="G11"/>
  <c r="G39" i="6"/>
  <c r="H12"/>
  <c r="I13" s="1"/>
  <c r="J14" s="1"/>
  <c r="K15" s="1"/>
  <c r="L16" s="1"/>
  <c r="L30" s="1"/>
  <c r="H11"/>
  <c r="G31" i="3"/>
  <c r="F31" s="1"/>
  <c r="E31" s="1"/>
  <c r="D31" s="1"/>
  <c r="G22"/>
  <c r="F22" s="1"/>
  <c r="E22" s="1"/>
  <c r="D22" s="1"/>
  <c r="H13" i="6"/>
  <c r="I14" s="1"/>
  <c r="J15" s="1"/>
  <c r="K16" s="1"/>
  <c r="L17" s="1"/>
  <c r="L31" s="1"/>
  <c r="K31" s="1"/>
  <c r="J31" s="1"/>
  <c r="I31" s="1"/>
  <c r="H31" s="1"/>
  <c r="G40"/>
  <c r="F40" s="1"/>
  <c r="E40" s="1"/>
  <c r="D40" s="1"/>
  <c r="C40" s="1"/>
  <c r="K30" l="1"/>
  <c r="J30" s="1"/>
  <c r="I30" s="1"/>
  <c r="H30" s="1"/>
  <c r="G30" s="1"/>
  <c r="G20" i="3"/>
  <c r="G29"/>
  <c r="I12" i="6"/>
  <c r="J13" s="1"/>
  <c r="K14" s="1"/>
  <c r="L15" s="1"/>
  <c r="L29" s="1"/>
  <c r="K29" s="1"/>
  <c r="I11"/>
  <c r="G21" i="3"/>
  <c r="F21" s="1"/>
  <c r="E21" s="1"/>
  <c r="D21" s="1"/>
  <c r="C21" s="1"/>
  <c r="G30"/>
  <c r="F30" s="1"/>
  <c r="E30" s="1"/>
  <c r="D30" s="1"/>
  <c r="C30" s="1"/>
  <c r="F39" i="6"/>
  <c r="E39" s="1"/>
  <c r="D39" s="1"/>
  <c r="C39" s="1"/>
  <c r="B39" s="1"/>
  <c r="J29" l="1"/>
  <c r="I29" s="1"/>
  <c r="H29" s="1"/>
  <c r="G29" s="1"/>
  <c r="F29" s="1"/>
  <c r="F20" i="3"/>
  <c r="E20" s="1"/>
  <c r="D20" s="1"/>
  <c r="C20" s="1"/>
  <c r="B20" s="1"/>
  <c r="J11" i="6"/>
  <c r="J12"/>
  <c r="K13" s="1"/>
  <c r="L14" s="1"/>
  <c r="L28" s="1"/>
  <c r="K28" s="1"/>
  <c r="J28" s="1"/>
  <c r="I28" s="1"/>
  <c r="H28" s="1"/>
  <c r="G28" s="1"/>
  <c r="F29" i="3"/>
  <c r="E29" s="1"/>
  <c r="D29" s="1"/>
  <c r="C29" s="1"/>
  <c r="B29" s="1"/>
  <c r="F28" i="6" l="1"/>
  <c r="E28" s="1"/>
  <c r="K12"/>
  <c r="L13" s="1"/>
  <c r="L27" s="1"/>
  <c r="K27" s="1"/>
  <c r="J27" s="1"/>
  <c r="I27" s="1"/>
  <c r="H27" s="1"/>
  <c r="G27" s="1"/>
  <c r="F27" s="1"/>
  <c r="E27" s="1"/>
  <c r="K11"/>
  <c r="D27" l="1"/>
  <c r="L11"/>
  <c r="L25" s="1"/>
  <c r="L12"/>
  <c r="L26" s="1"/>
  <c r="K26" s="1"/>
  <c r="J26" s="1"/>
  <c r="I26" s="1"/>
  <c r="H26" s="1"/>
  <c r="G26" s="1"/>
  <c r="F26" s="1"/>
  <c r="E26" s="1"/>
  <c r="D26" s="1"/>
  <c r="C26" s="1"/>
  <c r="K25" l="1"/>
  <c r="J25" s="1"/>
  <c r="I25" s="1"/>
  <c r="H25" s="1"/>
  <c r="G25" s="1"/>
  <c r="F25" s="1"/>
  <c r="E25" s="1"/>
  <c r="D25" s="1"/>
  <c r="C25" s="1"/>
  <c r="B25" s="1"/>
</calcChain>
</file>

<file path=xl/sharedStrings.xml><?xml version="1.0" encoding="utf-8"?>
<sst xmlns="http://schemas.openxmlformats.org/spreadsheetml/2006/main" count="120" uniqueCount="51">
  <si>
    <t>R&amp;D project</t>
  </si>
  <si>
    <t>Risk-free rate</t>
  </si>
  <si>
    <t>Discount rate</t>
  </si>
  <si>
    <t>Time (yrs)</t>
  </si>
  <si>
    <t>Revenues ($m)</t>
  </si>
  <si>
    <t>NPV</t>
  </si>
  <si>
    <t>Costs ($m)</t>
  </si>
  <si>
    <t>PV Costs ($m)</t>
  </si>
  <si>
    <t>PV Revenues ($m)</t>
  </si>
  <si>
    <t>PV Cash flows ($m)</t>
  </si>
  <si>
    <t>10% of the time</t>
  </si>
  <si>
    <t>90% of the time</t>
  </si>
  <si>
    <t>NPV with optionality</t>
  </si>
  <si>
    <t>Probability of success</t>
  </si>
  <si>
    <t>Probability of failure</t>
  </si>
  <si>
    <t>Revenue value if success</t>
  </si>
  <si>
    <t>Revenue value if failure</t>
  </si>
  <si>
    <t>Value of option</t>
  </si>
  <si>
    <t>Initial price</t>
  </si>
  <si>
    <t>Strike price</t>
  </si>
  <si>
    <t>Time to expiration</t>
  </si>
  <si>
    <t>Interest rate</t>
  </si>
  <si>
    <t>Volatility</t>
  </si>
  <si>
    <t>Dividend yield</t>
  </si>
  <si>
    <t>Price at expiration</t>
  </si>
  <si>
    <t>Discounted payoff (call)</t>
  </si>
  <si>
    <t>Discounted payoff (put)</t>
  </si>
  <si>
    <t>Call price</t>
  </si>
  <si>
    <t>u</t>
  </si>
  <si>
    <t>d</t>
  </si>
  <si>
    <t>p</t>
  </si>
  <si>
    <t>R&amp;D project with option to abandon</t>
  </si>
  <si>
    <t>R&amp;D project with option to expand</t>
  </si>
  <si>
    <t>Project value</t>
  </si>
  <si>
    <t>delta T (yrs)</t>
  </si>
  <si>
    <t>df</t>
  </si>
  <si>
    <t>time period</t>
  </si>
  <si>
    <t>Value without</t>
  </si>
  <si>
    <t>abandonment</t>
  </si>
  <si>
    <t>d1</t>
  </si>
  <si>
    <t>d2</t>
  </si>
  <si>
    <t>Φ(d1)</t>
  </si>
  <si>
    <t>Φ(d2)</t>
  </si>
  <si>
    <t>Cost ($m)</t>
  </si>
  <si>
    <t>Value with</t>
  </si>
  <si>
    <t>Option price</t>
  </si>
  <si>
    <t>Φ(-d1)</t>
  </si>
  <si>
    <t>Φ(-d2)</t>
  </si>
  <si>
    <t>Put price</t>
  </si>
  <si>
    <t>Project with option to abandon</t>
  </si>
  <si>
    <t>Development project</t>
  </si>
</sst>
</file>

<file path=xl/styles.xml><?xml version="1.0" encoding="utf-8"?>
<styleSheet xmlns="http://schemas.openxmlformats.org/spreadsheetml/2006/main">
  <numFmts count="4">
    <numFmt numFmtId="8" formatCode="&quot;$&quot;#,##0.00_);[Red]\(&quot;$&quot;#,##0.00\)"/>
    <numFmt numFmtId="44" formatCode="_(&quot;$&quot;* #,##0.00_);_(&quot;$&quot;* \(#,##0.00\);_(&quot;$&quot;* &quot;-&quot;??_);_(@_)"/>
    <numFmt numFmtId="164" formatCode="&quot;$&quot;#,##0.00"/>
    <numFmt numFmtId="165" formatCode="0.0000"/>
  </numFmts>
  <fonts count="5">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0" fontId="3" fillId="0" borderId="0" xfId="0" applyFont="1"/>
    <xf numFmtId="9" fontId="0" fillId="0" borderId="0" xfId="2" applyFont="1"/>
    <xf numFmtId="10" fontId="0" fillId="0" borderId="0" xfId="2" applyNumberFormat="1" applyFont="1"/>
    <xf numFmtId="164" fontId="0" fillId="0" borderId="0" xfId="1" applyNumberFormat="1" applyFont="1"/>
    <xf numFmtId="164" fontId="0" fillId="0" borderId="0" xfId="2" applyNumberFormat="1" applyFont="1"/>
    <xf numFmtId="8" fontId="0" fillId="2" borderId="1" xfId="0" applyNumberFormat="1" applyFill="1" applyBorder="1"/>
    <xf numFmtId="8" fontId="2" fillId="3" borderId="1" xfId="0" applyNumberFormat="1" applyFont="1" applyFill="1" applyBorder="1"/>
    <xf numFmtId="8" fontId="2" fillId="0" borderId="0" xfId="0" applyNumberFormat="1" applyFont="1"/>
    <xf numFmtId="164" fontId="0" fillId="0" borderId="0" xfId="0" applyNumberFormat="1"/>
    <xf numFmtId="10" fontId="0" fillId="0" borderId="0" xfId="0" applyNumberFormat="1"/>
    <xf numFmtId="44" fontId="0" fillId="0" borderId="0" xfId="1" applyFont="1"/>
    <xf numFmtId="0" fontId="4" fillId="0" borderId="0" xfId="0" applyFont="1"/>
    <xf numFmtId="165" fontId="0" fillId="0" borderId="0" xfId="0" applyNumberFormat="1"/>
    <xf numFmtId="44" fontId="0" fillId="3" borderId="1" xfId="0" applyNumberFormat="1" applyFill="1" applyBorder="1"/>
    <xf numFmtId="2" fontId="0" fillId="0" borderId="0" xfId="0" applyNumberFormat="1"/>
    <xf numFmtId="0" fontId="3" fillId="0" borderId="0" xfId="0" applyFont="1" applyFill="1"/>
    <xf numFmtId="0" fontId="3" fillId="0" borderId="1" xfId="0" applyFont="1" applyBorder="1"/>
    <xf numFmtId="0" fontId="0" fillId="0" borderId="1" xfId="0" applyBorder="1"/>
    <xf numFmtId="10" fontId="0" fillId="0" borderId="1" xfId="2" applyNumberFormat="1" applyFont="1" applyBorder="1"/>
    <xf numFmtId="164" fontId="0" fillId="0" borderId="1" xfId="1" applyNumberFormat="1" applyFont="1" applyBorder="1"/>
    <xf numFmtId="9" fontId="0" fillId="0" borderId="1" xfId="2" applyFont="1" applyBorder="1"/>
    <xf numFmtId="164" fontId="0" fillId="0" borderId="1" xfId="0" applyNumberFormat="1" applyBorder="1"/>
    <xf numFmtId="44" fontId="0" fillId="0" borderId="0" xfId="0" applyNumberFormat="1"/>
    <xf numFmtId="164" fontId="0" fillId="3" borderId="1" xfId="0" applyNumberFormat="1" applyFill="1" applyBorder="1"/>
  </cellXfs>
  <cellStyles count="3">
    <cellStyle name="Currency" xfId="1" builtinId="4"/>
    <cellStyle name="Normal" xfId="0" builtinId="0"/>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zoomScaleNormal="100" workbookViewId="0">
      <selection activeCell="C14" sqref="C14"/>
    </sheetView>
  </sheetViews>
  <sheetFormatPr defaultRowHeight="14.5"/>
  <cols>
    <col min="1" max="1" width="16.7265625" style="18" bestFit="1" customWidth="1"/>
    <col min="2" max="16384" width="8.7265625" style="18"/>
  </cols>
  <sheetData>
    <row r="1" spans="1:9">
      <c r="A1" s="17" t="s">
        <v>0</v>
      </c>
    </row>
    <row r="3" spans="1:9">
      <c r="A3" s="18" t="s">
        <v>1</v>
      </c>
      <c r="B3" s="19">
        <v>0.05</v>
      </c>
    </row>
    <row r="4" spans="1:9">
      <c r="A4" s="18" t="s">
        <v>2</v>
      </c>
      <c r="B4" s="19">
        <v>0.14000000000000001</v>
      </c>
    </row>
    <row r="6" spans="1:9">
      <c r="A6" s="18" t="s">
        <v>3</v>
      </c>
      <c r="B6" s="18">
        <v>1</v>
      </c>
      <c r="C6" s="18">
        <v>2</v>
      </c>
      <c r="D6" s="18">
        <v>3</v>
      </c>
      <c r="E6" s="18">
        <v>4</v>
      </c>
      <c r="F6" s="18">
        <v>5</v>
      </c>
    </row>
    <row r="7" spans="1:9">
      <c r="A7" s="18" t="s">
        <v>6</v>
      </c>
      <c r="B7" s="20">
        <v>1.2</v>
      </c>
      <c r="C7" s="20">
        <v>1.2</v>
      </c>
      <c r="D7" s="20">
        <v>1.2</v>
      </c>
      <c r="E7" s="20">
        <v>1.2</v>
      </c>
      <c r="F7" s="20">
        <v>10</v>
      </c>
      <c r="H7" s="21"/>
      <c r="I7" s="21"/>
    </row>
    <row r="8" spans="1:9">
      <c r="A8" s="18" t="s">
        <v>4</v>
      </c>
      <c r="B8" s="20"/>
      <c r="C8" s="20"/>
      <c r="D8" s="20"/>
      <c r="E8" s="20"/>
      <c r="F8" s="20">
        <v>21</v>
      </c>
    </row>
    <row r="9" spans="1:9">
      <c r="B9" s="20"/>
      <c r="C9" s="20"/>
      <c r="D9" s="20"/>
      <c r="E9" s="20"/>
      <c r="F9" s="20"/>
    </row>
    <row r="10" spans="1:9">
      <c r="A10" s="18" t="s">
        <v>7</v>
      </c>
      <c r="B10" s="20">
        <f>B7*EXP(-B6*$B$3)</f>
        <v>1.1414753094008567</v>
      </c>
      <c r="C10" s="20">
        <f t="shared" ref="C10:E10" si="0">C7*EXP(-C6*$B$3)</f>
        <v>1.0858049016431515</v>
      </c>
      <c r="D10" s="20">
        <f t="shared" si="0"/>
        <v>1.0328495717100694</v>
      </c>
      <c r="E10" s="20">
        <f t="shared" si="0"/>
        <v>0.9824769036935781</v>
      </c>
      <c r="F10" s="20">
        <f>F7*EXP(-F6*$B$3)</f>
        <v>7.788007830714049</v>
      </c>
    </row>
    <row r="11" spans="1:9">
      <c r="A11" s="18" t="s">
        <v>8</v>
      </c>
      <c r="B11" s="20">
        <f>B8*EXP(-B6*$B$4)</f>
        <v>0</v>
      </c>
      <c r="C11" s="20">
        <f>C8*EXP(-C6*$B$4)</f>
        <v>0</v>
      </c>
      <c r="D11" s="20">
        <f t="shared" ref="D11:E11" si="1">D8*EXP(-D6*$B$4)</f>
        <v>0</v>
      </c>
      <c r="E11" s="20">
        <f t="shared" si="1"/>
        <v>0</v>
      </c>
      <c r="F11" s="20">
        <f>F8*EXP(-F6*$B$4)</f>
        <v>10.4282913796196</v>
      </c>
    </row>
    <row r="12" spans="1:9">
      <c r="A12" s="18" t="s">
        <v>9</v>
      </c>
      <c r="B12" s="20">
        <f>B11-B10</f>
        <v>-1.1414753094008567</v>
      </c>
      <c r="C12" s="20">
        <f t="shared" ref="C12:F12" si="2">C11-C10</f>
        <v>-1.0858049016431515</v>
      </c>
      <c r="D12" s="20">
        <f t="shared" si="2"/>
        <v>-1.0328495717100694</v>
      </c>
      <c r="E12" s="20">
        <f t="shared" si="2"/>
        <v>-0.9824769036935781</v>
      </c>
      <c r="F12" s="20">
        <f t="shared" si="2"/>
        <v>2.6402835489055505</v>
      </c>
    </row>
    <row r="14" spans="1:9">
      <c r="A14" s="18" t="s">
        <v>5</v>
      </c>
      <c r="B14" s="22">
        <f>SUM(B12:F12)</f>
        <v>-1.602323137542105</v>
      </c>
    </row>
    <row r="15" spans="1:9">
      <c r="B15"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32"/>
  <sheetViews>
    <sheetView zoomScaleNormal="100" workbookViewId="0">
      <selection activeCell="B34" sqref="B34"/>
    </sheetView>
  </sheetViews>
  <sheetFormatPr defaultRowHeight="14.5"/>
  <cols>
    <col min="1" max="1" width="21.36328125" bestFit="1" customWidth="1"/>
  </cols>
  <sheetData>
    <row r="1" spans="1:9">
      <c r="A1" s="1" t="s">
        <v>0</v>
      </c>
    </row>
    <row r="3" spans="1:9">
      <c r="A3" t="s">
        <v>1</v>
      </c>
      <c r="B3" s="3">
        <f>'Classical NPV'!B3</f>
        <v>0.05</v>
      </c>
    </row>
    <row r="4" spans="1:9">
      <c r="A4" t="s">
        <v>2</v>
      </c>
      <c r="B4" s="3">
        <v>0.14000000000000001</v>
      </c>
    </row>
    <row r="5" spans="1:9">
      <c r="A5" t="s">
        <v>13</v>
      </c>
      <c r="B5" s="2">
        <v>0.1</v>
      </c>
      <c r="F5" s="2"/>
    </row>
    <row r="6" spans="1:9">
      <c r="A6" t="s">
        <v>14</v>
      </c>
      <c r="B6" s="2">
        <f>1-B5</f>
        <v>0.9</v>
      </c>
      <c r="F6" s="2"/>
    </row>
    <row r="7" spans="1:9">
      <c r="A7" t="s">
        <v>15</v>
      </c>
      <c r="B7" s="5">
        <v>210</v>
      </c>
      <c r="F7" s="2"/>
    </row>
    <row r="8" spans="1:9">
      <c r="A8" t="s">
        <v>16</v>
      </c>
      <c r="B8" s="5">
        <v>0</v>
      </c>
      <c r="F8" s="2"/>
    </row>
    <row r="10" spans="1:9">
      <c r="A10" t="s">
        <v>3</v>
      </c>
      <c r="B10">
        <v>1</v>
      </c>
      <c r="C10">
        <v>2</v>
      </c>
      <c r="D10">
        <v>3</v>
      </c>
      <c r="E10">
        <v>4</v>
      </c>
      <c r="F10">
        <v>5</v>
      </c>
    </row>
    <row r="11" spans="1:9">
      <c r="A11" t="s">
        <v>6</v>
      </c>
      <c r="B11" s="4">
        <v>1.2</v>
      </c>
      <c r="C11" s="4">
        <v>1.2</v>
      </c>
      <c r="D11" s="4">
        <v>1.2</v>
      </c>
      <c r="E11" s="4">
        <v>1.2</v>
      </c>
      <c r="F11" s="4">
        <v>10</v>
      </c>
      <c r="H11" s="2"/>
      <c r="I11" s="2"/>
    </row>
    <row r="12" spans="1:9">
      <c r="A12" t="s">
        <v>4</v>
      </c>
      <c r="B12" s="4"/>
      <c r="C12" s="4"/>
      <c r="D12" s="4"/>
      <c r="E12" s="4"/>
      <c r="F12" s="4">
        <f>B7</f>
        <v>210</v>
      </c>
    </row>
    <row r="13" spans="1:9">
      <c r="B13" s="4"/>
      <c r="C13" s="4"/>
      <c r="D13" s="4"/>
      <c r="E13" s="4"/>
      <c r="F13" s="4"/>
    </row>
    <row r="14" spans="1:9">
      <c r="A14" t="s">
        <v>7</v>
      </c>
      <c r="B14" s="4">
        <f>B11*EXP(-B10*$B$3)</f>
        <v>1.1414753094008567</v>
      </c>
      <c r="C14" s="4">
        <f t="shared" ref="C14:E14" si="0">C11*EXP(-C10*$B$3)</f>
        <v>1.0858049016431515</v>
      </c>
      <c r="D14" s="4">
        <f t="shared" si="0"/>
        <v>1.0328495717100694</v>
      </c>
      <c r="E14" s="4">
        <f t="shared" si="0"/>
        <v>0.9824769036935781</v>
      </c>
      <c r="F14" s="4">
        <f>F11*EXP(-F10*$B$3)</f>
        <v>7.788007830714049</v>
      </c>
    </row>
    <row r="15" spans="1:9">
      <c r="A15" t="s">
        <v>8</v>
      </c>
      <c r="B15" s="4">
        <f>B12*EXP(-B10*$B$3)</f>
        <v>0</v>
      </c>
      <c r="C15" s="4">
        <f>C12*EXP(-C10*$B$3)</f>
        <v>0</v>
      </c>
      <c r="D15" s="4">
        <f>D12*EXP(-D10*$B$3)</f>
        <v>0</v>
      </c>
      <c r="E15" s="4">
        <f>E12*EXP(-E10*$B$3)</f>
        <v>0</v>
      </c>
      <c r="F15" s="4">
        <f>F12*EXP(-F10*$B$3)</f>
        <v>163.54816444499502</v>
      </c>
    </row>
    <row r="16" spans="1:9">
      <c r="A16" t="s">
        <v>9</v>
      </c>
      <c r="B16" s="4">
        <f>B15-B14</f>
        <v>-1.1414753094008567</v>
      </c>
      <c r="C16" s="4">
        <f t="shared" ref="C16:F16" si="1">C15-C14</f>
        <v>-1.0858049016431515</v>
      </c>
      <c r="D16" s="4">
        <f t="shared" si="1"/>
        <v>-1.0328495717100694</v>
      </c>
      <c r="E16" s="4">
        <f t="shared" si="1"/>
        <v>-0.9824769036935781</v>
      </c>
      <c r="F16" s="4">
        <f t="shared" si="1"/>
        <v>155.76015661428099</v>
      </c>
      <c r="H16" s="9"/>
    </row>
    <row r="17" spans="1:8">
      <c r="H17" s="9"/>
    </row>
    <row r="18" spans="1:8">
      <c r="A18" t="s">
        <v>5</v>
      </c>
      <c r="B18" s="6">
        <f>SUM(B16:F16)</f>
        <v>151.51754992783333</v>
      </c>
      <c r="D18" t="s">
        <v>10</v>
      </c>
    </row>
    <row r="20" spans="1:8">
      <c r="A20" t="s">
        <v>3</v>
      </c>
      <c r="B20">
        <v>1</v>
      </c>
      <c r="C20">
        <v>2</v>
      </c>
      <c r="D20">
        <v>3</v>
      </c>
      <c r="E20">
        <v>4</v>
      </c>
      <c r="F20">
        <v>5</v>
      </c>
    </row>
    <row r="21" spans="1:8">
      <c r="A21" t="s">
        <v>6</v>
      </c>
      <c r="B21" s="4">
        <v>1.2</v>
      </c>
      <c r="C21" s="4">
        <v>1.2</v>
      </c>
      <c r="D21" s="4">
        <v>1.2</v>
      </c>
      <c r="E21" s="4">
        <v>1.2</v>
      </c>
      <c r="F21" s="4">
        <v>0</v>
      </c>
    </row>
    <row r="22" spans="1:8">
      <c r="A22" t="s">
        <v>4</v>
      </c>
      <c r="B22" s="4"/>
      <c r="C22" s="4"/>
      <c r="D22" s="4"/>
      <c r="E22" s="4"/>
      <c r="F22" s="4">
        <f>B8</f>
        <v>0</v>
      </c>
    </row>
    <row r="23" spans="1:8">
      <c r="B23" s="4"/>
      <c r="C23" s="4"/>
      <c r="D23" s="4"/>
      <c r="E23" s="4"/>
      <c r="F23" s="4"/>
    </row>
    <row r="24" spans="1:8">
      <c r="A24" t="s">
        <v>7</v>
      </c>
      <c r="B24" s="4">
        <f>B21*EXP(-B20*$B$3)</f>
        <v>1.1414753094008567</v>
      </c>
      <c r="C24" s="4">
        <f t="shared" ref="C24:E24" si="2">C21*EXP(-C20*$B$3)</f>
        <v>1.0858049016431515</v>
      </c>
      <c r="D24" s="4">
        <f t="shared" si="2"/>
        <v>1.0328495717100694</v>
      </c>
      <c r="E24" s="4">
        <f t="shared" si="2"/>
        <v>0.9824769036935781</v>
      </c>
      <c r="F24" s="4">
        <f>F21*EXP(-F20*$B$3)</f>
        <v>0</v>
      </c>
    </row>
    <row r="25" spans="1:8">
      <c r="A25" t="s">
        <v>8</v>
      </c>
      <c r="B25" s="4">
        <f>B22*EXP(-B20*$B$3)</f>
        <v>0</v>
      </c>
      <c r="C25" s="4">
        <f>C22*EXP(-C20*$B$3)</f>
        <v>0</v>
      </c>
      <c r="D25" s="4">
        <f>D22*EXP(-D20*$B$3)</f>
        <v>0</v>
      </c>
      <c r="E25" s="4">
        <f>E22*EXP(-E20*$B$3)</f>
        <v>0</v>
      </c>
      <c r="F25" s="4">
        <f>F22*EXP(-F20*$B$3)</f>
        <v>0</v>
      </c>
    </row>
    <row r="26" spans="1:8">
      <c r="A26" t="s">
        <v>9</v>
      </c>
      <c r="B26" s="4">
        <f>B25-B24</f>
        <v>-1.1414753094008567</v>
      </c>
      <c r="C26" s="4">
        <f t="shared" ref="C26" si="3">C25-C24</f>
        <v>-1.0858049016431515</v>
      </c>
      <c r="D26" s="4">
        <f t="shared" ref="D26" si="4">D25-D24</f>
        <v>-1.0328495717100694</v>
      </c>
      <c r="E26" s="4">
        <f t="shared" ref="E26" si="5">E25-E24</f>
        <v>-0.9824769036935781</v>
      </c>
      <c r="F26" s="4">
        <f t="shared" ref="F26" si="6">F25-F24</f>
        <v>0</v>
      </c>
    </row>
    <row r="28" spans="1:8">
      <c r="A28" t="s">
        <v>5</v>
      </c>
      <c r="B28" s="6">
        <f>SUM(B26:F26)</f>
        <v>-4.2426066864476555</v>
      </c>
      <c r="D28" t="s">
        <v>11</v>
      </c>
    </row>
    <row r="30" spans="1:8">
      <c r="A30" t="s">
        <v>12</v>
      </c>
      <c r="B30" s="7">
        <f>B5*B18+B6*B28</f>
        <v>11.333408974980443</v>
      </c>
    </row>
    <row r="32" spans="1:8">
      <c r="A32" t="s">
        <v>17</v>
      </c>
      <c r="B32" s="8">
        <f>B5*F16+B6*F26</f>
        <v>15.5760156614281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8"/>
  <sheetViews>
    <sheetView workbookViewId="0">
      <selection activeCell="B15" sqref="B15"/>
    </sheetView>
  </sheetViews>
  <sheetFormatPr defaultRowHeight="14.5"/>
  <cols>
    <col min="1" max="1" width="16.08984375" bestFit="1" customWidth="1"/>
    <col min="5" max="5" width="8" bestFit="1" customWidth="1"/>
    <col min="6" max="6" width="11.08984375" bestFit="1" customWidth="1"/>
  </cols>
  <sheetData>
    <row r="1" spans="1:6">
      <c r="A1" s="16" t="s">
        <v>32</v>
      </c>
    </row>
    <row r="2" spans="1:6">
      <c r="E2" t="s">
        <v>22</v>
      </c>
      <c r="F2" t="s">
        <v>45</v>
      </c>
    </row>
    <row r="3" spans="1:6">
      <c r="A3" t="s">
        <v>18</v>
      </c>
      <c r="B3" s="9">
        <f>'Classical NPV'!F11</f>
        <v>10.4282913796196</v>
      </c>
      <c r="F3" s="23">
        <f>B15</f>
        <v>4.2725451225406585</v>
      </c>
    </row>
    <row r="4" spans="1:6">
      <c r="A4" t="s">
        <v>19</v>
      </c>
      <c r="B4" s="9">
        <f>'Classical NPV'!F7</f>
        <v>10</v>
      </c>
      <c r="E4" s="2">
        <v>0.1</v>
      </c>
      <c r="F4" s="9">
        <f t="dataTable" ref="F4:F18" dt2D="0" dtr="0" r1="B7"/>
        <v>2.7305535336475781</v>
      </c>
    </row>
    <row r="5" spans="1:6">
      <c r="A5" t="s">
        <v>20</v>
      </c>
      <c r="B5">
        <v>5</v>
      </c>
      <c r="E5" s="2">
        <v>0.15</v>
      </c>
      <c r="F5" s="9">
        <v>2.9579684379359712</v>
      </c>
    </row>
    <row r="6" spans="1:6">
      <c r="A6" t="s">
        <v>21</v>
      </c>
      <c r="B6" s="10">
        <f>'Classical NPV'!B3</f>
        <v>0.05</v>
      </c>
      <c r="E6" s="2">
        <v>0.2</v>
      </c>
      <c r="F6" s="9">
        <v>3.2550385125462888</v>
      </c>
    </row>
    <row r="7" spans="1:6">
      <c r="A7" t="s">
        <v>22</v>
      </c>
      <c r="B7" s="2">
        <v>0.35</v>
      </c>
      <c r="E7" s="2">
        <v>0.25</v>
      </c>
      <c r="F7" s="9">
        <v>3.5834583653347636</v>
      </c>
    </row>
    <row r="8" spans="1:6">
      <c r="A8" t="s">
        <v>23</v>
      </c>
      <c r="B8">
        <v>0</v>
      </c>
      <c r="E8" s="2">
        <v>0.3</v>
      </c>
      <c r="F8" s="9">
        <v>3.925642726040615</v>
      </c>
    </row>
    <row r="9" spans="1:6">
      <c r="E9" s="2">
        <v>0.35</v>
      </c>
      <c r="F9" s="9">
        <v>4.2725451225406585</v>
      </c>
    </row>
    <row r="10" spans="1:6">
      <c r="A10" t="s">
        <v>39</v>
      </c>
      <c r="B10" s="13">
        <f>(LN(B3/B4)+(B6-B8+B7^2/2)*B5)/(B7*SQRT(B5))</f>
        <v>0.76433575205427873</v>
      </c>
      <c r="E10" s="2">
        <v>0.4</v>
      </c>
      <c r="F10" s="9">
        <v>4.6188992890129246</v>
      </c>
    </row>
    <row r="11" spans="1:6">
      <c r="A11" t="s">
        <v>40</v>
      </c>
      <c r="B11" s="13">
        <f>B10-B7*SQRT(B5)</f>
        <v>-1.828804007064766E-2</v>
      </c>
      <c r="E11" s="2">
        <v>0.45</v>
      </c>
      <c r="F11" s="9">
        <v>4.9613054814280115</v>
      </c>
    </row>
    <row r="12" spans="1:6">
      <c r="A12" s="12" t="s">
        <v>41</v>
      </c>
      <c r="B12" s="13">
        <f>NORMDIST(B10,0,1,1)</f>
        <v>0.77766640750082705</v>
      </c>
      <c r="E12" s="2">
        <v>0.5</v>
      </c>
      <c r="F12" s="9">
        <v>5.2973864686934267</v>
      </c>
    </row>
    <row r="13" spans="1:6">
      <c r="A13" s="12" t="s">
        <v>42</v>
      </c>
      <c r="B13" s="13">
        <f>NORMDIST(B11,0,1,1)</f>
        <v>0.4927045342567592</v>
      </c>
      <c r="E13" s="2">
        <v>0.55000000000000004</v>
      </c>
      <c r="F13" s="9">
        <v>5.6253819232293356</v>
      </c>
    </row>
    <row r="14" spans="1:6">
      <c r="E14" s="2">
        <v>0.6</v>
      </c>
      <c r="F14" s="9">
        <v>5.9439388126261621</v>
      </c>
    </row>
    <row r="15" spans="1:6">
      <c r="A15" t="s">
        <v>27</v>
      </c>
      <c r="B15" s="24">
        <f>B3*EXP(-B8*B5)*B12-B4*EXP(-B6*B5)*B13</f>
        <v>4.2725451225406585</v>
      </c>
      <c r="E15" s="2">
        <v>0.65</v>
      </c>
      <c r="F15" s="9">
        <v>6.2519961369164179</v>
      </c>
    </row>
    <row r="16" spans="1:6">
      <c r="E16" s="2">
        <v>0.7</v>
      </c>
      <c r="F16" s="9">
        <v>6.5487178723398536</v>
      </c>
    </row>
    <row r="17" spans="5:6">
      <c r="E17" s="2">
        <v>0.75</v>
      </c>
      <c r="F17" s="9">
        <v>6.8334517179280105</v>
      </c>
    </row>
    <row r="18" spans="5:6">
      <c r="E18" s="2">
        <v>0.8</v>
      </c>
      <c r="F18" s="9">
        <v>7.1057021329205838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
  <sheetViews>
    <sheetView workbookViewId="0">
      <selection activeCell="B15" sqref="B15"/>
    </sheetView>
  </sheetViews>
  <sheetFormatPr defaultRowHeight="14.5"/>
  <cols>
    <col min="1" max="1" width="16.08984375" bestFit="1" customWidth="1"/>
  </cols>
  <sheetData>
    <row r="1" spans="1:2">
      <c r="A1" s="16" t="s">
        <v>32</v>
      </c>
    </row>
    <row r="3" spans="1:2">
      <c r="A3" t="s">
        <v>18</v>
      </c>
      <c r="B3" s="9">
        <f>'Classical NPV'!F11</f>
        <v>10.4282913796196</v>
      </c>
    </row>
    <row r="4" spans="1:2">
      <c r="A4" t="s">
        <v>19</v>
      </c>
      <c r="B4" s="9">
        <f>'Classical NPV'!F7</f>
        <v>10</v>
      </c>
    </row>
    <row r="5" spans="1:2">
      <c r="A5" t="s">
        <v>20</v>
      </c>
      <c r="B5">
        <v>5</v>
      </c>
    </row>
    <row r="6" spans="1:2">
      <c r="A6" t="s">
        <v>21</v>
      </c>
      <c r="B6" s="10">
        <f>'Classical NPV'!B3</f>
        <v>0.05</v>
      </c>
    </row>
    <row r="7" spans="1:2">
      <c r="A7" t="s">
        <v>22</v>
      </c>
      <c r="B7" s="2">
        <v>0.35</v>
      </c>
    </row>
    <row r="8" spans="1:2">
      <c r="A8" t="s">
        <v>23</v>
      </c>
      <c r="B8">
        <v>0</v>
      </c>
    </row>
    <row r="10" spans="1:2">
      <c r="A10" t="s">
        <v>24</v>
      </c>
      <c r="B10" s="11" t="e">
        <f ca="1">B3*EXP((B6-0.5*B7^2)*B5+B7*SQRT(B5)*RiskNormal(0,1))</f>
        <v>#NAME?</v>
      </c>
    </row>
    <row r="11" spans="1:2">
      <c r="A11" t="s">
        <v>25</v>
      </c>
      <c r="B11" s="11" t="e">
        <f ca="1">RiskOutput("Discounted payoff (call)")+EXP(-B6*B5)*MAX(B10-B4,0)</f>
        <v>#NAME?</v>
      </c>
    </row>
    <row r="12" spans="1:2">
      <c r="A12" t="s">
        <v>26</v>
      </c>
      <c r="B12" s="11" t="e">
        <f ca="1">RiskOutput("Discounted payoff (call)")+EXP(-B6*B5)*MAX(B10-B4,0)</f>
        <v>#NAME?</v>
      </c>
    </row>
    <row r="13" spans="1:2">
      <c r="A13" s="12"/>
      <c r="B13" s="13"/>
    </row>
    <row r="15" spans="1:2">
      <c r="A15" t="s">
        <v>27</v>
      </c>
      <c r="B15" s="14" t="e">
        <f ca="1">RiskMean(B11)</f>
        <v>#NAME?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4"/>
  <sheetViews>
    <sheetView workbookViewId="0">
      <selection activeCell="N16" sqref="N16"/>
    </sheetView>
  </sheetViews>
  <sheetFormatPr defaultRowHeight="14.5"/>
  <cols>
    <col min="1" max="1" width="16.7265625" style="18" bestFit="1" customWidth="1"/>
    <col min="2" max="16384" width="8.7265625" style="18"/>
  </cols>
  <sheetData>
    <row r="1" spans="1:12">
      <c r="A1" s="17" t="s">
        <v>50</v>
      </c>
    </row>
    <row r="3" spans="1:12">
      <c r="A3" s="18" t="s">
        <v>1</v>
      </c>
      <c r="B3" s="19">
        <v>0.05</v>
      </c>
    </row>
    <row r="4" spans="1:12">
      <c r="A4" s="18" t="s">
        <v>2</v>
      </c>
      <c r="B4" s="19">
        <v>0.1</v>
      </c>
    </row>
    <row r="6" spans="1:12">
      <c r="A6" s="18" t="s">
        <v>3</v>
      </c>
      <c r="B6" s="18">
        <v>0</v>
      </c>
      <c r="C6" s="18">
        <v>1</v>
      </c>
      <c r="D6" s="18">
        <v>2</v>
      </c>
      <c r="E6" s="18">
        <v>3</v>
      </c>
      <c r="F6" s="18">
        <v>4</v>
      </c>
      <c r="G6" s="18">
        <v>5</v>
      </c>
      <c r="H6" s="18">
        <v>6</v>
      </c>
      <c r="I6" s="18">
        <v>7</v>
      </c>
      <c r="J6" s="18">
        <v>8</v>
      </c>
      <c r="K6" s="18">
        <v>9</v>
      </c>
      <c r="L6" s="18">
        <v>10</v>
      </c>
    </row>
    <row r="7" spans="1:12">
      <c r="A7" s="18" t="s">
        <v>6</v>
      </c>
      <c r="B7" s="22">
        <v>50</v>
      </c>
      <c r="C7" s="20">
        <v>2.5</v>
      </c>
      <c r="D7" s="20">
        <v>2.5</v>
      </c>
      <c r="E7" s="20">
        <v>0</v>
      </c>
      <c r="F7" s="20">
        <v>0</v>
      </c>
      <c r="G7" s="20">
        <v>0</v>
      </c>
      <c r="H7" s="20">
        <v>0</v>
      </c>
      <c r="I7" s="20">
        <v>0</v>
      </c>
      <c r="J7" s="20">
        <v>0</v>
      </c>
      <c r="K7" s="20">
        <v>0</v>
      </c>
      <c r="L7" s="20">
        <v>0</v>
      </c>
    </row>
    <row r="8" spans="1:12">
      <c r="A8" s="18" t="s">
        <v>4</v>
      </c>
      <c r="B8" s="22">
        <v>0</v>
      </c>
      <c r="C8" s="20">
        <v>0</v>
      </c>
      <c r="D8" s="20">
        <v>0</v>
      </c>
      <c r="E8" s="20">
        <v>8</v>
      </c>
      <c r="F8" s="20">
        <v>8</v>
      </c>
      <c r="G8" s="20">
        <v>8</v>
      </c>
      <c r="H8" s="20">
        <v>8</v>
      </c>
      <c r="I8" s="20">
        <v>8</v>
      </c>
      <c r="J8" s="20">
        <v>8</v>
      </c>
      <c r="K8" s="20">
        <v>8</v>
      </c>
      <c r="L8" s="20">
        <v>8</v>
      </c>
    </row>
    <row r="9" spans="1:12">
      <c r="C9" s="20"/>
      <c r="D9" s="20"/>
      <c r="E9" s="20"/>
      <c r="F9" s="20"/>
      <c r="G9" s="20"/>
    </row>
    <row r="10" spans="1:12">
      <c r="A10" s="18" t="s">
        <v>7</v>
      </c>
      <c r="B10" s="20">
        <f>B7*EXP(-B6*$B$4)</f>
        <v>50</v>
      </c>
      <c r="C10" s="20">
        <f>C7*EXP(-C6*$B$4)</f>
        <v>2.2620935450898987</v>
      </c>
      <c r="D10" s="20">
        <f t="shared" ref="D10:L10" si="0">D7*EXP(-D6*$B$4)</f>
        <v>2.0468268826949547</v>
      </c>
      <c r="E10" s="20">
        <f t="shared" si="0"/>
        <v>0</v>
      </c>
      <c r="F10" s="20">
        <f t="shared" si="0"/>
        <v>0</v>
      </c>
      <c r="G10" s="20">
        <f t="shared" si="0"/>
        <v>0</v>
      </c>
      <c r="H10" s="20">
        <f t="shared" si="0"/>
        <v>0</v>
      </c>
      <c r="I10" s="20">
        <f t="shared" si="0"/>
        <v>0</v>
      </c>
      <c r="J10" s="20">
        <f t="shared" si="0"/>
        <v>0</v>
      </c>
      <c r="K10" s="20">
        <f t="shared" si="0"/>
        <v>0</v>
      </c>
      <c r="L10" s="20">
        <f t="shared" si="0"/>
        <v>0</v>
      </c>
    </row>
    <row r="11" spans="1:12">
      <c r="A11" s="18" t="s">
        <v>8</v>
      </c>
      <c r="B11" s="20">
        <f>B8*EXP(-B6*$B$4)</f>
        <v>0</v>
      </c>
      <c r="C11" s="20">
        <f>C8*EXP(-C6*$B$4)</f>
        <v>0</v>
      </c>
      <c r="D11" s="20">
        <f>D8*EXP(-D6*$B$4)</f>
        <v>0</v>
      </c>
      <c r="E11" s="20">
        <f t="shared" ref="E11:F11" si="1">E8*EXP(-E6*$B$4)</f>
        <v>5.926545765453743</v>
      </c>
      <c r="F11" s="20">
        <f t="shared" si="1"/>
        <v>5.3625603682851146</v>
      </c>
      <c r="G11" s="20">
        <f>G8*EXP(-G6*$B$4)</f>
        <v>4.8522452777010674</v>
      </c>
      <c r="H11" s="20">
        <f t="shared" ref="H11:L11" si="2">H8*EXP(-H6*$B$4)</f>
        <v>4.3904930887522111</v>
      </c>
      <c r="I11" s="20">
        <f t="shared" si="2"/>
        <v>3.9726824303312758</v>
      </c>
      <c r="J11" s="20">
        <f t="shared" si="2"/>
        <v>3.5946317129377725</v>
      </c>
      <c r="K11" s="20">
        <f t="shared" si="2"/>
        <v>3.2525572779247929</v>
      </c>
      <c r="L11" s="20">
        <f t="shared" si="2"/>
        <v>2.9430355293715387</v>
      </c>
    </row>
    <row r="12" spans="1:12">
      <c r="A12" s="18" t="s">
        <v>9</v>
      </c>
      <c r="B12" s="20">
        <f>B11-B10</f>
        <v>-50</v>
      </c>
      <c r="C12" s="20">
        <f>C11-C10</f>
        <v>-2.2620935450898987</v>
      </c>
      <c r="D12" s="20">
        <f t="shared" ref="D12:G12" si="3">D11-D10</f>
        <v>-2.0468268826949547</v>
      </c>
      <c r="E12" s="20">
        <f t="shared" si="3"/>
        <v>5.926545765453743</v>
      </c>
      <c r="F12" s="20">
        <f t="shared" si="3"/>
        <v>5.3625603682851146</v>
      </c>
      <c r="G12" s="20">
        <f t="shared" si="3"/>
        <v>4.8522452777010674</v>
      </c>
      <c r="H12" s="20">
        <f t="shared" ref="H12:L12" si="4">H11-H10</f>
        <v>4.3904930887522111</v>
      </c>
      <c r="I12" s="20">
        <f t="shared" si="4"/>
        <v>3.9726824303312758</v>
      </c>
      <c r="J12" s="20">
        <f t="shared" si="4"/>
        <v>3.5946317129377725</v>
      </c>
      <c r="K12" s="20">
        <f t="shared" si="4"/>
        <v>3.2525572779247929</v>
      </c>
      <c r="L12" s="20">
        <f t="shared" si="4"/>
        <v>2.9430355293715387</v>
      </c>
    </row>
    <row r="14" spans="1:12">
      <c r="A14" s="18" t="s">
        <v>5</v>
      </c>
      <c r="B14" s="22">
        <f>SUM(B12:L12)</f>
        <v>-20.014168977027339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8"/>
  <sheetViews>
    <sheetView workbookViewId="0">
      <selection activeCell="G18" sqref="G18"/>
    </sheetView>
  </sheetViews>
  <sheetFormatPr defaultRowHeight="14.5"/>
  <cols>
    <col min="1" max="1" width="16.08984375" bestFit="1" customWidth="1"/>
    <col min="5" max="5" width="8" bestFit="1" customWidth="1"/>
    <col min="6" max="6" width="11.08984375" bestFit="1" customWidth="1"/>
  </cols>
  <sheetData>
    <row r="1" spans="1:6">
      <c r="A1" s="16" t="s">
        <v>49</v>
      </c>
    </row>
    <row r="2" spans="1:6">
      <c r="E2" t="s">
        <v>22</v>
      </c>
      <c r="F2" t="s">
        <v>45</v>
      </c>
    </row>
    <row r="3" spans="1:6">
      <c r="A3" t="s">
        <v>18</v>
      </c>
      <c r="B3" s="9">
        <f>SUM(Abandon!E11:L11)</f>
        <v>34.294751450757516</v>
      </c>
      <c r="F3" s="23">
        <f>B15</f>
        <v>30.212186762450212</v>
      </c>
    </row>
    <row r="4" spans="1:6">
      <c r="A4" t="s">
        <v>19</v>
      </c>
      <c r="B4" s="9">
        <v>70</v>
      </c>
      <c r="E4" s="2">
        <v>0.1</v>
      </c>
      <c r="F4" s="9">
        <f t="dataTable" ref="F4:F18" dt2D="0" dtr="0" r1="B7"/>
        <v>29.043877771702626</v>
      </c>
    </row>
    <row r="5" spans="1:6">
      <c r="A5" t="s">
        <v>20</v>
      </c>
      <c r="B5">
        <v>2</v>
      </c>
      <c r="E5" s="2">
        <v>0.15</v>
      </c>
      <c r="F5" s="9">
        <v>29.049344632424329</v>
      </c>
    </row>
    <row r="6" spans="1:6">
      <c r="A6" t="s">
        <v>21</v>
      </c>
      <c r="B6" s="10">
        <f>'Classical NPV'!B3</f>
        <v>0.05</v>
      </c>
      <c r="E6" s="2">
        <v>0.2</v>
      </c>
      <c r="F6" s="9">
        <v>29.113627087662017</v>
      </c>
    </row>
    <row r="7" spans="1:6">
      <c r="A7" t="s">
        <v>22</v>
      </c>
      <c r="B7" s="2">
        <v>0.35</v>
      </c>
      <c r="E7" s="2">
        <v>0.25</v>
      </c>
      <c r="F7" s="9">
        <v>29.317029866673828</v>
      </c>
    </row>
    <row r="8" spans="1:6">
      <c r="A8" t="s">
        <v>23</v>
      </c>
      <c r="B8">
        <v>0</v>
      </c>
      <c r="E8" s="2">
        <v>0.3</v>
      </c>
      <c r="F8" s="9">
        <v>29.688038259971087</v>
      </c>
    </row>
    <row r="9" spans="1:6">
      <c r="E9" s="2">
        <v>0.35</v>
      </c>
      <c r="F9" s="9">
        <v>30.212186762450212</v>
      </c>
    </row>
    <row r="10" spans="1:6">
      <c r="A10" t="s">
        <v>39</v>
      </c>
      <c r="B10" s="13">
        <f>(LN(B3/B4)+(B6-B8+B7^2/2)*B5)/(B7*SQRT(B5))</f>
        <v>-0.99197569503978156</v>
      </c>
      <c r="E10" s="2">
        <v>0.4</v>
      </c>
      <c r="F10" s="9">
        <v>30.861088196610059</v>
      </c>
    </row>
    <row r="11" spans="1:6">
      <c r="A11" t="s">
        <v>40</v>
      </c>
      <c r="B11" s="13">
        <f>B10-B7*SQRT(B5)</f>
        <v>-1.486950441870365</v>
      </c>
      <c r="E11" s="2">
        <v>0.45</v>
      </c>
      <c r="F11" s="9">
        <v>31.606519476306797</v>
      </c>
    </row>
    <row r="12" spans="1:6">
      <c r="A12" s="12" t="s">
        <v>46</v>
      </c>
      <c r="B12" s="13">
        <f>NORMDIST(-B10,0,1,1)</f>
        <v>0.83939530908392568</v>
      </c>
      <c r="E12" s="2">
        <v>0.5</v>
      </c>
      <c r="F12" s="9">
        <v>32.424615255313896</v>
      </c>
    </row>
    <row r="13" spans="1:6">
      <c r="A13" s="12" t="s">
        <v>47</v>
      </c>
      <c r="B13" s="13">
        <f>NORMDIST(-B11,0,1,1)</f>
        <v>0.93148604979663596</v>
      </c>
      <c r="E13" s="2">
        <v>0.55000000000000004</v>
      </c>
      <c r="F13" s="9">
        <v>33.296265095537876</v>
      </c>
    </row>
    <row r="14" spans="1:6">
      <c r="E14" s="2">
        <v>0.6</v>
      </c>
      <c r="F14" s="9">
        <v>34.2064106809988</v>
      </c>
    </row>
    <row r="15" spans="1:6">
      <c r="A15" t="s">
        <v>48</v>
      </c>
      <c r="B15" s="14">
        <f>B4*EXP(-B6*B5)*B13-B3*EXP(-B8*B5)*B12</f>
        <v>30.212186762450212</v>
      </c>
      <c r="E15" s="2">
        <v>0.65</v>
      </c>
      <c r="F15" s="9">
        <v>35.143185223459504</v>
      </c>
    </row>
    <row r="16" spans="1:6">
      <c r="E16" s="2">
        <v>0.7</v>
      </c>
      <c r="F16" s="9">
        <v>36.097168417787273</v>
      </c>
    </row>
    <row r="17" spans="5:6">
      <c r="E17" s="2">
        <v>0.75</v>
      </c>
      <c r="F17" s="9">
        <v>37.060804782074477</v>
      </c>
    </row>
    <row r="18" spans="5:6">
      <c r="E18" s="2">
        <v>0.8</v>
      </c>
      <c r="F18" s="9">
        <v>38.027966900293904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4"/>
  <sheetViews>
    <sheetView workbookViewId="0">
      <selection activeCell="E6" sqref="E6"/>
    </sheetView>
  </sheetViews>
  <sheetFormatPr defaultRowHeight="14.5"/>
  <cols>
    <col min="1" max="1" width="16.08984375" bestFit="1" customWidth="1"/>
    <col min="7" max="7" width="10.26953125" customWidth="1"/>
    <col min="8" max="8" width="9.6328125" customWidth="1"/>
  </cols>
  <sheetData>
    <row r="1" spans="1:8">
      <c r="A1" s="1" t="s">
        <v>31</v>
      </c>
    </row>
    <row r="3" spans="1:8">
      <c r="A3" t="s">
        <v>18</v>
      </c>
      <c r="B3" s="11">
        <f>'Classical NPV'!F11</f>
        <v>10.4282913796196</v>
      </c>
      <c r="D3" t="s">
        <v>28</v>
      </c>
      <c r="E3" s="15">
        <f>EXP(B7*SQRT(H3))</f>
        <v>1.4190675485932571</v>
      </c>
      <c r="G3" t="s">
        <v>34</v>
      </c>
      <c r="H3">
        <v>1</v>
      </c>
    </row>
    <row r="4" spans="1:8">
      <c r="A4" t="s">
        <v>19</v>
      </c>
      <c r="B4" s="11">
        <f>'Expansion Simulation'!B4</f>
        <v>10</v>
      </c>
      <c r="D4" t="s">
        <v>29</v>
      </c>
      <c r="E4" s="15">
        <f>1/E3</f>
        <v>0.70468808971871355</v>
      </c>
      <c r="G4" t="s">
        <v>35</v>
      </c>
      <c r="H4" s="13">
        <f>EXP(-B6*H3)</f>
        <v>0.95122942450071402</v>
      </c>
    </row>
    <row r="5" spans="1:8">
      <c r="A5" t="s">
        <v>20</v>
      </c>
      <c r="B5" s="15">
        <f>'Expansion Simulation'!B5</f>
        <v>5</v>
      </c>
      <c r="D5" t="s">
        <v>30</v>
      </c>
      <c r="E5" s="3">
        <f>(EXP($B$6*H3)-E4)/(E3-E4)</f>
        <v>0.48515253672513009</v>
      </c>
      <c r="G5" t="s">
        <v>43</v>
      </c>
      <c r="H5" s="4">
        <v>1.2</v>
      </c>
    </row>
    <row r="6" spans="1:8">
      <c r="A6" t="s">
        <v>21</v>
      </c>
      <c r="B6" s="3">
        <f>'Expansion Simulation'!B6</f>
        <v>0.05</v>
      </c>
    </row>
    <row r="7" spans="1:8">
      <c r="A7" t="s">
        <v>22</v>
      </c>
      <c r="B7" s="3">
        <f>'Expansion Simulation'!B7</f>
        <v>0.35</v>
      </c>
    </row>
    <row r="9" spans="1:8">
      <c r="A9" t="s">
        <v>33</v>
      </c>
    </row>
    <row r="10" spans="1:8">
      <c r="A10" t="s">
        <v>36</v>
      </c>
      <c r="B10">
        <v>0</v>
      </c>
      <c r="C10">
        <v>1</v>
      </c>
      <c r="D10">
        <v>2</v>
      </c>
      <c r="E10">
        <v>3</v>
      </c>
      <c r="F10">
        <v>4</v>
      </c>
      <c r="G10">
        <v>5</v>
      </c>
    </row>
    <row r="11" spans="1:8">
      <c r="A11">
        <v>0</v>
      </c>
      <c r="B11" s="9">
        <f>B3</f>
        <v>10.4282913796196</v>
      </c>
      <c r="C11" s="9">
        <f>B11*$E$3</f>
        <v>14.79844988409298</v>
      </c>
      <c r="D11" s="9">
        <f>C11*$E$3</f>
        <v>20.999999999999996</v>
      </c>
      <c r="E11" s="9">
        <f>D11*$E$3</f>
        <v>29.800418520458393</v>
      </c>
      <c r="F11" s="9">
        <f>E11*$E$3</f>
        <v>42.288806856879994</v>
      </c>
      <c r="G11" s="9">
        <f>F11*$E$3</f>
        <v>60.010673479326414</v>
      </c>
    </row>
    <row r="12" spans="1:8">
      <c r="A12">
        <v>1</v>
      </c>
      <c r="B12" s="9"/>
      <c r="C12" s="9">
        <f>B11*$E$4</f>
        <v>7.3486927313342632</v>
      </c>
      <c r="D12" s="9">
        <f>C11*$E$4</f>
        <v>10.4282913796196</v>
      </c>
      <c r="E12" s="9">
        <f>D11*$E$4</f>
        <v>14.798449884092982</v>
      </c>
      <c r="F12" s="9">
        <f>E11*$E$4</f>
        <v>20.999999999999996</v>
      </c>
      <c r="G12" s="9">
        <f>F11*$E$4</f>
        <v>29.800418520458397</v>
      </c>
    </row>
    <row r="13" spans="1:8">
      <c r="A13">
        <v>2</v>
      </c>
      <c r="B13" s="9"/>
      <c r="C13" s="9"/>
      <c r="D13" s="9">
        <f>C12*$E$4</f>
        <v>5.1785362427737374</v>
      </c>
      <c r="E13" s="9">
        <f>D12*$E$4</f>
        <v>7.3486927313342632</v>
      </c>
      <c r="F13" s="9">
        <f>E12*$E$4</f>
        <v>10.428291379619601</v>
      </c>
      <c r="G13" s="9">
        <f>F12*$E$4</f>
        <v>14.798449884092982</v>
      </c>
    </row>
    <row r="14" spans="1:8">
      <c r="A14">
        <v>3</v>
      </c>
      <c r="B14" s="9"/>
      <c r="C14" s="9"/>
      <c r="D14" s="9"/>
      <c r="E14" s="9">
        <f>D13*$E$4</f>
        <v>3.6492528124593493</v>
      </c>
      <c r="F14" s="9">
        <f>E13*$E$4</f>
        <v>5.1785362427737374</v>
      </c>
      <c r="G14" s="9">
        <f>F13*$E$4</f>
        <v>7.3486927313342649</v>
      </c>
    </row>
    <row r="15" spans="1:8">
      <c r="A15">
        <v>4</v>
      </c>
      <c r="B15" s="9"/>
      <c r="C15" s="9"/>
      <c r="D15" s="9"/>
      <c r="E15" s="9"/>
      <c r="F15" s="9">
        <f>E14*$E$4</f>
        <v>2.5715849933126216</v>
      </c>
      <c r="G15" s="9">
        <f>F14*$E$4</f>
        <v>3.6492528124593493</v>
      </c>
    </row>
    <row r="16" spans="1:8">
      <c r="A16">
        <v>5</v>
      </c>
      <c r="B16" s="9"/>
      <c r="C16" s="9"/>
      <c r="D16" s="9"/>
      <c r="E16" s="9"/>
      <c r="F16" s="9"/>
      <c r="G16" s="9">
        <f>F15*$E$4</f>
        <v>1.8121653164867821</v>
      </c>
    </row>
    <row r="18" spans="1:7">
      <c r="A18" t="s">
        <v>37</v>
      </c>
    </row>
    <row r="19" spans="1:7">
      <c r="A19" t="s">
        <v>38</v>
      </c>
      <c r="B19">
        <v>0</v>
      </c>
      <c r="C19">
        <v>1</v>
      </c>
      <c r="D19">
        <v>2</v>
      </c>
      <c r="E19">
        <v>3</v>
      </c>
      <c r="F19">
        <v>4</v>
      </c>
      <c r="G19">
        <v>5</v>
      </c>
    </row>
    <row r="20" spans="1:7">
      <c r="A20">
        <v>0</v>
      </c>
      <c r="B20" s="9">
        <f>$H$4*($E$5*C20+(1-$E$5)*C21)</f>
        <v>0.13457102662758003</v>
      </c>
      <c r="C20" s="9">
        <f>-$H$5+$H$4*($E$5*D20+(1-$E$5)*D21)</f>
        <v>3.0912156277840213</v>
      </c>
      <c r="D20" s="9">
        <f>-$H$5+$H$4*($E$5*E20+(1-$E$5)*E21)</f>
        <v>9.2770636972536824</v>
      </c>
      <c r="E20" s="9">
        <f>-$H$5+$H$4*($E$5*F20+(1-$E$5)*F21)</f>
        <v>18.410569030697946</v>
      </c>
      <c r="F20" s="9">
        <f>-$H$5+$H$4*($E$5*G20+(1-$E$5)*G21)</f>
        <v>31.576512611872854</v>
      </c>
      <c r="G20" s="9">
        <f>MAX(G11-$B$4,0)</f>
        <v>50.010673479326414</v>
      </c>
    </row>
    <row r="21" spans="1:7">
      <c r="A21">
        <v>1</v>
      </c>
      <c r="B21" s="9"/>
      <c r="C21" s="9">
        <f>-$H$5+$H$4*($E$5*D21+(1-$E$5)*D22)</f>
        <v>-2.6381415265037731</v>
      </c>
      <c r="D21" s="9">
        <f t="shared" ref="D21:D22" si="0">-$H$5+$H$4*($E$5*E21+(1-$E$5)*E22)</f>
        <v>2.0277795789826136E-2</v>
      </c>
      <c r="E21" s="9">
        <f t="shared" ref="E21:E22" si="1">-$H$5+$H$4*($E$5*F21+(1-$E$5)*F22)</f>
        <v>4.0444988478177262</v>
      </c>
      <c r="F21" s="9">
        <f t="shared" ref="F21:F23" si="2">-$H$5+$H$4*($E$5*G21+(1-$E$5)*G22)</f>
        <v>10.287705754992858</v>
      </c>
      <c r="G21" s="9">
        <f>MAX(G12-$B$4,0)</f>
        <v>19.800418520458397</v>
      </c>
    </row>
    <row r="22" spans="1:7">
      <c r="A22">
        <v>2</v>
      </c>
      <c r="B22" s="9"/>
      <c r="C22" s="9"/>
      <c r="D22" s="9">
        <f t="shared" si="0"/>
        <v>-2.9556607576518577</v>
      </c>
      <c r="E22" s="9">
        <f t="shared" si="1"/>
        <v>-1.3195288857326051</v>
      </c>
      <c r="F22" s="9">
        <f>-$H$5+$H$4*($E$5*G22+(1-$E$5)*G23)</f>
        <v>1.014443202748754</v>
      </c>
      <c r="G22" s="9">
        <f t="shared" ref="G22:G25" si="3">MAX(G13-$B$4,0)</f>
        <v>4.7984498840929817</v>
      </c>
    </row>
    <row r="23" spans="1:7">
      <c r="A23">
        <v>3</v>
      </c>
      <c r="B23" s="9"/>
      <c r="C23" s="9"/>
      <c r="D23" s="9"/>
      <c r="E23" s="9">
        <f t="shared" ref="E23" si="4">-$H$5+$H$4*($E$5*F23+(1-$E$5)*F24)</f>
        <v>-2.3414753094008565</v>
      </c>
      <c r="F23" s="9">
        <f t="shared" si="2"/>
        <v>-1.2</v>
      </c>
      <c r="G23" s="9">
        <f t="shared" si="3"/>
        <v>0</v>
      </c>
    </row>
    <row r="24" spans="1:7">
      <c r="A24">
        <v>4</v>
      </c>
      <c r="B24" s="9"/>
      <c r="C24" s="9"/>
      <c r="D24" s="9"/>
      <c r="E24" s="9"/>
      <c r="F24" s="9">
        <f>-$H$5+$H$4*($E$5*G24+(1-$E$5)*G25)</f>
        <v>-1.2</v>
      </c>
      <c r="G24" s="9">
        <f t="shared" si="3"/>
        <v>0</v>
      </c>
    </row>
    <row r="25" spans="1:7">
      <c r="A25">
        <v>5</v>
      </c>
      <c r="G25" s="9">
        <f t="shared" si="3"/>
        <v>0</v>
      </c>
    </row>
    <row r="27" spans="1:7">
      <c r="A27" t="s">
        <v>44</v>
      </c>
    </row>
    <row r="28" spans="1:7">
      <c r="A28" t="s">
        <v>38</v>
      </c>
      <c r="B28">
        <v>0</v>
      </c>
      <c r="C28">
        <v>1</v>
      </c>
      <c r="D28">
        <v>2</v>
      </c>
      <c r="E28">
        <v>3</v>
      </c>
      <c r="F28">
        <v>4</v>
      </c>
      <c r="G28">
        <v>5</v>
      </c>
    </row>
    <row r="29" spans="1:7">
      <c r="A29">
        <v>0</v>
      </c>
      <c r="B29" s="9">
        <f>$H$4*($E$5*C29+(1-$E$5)*C30)</f>
        <v>1.5726222317583216</v>
      </c>
      <c r="C29" s="9">
        <f>MAX(0,-$H$5+$H$4*($E$5*D29+(1-$E$5)*D30))</f>
        <v>3.4076958742205932</v>
      </c>
      <c r="D29" s="9">
        <f>MAX(0,-$H$5+$H$4*($E$5*E29+(1-$E$5)*E30))</f>
        <v>9.2770636972536824</v>
      </c>
      <c r="E29" s="9">
        <f>MAX(0,-$H$5+$H$4*($E$5*F29+(1-$E$5)*F30))</f>
        <v>18.410569030697946</v>
      </c>
      <c r="F29" s="9">
        <f>MAX(0,-$H$5+$H$4*($E$5*G29+(1-$E$5)*G30))</f>
        <v>31.576512611872854</v>
      </c>
      <c r="G29" s="9">
        <f>MAX(G11-$B$4,0)</f>
        <v>50.010673479326414</v>
      </c>
    </row>
    <row r="30" spans="1:7">
      <c r="A30">
        <v>1</v>
      </c>
      <c r="B30" s="9"/>
      <c r="C30" s="9">
        <f>MAX(0,-$H$5+$H$4*($E$5*D30+(1-$E$5)*D31))</f>
        <v>0</v>
      </c>
      <c r="D30" s="9">
        <f t="shared" ref="D30:D31" si="5">MAX(0,-$H$5+$H$4*($E$5*E30+(1-$E$5)*E31))</f>
        <v>0.66650130738378666</v>
      </c>
      <c r="E30" s="9">
        <f t="shared" ref="E30:E32" si="6">MAX(0,-$H$5+$H$4*($E$5*F30+(1-$E$5)*F31))</f>
        <v>4.0444988478177262</v>
      </c>
      <c r="F30" s="9">
        <f>MAX(0,-$H$5+$H$4*($E$5*G30+(1-$E$5)*G31))</f>
        <v>10.287705754992858</v>
      </c>
      <c r="G30" s="9">
        <f>MAX(G12-$B$4,0)</f>
        <v>19.800418520458397</v>
      </c>
    </row>
    <row r="31" spans="1:7">
      <c r="A31">
        <v>2</v>
      </c>
      <c r="B31" s="9"/>
      <c r="C31" s="9"/>
      <c r="D31" s="9">
        <f t="shared" si="5"/>
        <v>0</v>
      </c>
      <c r="E31" s="9">
        <f t="shared" si="6"/>
        <v>0</v>
      </c>
      <c r="F31" s="9">
        <f>MAX(0,-$H$5+$H$4*($E$5*G31+(1-$E$5)*G32))</f>
        <v>1.014443202748754</v>
      </c>
      <c r="G31" s="9">
        <f t="shared" ref="G31:G34" si="7">MAX(G13-$B$4,0)</f>
        <v>4.7984498840929817</v>
      </c>
    </row>
    <row r="32" spans="1:7">
      <c r="A32">
        <v>3</v>
      </c>
      <c r="B32" s="9"/>
      <c r="C32" s="9"/>
      <c r="D32" s="9"/>
      <c r="E32" s="9">
        <f t="shared" si="6"/>
        <v>0</v>
      </c>
      <c r="F32" s="9">
        <f t="shared" ref="F32:F33" si="8">MAX(0,-$H$5+$H$4*($E$5*G32+(1-$E$5)*G33))</f>
        <v>0</v>
      </c>
      <c r="G32" s="9">
        <f t="shared" si="7"/>
        <v>0</v>
      </c>
    </row>
    <row r="33" spans="1:7">
      <c r="A33">
        <v>4</v>
      </c>
      <c r="B33" s="9"/>
      <c r="C33" s="9"/>
      <c r="D33" s="9"/>
      <c r="E33" s="9"/>
      <c r="F33" s="9">
        <f t="shared" si="8"/>
        <v>0</v>
      </c>
      <c r="G33" s="9">
        <f t="shared" si="7"/>
        <v>0</v>
      </c>
    </row>
    <row r="34" spans="1:7">
      <c r="A34">
        <v>5</v>
      </c>
      <c r="G34" s="9">
        <f t="shared" si="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44"/>
  <sheetViews>
    <sheetView topLeftCell="A7" workbookViewId="0">
      <selection activeCell="F28" sqref="F28"/>
    </sheetView>
  </sheetViews>
  <sheetFormatPr defaultRowHeight="14.5"/>
  <cols>
    <col min="1" max="1" width="16.08984375" bestFit="1" customWidth="1"/>
    <col min="7" max="7" width="10.26953125" customWidth="1"/>
    <col min="8" max="8" width="9.6328125" customWidth="1"/>
  </cols>
  <sheetData>
    <row r="1" spans="1:13">
      <c r="A1" s="1" t="s">
        <v>31</v>
      </c>
    </row>
    <row r="3" spans="1:13">
      <c r="A3" t="s">
        <v>18</v>
      </c>
      <c r="B3" s="11">
        <f>'Expansion Simulation'!B3</f>
        <v>10.4282913796196</v>
      </c>
      <c r="D3" t="s">
        <v>28</v>
      </c>
      <c r="E3" s="15">
        <f>EXP(B7*SQRT(H3))</f>
        <v>1.2808031901116472</v>
      </c>
      <c r="G3" t="s">
        <v>34</v>
      </c>
      <c r="H3">
        <v>0.5</v>
      </c>
    </row>
    <row r="4" spans="1:13">
      <c r="A4" t="s">
        <v>19</v>
      </c>
      <c r="B4" s="11">
        <f>'Expansion Simulation'!B4</f>
        <v>10</v>
      </c>
      <c r="D4" t="s">
        <v>29</v>
      </c>
      <c r="E4" s="15">
        <f>1/E3</f>
        <v>0.78076007908196288</v>
      </c>
      <c r="G4" t="s">
        <v>35</v>
      </c>
      <c r="H4" s="13">
        <f>EXP(-B6*H3)</f>
        <v>0.97530991202833262</v>
      </c>
    </row>
    <row r="5" spans="1:13">
      <c r="A5" t="s">
        <v>20</v>
      </c>
      <c r="B5" s="15">
        <f>'Expansion Simulation'!B5</f>
        <v>5</v>
      </c>
      <c r="D5" t="s">
        <v>30</v>
      </c>
      <c r="E5" s="3">
        <f>(EXP(B6*H3)-E4)/(E3-E4)</f>
        <v>0.48906791444217762</v>
      </c>
      <c r="G5" t="s">
        <v>43</v>
      </c>
      <c r="H5" s="4">
        <v>0.5</v>
      </c>
    </row>
    <row r="6" spans="1:13">
      <c r="A6" t="s">
        <v>21</v>
      </c>
      <c r="B6" s="3">
        <f>'Expansion Simulation'!B6</f>
        <v>0.05</v>
      </c>
    </row>
    <row r="7" spans="1:13">
      <c r="A7" t="s">
        <v>22</v>
      </c>
      <c r="B7" s="3">
        <f>'Expansion Simulation'!B7</f>
        <v>0.35</v>
      </c>
    </row>
    <row r="9" spans="1:13">
      <c r="A9" t="s">
        <v>33</v>
      </c>
      <c r="B9">
        <v>0</v>
      </c>
      <c r="C9">
        <v>1</v>
      </c>
      <c r="D9">
        <v>2</v>
      </c>
      <c r="E9">
        <v>3</v>
      </c>
      <c r="F9">
        <v>4</v>
      </c>
      <c r="G9">
        <v>5</v>
      </c>
      <c r="H9">
        <v>6</v>
      </c>
      <c r="I9">
        <v>7</v>
      </c>
      <c r="J9">
        <v>8</v>
      </c>
      <c r="K9">
        <v>9</v>
      </c>
      <c r="L9">
        <v>10</v>
      </c>
    </row>
    <row r="10" spans="1:13">
      <c r="A10" t="s">
        <v>36</v>
      </c>
      <c r="B10">
        <v>0</v>
      </c>
      <c r="C10">
        <v>1</v>
      </c>
      <c r="D10">
        <v>2</v>
      </c>
      <c r="E10">
        <v>3</v>
      </c>
      <c r="F10">
        <v>4</v>
      </c>
      <c r="G10">
        <v>5</v>
      </c>
      <c r="H10">
        <v>6</v>
      </c>
      <c r="I10">
        <v>7</v>
      </c>
      <c r="J10">
        <v>8</v>
      </c>
      <c r="K10">
        <v>9</v>
      </c>
      <c r="L10">
        <v>10</v>
      </c>
    </row>
    <row r="11" spans="1:13">
      <c r="A11">
        <v>0</v>
      </c>
      <c r="B11" s="9">
        <f>B3</f>
        <v>10.4282913796196</v>
      </c>
      <c r="C11" s="9">
        <f>B11*$E$3</f>
        <v>13.356588866430574</v>
      </c>
      <c r="D11" s="9">
        <f>C11*$E$3</f>
        <v>17.107161629133991</v>
      </c>
      <c r="E11" s="9">
        <f>D11*$E$3</f>
        <v>21.910907188350379</v>
      </c>
      <c r="F11" s="9">
        <f>E11*$E$3</f>
        <v>28.063559825079388</v>
      </c>
      <c r="G11" s="9">
        <f>F11*$E$3</f>
        <v>35.943896949850739</v>
      </c>
      <c r="H11" s="9">
        <f t="shared" ref="H11:K11" si="0">G11*$E$3</f>
        <v>46.03705787841313</v>
      </c>
      <c r="I11" s="9">
        <f t="shared" si="0"/>
        <v>58.964410594026077</v>
      </c>
      <c r="J11" s="9">
        <f t="shared" si="0"/>
        <v>75.521805191881612</v>
      </c>
      <c r="K11" s="9">
        <f t="shared" si="0"/>
        <v>96.728569012752331</v>
      </c>
      <c r="L11" s="9">
        <f>K11*$E$3</f>
        <v>123.89025976646781</v>
      </c>
    </row>
    <row r="12" spans="1:13">
      <c r="A12">
        <v>1</v>
      </c>
      <c r="B12" s="9"/>
      <c r="C12" s="9">
        <f>B11*$E$4</f>
        <v>8.1419936022415502</v>
      </c>
      <c r="D12" s="9">
        <f>C11*$E$4</f>
        <v>10.4282913796196</v>
      </c>
      <c r="E12" s="9">
        <f>D11*$E$4</f>
        <v>13.356588866430576</v>
      </c>
      <c r="F12" s="9">
        <f>E11*$E$4</f>
        <v>17.107161629133991</v>
      </c>
      <c r="G12" s="9">
        <f>F11*$E$4</f>
        <v>21.910907188350379</v>
      </c>
      <c r="H12" s="9">
        <f t="shared" ref="H12:L21" si="1">G11*$E$4</f>
        <v>28.063559825079388</v>
      </c>
      <c r="I12" s="9">
        <f t="shared" si="1"/>
        <v>35.943896949850739</v>
      </c>
      <c r="J12" s="9">
        <f t="shared" si="1"/>
        <v>46.03705787841313</v>
      </c>
      <c r="K12" s="9">
        <f t="shared" si="1"/>
        <v>58.964410594026084</v>
      </c>
      <c r="L12" s="9">
        <f>K11*$E$4</f>
        <v>75.521805191881612</v>
      </c>
      <c r="M12" s="9"/>
    </row>
    <row r="13" spans="1:13">
      <c r="A13">
        <v>2</v>
      </c>
      <c r="B13" s="9"/>
      <c r="C13" s="9"/>
      <c r="D13" s="9">
        <f>C12*$E$4</f>
        <v>6.3569435687709488</v>
      </c>
      <c r="E13" s="9">
        <f>D12*$E$4</f>
        <v>8.1419936022415502</v>
      </c>
      <c r="F13" s="9">
        <f>E12*$E$4</f>
        <v>10.428291379619601</v>
      </c>
      <c r="G13" s="9">
        <f>F12*$E$4</f>
        <v>13.356588866430576</v>
      </c>
      <c r="H13" s="9">
        <f t="shared" si="1"/>
        <v>17.107161629133991</v>
      </c>
      <c r="I13" s="9">
        <f t="shared" si="1"/>
        <v>21.910907188350379</v>
      </c>
      <c r="J13" s="9">
        <f t="shared" si="1"/>
        <v>28.063559825079388</v>
      </c>
      <c r="K13" s="9">
        <f t="shared" si="1"/>
        <v>35.943896949850739</v>
      </c>
      <c r="L13" s="9">
        <f t="shared" si="1"/>
        <v>46.037057878413137</v>
      </c>
    </row>
    <row r="14" spans="1:13">
      <c r="A14">
        <v>3</v>
      </c>
      <c r="B14" s="9"/>
      <c r="C14" s="9"/>
      <c r="D14" s="9"/>
      <c r="E14" s="9">
        <f>D13*$E$4</f>
        <v>4.9632477634731815</v>
      </c>
      <c r="F14" s="9">
        <f>E13*$E$4</f>
        <v>6.3569435687709488</v>
      </c>
      <c r="G14" s="9">
        <f>F13*$E$4</f>
        <v>8.141993602241552</v>
      </c>
      <c r="H14" s="9">
        <f t="shared" si="1"/>
        <v>10.428291379619601</v>
      </c>
      <c r="I14" s="9">
        <f t="shared" si="1"/>
        <v>13.356588866430576</v>
      </c>
      <c r="J14" s="9">
        <f t="shared" si="1"/>
        <v>17.107161629133991</v>
      </c>
      <c r="K14" s="9">
        <f t="shared" si="1"/>
        <v>21.910907188350379</v>
      </c>
      <c r="L14" s="9">
        <f t="shared" si="1"/>
        <v>28.063559825079388</v>
      </c>
    </row>
    <row r="15" spans="1:13">
      <c r="A15">
        <v>4</v>
      </c>
      <c r="B15" s="9"/>
      <c r="C15" s="9"/>
      <c r="D15" s="9"/>
      <c r="E15" s="9"/>
      <c r="F15" s="9">
        <f>E14*$E$4</f>
        <v>3.8751057163126967</v>
      </c>
      <c r="G15" s="9">
        <f>F14*$E$4</f>
        <v>4.9632477634731815</v>
      </c>
      <c r="H15" s="9">
        <f t="shared" si="1"/>
        <v>6.3569435687709497</v>
      </c>
      <c r="I15" s="9">
        <f t="shared" si="1"/>
        <v>8.141993602241552</v>
      </c>
      <c r="J15" s="9">
        <f t="shared" si="1"/>
        <v>10.428291379619601</v>
      </c>
      <c r="K15" s="9">
        <f t="shared" si="1"/>
        <v>13.356588866430576</v>
      </c>
      <c r="L15" s="9">
        <f t="shared" si="1"/>
        <v>17.107161629133991</v>
      </c>
    </row>
    <row r="16" spans="1:13">
      <c r="A16">
        <v>5</v>
      </c>
      <c r="B16" s="9"/>
      <c r="C16" s="9"/>
      <c r="D16" s="9"/>
      <c r="E16" s="9"/>
      <c r="F16" s="9"/>
      <c r="G16" s="9">
        <f>F15*$E$4</f>
        <v>3.0255278455192673</v>
      </c>
      <c r="H16" s="9">
        <f t="shared" si="1"/>
        <v>3.8751057163126967</v>
      </c>
      <c r="I16" s="9">
        <f t="shared" si="1"/>
        <v>4.9632477634731824</v>
      </c>
      <c r="J16" s="9">
        <f t="shared" si="1"/>
        <v>6.3569435687709497</v>
      </c>
      <c r="K16" s="9">
        <f t="shared" si="1"/>
        <v>8.141993602241552</v>
      </c>
      <c r="L16" s="9">
        <f t="shared" si="1"/>
        <v>10.428291379619601</v>
      </c>
    </row>
    <row r="17" spans="1:12">
      <c r="A17">
        <v>6</v>
      </c>
      <c r="B17" s="9"/>
      <c r="C17" s="9"/>
      <c r="D17" s="9"/>
      <c r="E17" s="9"/>
      <c r="F17" s="9"/>
      <c r="G17" s="9"/>
      <c r="H17" s="9">
        <f>G16*$E$4</f>
        <v>2.3622113599323038</v>
      </c>
      <c r="I17" s="9">
        <f t="shared" si="1"/>
        <v>3.0255278455192673</v>
      </c>
      <c r="J17" s="9">
        <f t="shared" si="1"/>
        <v>3.8751057163126972</v>
      </c>
      <c r="K17" s="9">
        <f t="shared" si="1"/>
        <v>4.9632477634731824</v>
      </c>
      <c r="L17" s="9">
        <f t="shared" si="1"/>
        <v>6.3569435687709497</v>
      </c>
    </row>
    <row r="18" spans="1:12">
      <c r="A18">
        <v>7</v>
      </c>
      <c r="B18" s="9"/>
      <c r="C18" s="9"/>
      <c r="D18" s="9"/>
      <c r="E18" s="9"/>
      <c r="F18" s="9"/>
      <c r="G18" s="9"/>
      <c r="H18" s="9"/>
      <c r="I18" s="9">
        <f t="shared" si="1"/>
        <v>1.8443203281890566</v>
      </c>
      <c r="J18" s="9">
        <f t="shared" si="1"/>
        <v>2.3622113599323038</v>
      </c>
      <c r="K18" s="9">
        <f t="shared" si="1"/>
        <v>3.0255278455192678</v>
      </c>
      <c r="L18" s="9">
        <f t="shared" si="1"/>
        <v>3.8751057163126972</v>
      </c>
    </row>
    <row r="19" spans="1:12">
      <c r="A19">
        <v>8</v>
      </c>
      <c r="B19" s="9"/>
      <c r="C19" s="9"/>
      <c r="D19" s="9"/>
      <c r="E19" s="9"/>
      <c r="F19" s="9"/>
      <c r="G19" s="9"/>
      <c r="H19" s="9"/>
      <c r="I19" s="9"/>
      <c r="J19" s="9">
        <f t="shared" si="1"/>
        <v>1.4399716852893596</v>
      </c>
      <c r="K19" s="9">
        <f t="shared" si="1"/>
        <v>1.8443203281890566</v>
      </c>
      <c r="L19" s="9">
        <f t="shared" si="1"/>
        <v>2.3622113599323042</v>
      </c>
    </row>
    <row r="20" spans="1:12">
      <c r="A20">
        <v>9</v>
      </c>
      <c r="B20" s="9"/>
      <c r="C20" s="9"/>
      <c r="D20" s="9"/>
      <c r="E20" s="9"/>
      <c r="F20" s="9"/>
      <c r="G20" s="9"/>
      <c r="H20" s="9"/>
      <c r="I20" s="9"/>
      <c r="J20" s="9"/>
      <c r="K20" s="9">
        <f t="shared" si="1"/>
        <v>1.1242724068823078</v>
      </c>
      <c r="L20" s="9">
        <f t="shared" si="1"/>
        <v>1.4399716852893596</v>
      </c>
    </row>
    <row r="21" spans="1:12">
      <c r="A21">
        <v>10</v>
      </c>
      <c r="B21" s="9"/>
      <c r="C21" s="9"/>
      <c r="D21" s="9"/>
      <c r="E21" s="9"/>
      <c r="F21" s="9"/>
      <c r="G21" s="9"/>
      <c r="H21" s="9"/>
      <c r="I21" s="9"/>
      <c r="J21" s="9"/>
      <c r="K21" s="9"/>
      <c r="L21" s="9">
        <f t="shared" si="1"/>
        <v>0.87778701330709941</v>
      </c>
    </row>
    <row r="23" spans="1:12">
      <c r="A23" t="s">
        <v>37</v>
      </c>
      <c r="B23">
        <v>0</v>
      </c>
      <c r="C23">
        <v>1</v>
      </c>
      <c r="D23">
        <v>2</v>
      </c>
      <c r="E23">
        <v>3</v>
      </c>
      <c r="F23">
        <v>4</v>
      </c>
      <c r="G23">
        <v>5</v>
      </c>
      <c r="H23">
        <v>6</v>
      </c>
      <c r="I23">
        <v>7</v>
      </c>
      <c r="J23">
        <v>8</v>
      </c>
      <c r="K23">
        <v>9</v>
      </c>
      <c r="L23">
        <v>10</v>
      </c>
    </row>
    <row r="24" spans="1:12">
      <c r="A24" t="s">
        <v>38</v>
      </c>
      <c r="B24">
        <v>0</v>
      </c>
      <c r="C24">
        <v>1</v>
      </c>
      <c r="D24">
        <v>2</v>
      </c>
      <c r="E24">
        <v>3</v>
      </c>
      <c r="F24">
        <v>4</v>
      </c>
      <c r="G24">
        <v>5</v>
      </c>
      <c r="H24">
        <v>6</v>
      </c>
      <c r="I24">
        <v>7</v>
      </c>
      <c r="J24">
        <v>8</v>
      </c>
      <c r="K24">
        <v>9</v>
      </c>
      <c r="L24">
        <v>10</v>
      </c>
    </row>
    <row r="25" spans="1:12">
      <c r="A25">
        <v>0</v>
      </c>
      <c r="B25" s="9">
        <f>$H$4*($E$5*C25+(1-$E$5)*C26)</f>
        <v>0.25912906788997164</v>
      </c>
      <c r="C25" s="9">
        <f t="shared" ref="C25:J25" si="2">-$H$5+$H$4*($E$5*D25+(1-$E$5)*D26)</f>
        <v>2.3233842269916258</v>
      </c>
      <c r="D25" s="9">
        <f t="shared" si="2"/>
        <v>5.8117124208750601</v>
      </c>
      <c r="E25" s="9">
        <f t="shared" si="2"/>
        <v>10.49816525873489</v>
      </c>
      <c r="F25" s="9">
        <f t="shared" si="2"/>
        <v>16.691454350090932</v>
      </c>
      <c r="G25" s="9">
        <f t="shared" si="2"/>
        <v>24.739367803558004</v>
      </c>
      <c r="H25" s="9">
        <f t="shared" si="2"/>
        <v>35.061542286624736</v>
      </c>
      <c r="I25" s="9">
        <f t="shared" si="2"/>
        <v>48.223706062476026</v>
      </c>
      <c r="J25" s="9">
        <f t="shared" si="2"/>
        <v>65.021855990860288</v>
      </c>
      <c r="K25" s="9">
        <f>-$H$5+$H$4*($E$5*L25+(1-$E$5)*L26)</f>
        <v>86.475469892468993</v>
      </c>
      <c r="L25" s="9">
        <f>MAX(L11-$B$4,0)</f>
        <v>113.89025976646781</v>
      </c>
    </row>
    <row r="26" spans="1:12">
      <c r="A26">
        <v>1</v>
      </c>
      <c r="B26" s="9"/>
      <c r="C26" s="9">
        <f>-$H$5+$H$4*($E$5*D26+(1-$E$5)*D27)</f>
        <v>-1.7039519565837284</v>
      </c>
      <c r="D26" s="9">
        <f t="shared" ref="D26:D27" si="3">-$H$5+$H$4*($E$5*E26+(1-$E$5)*E27)</f>
        <v>0.10282475392452084</v>
      </c>
      <c r="E26" s="9">
        <f t="shared" ref="E26:G28" si="4">-$H$5+$H$4*($E$5*F26+(1-$E$5)*F27)</f>
        <v>2.6171352920738067</v>
      </c>
      <c r="F26" s="9">
        <f t="shared" si="4"/>
        <v>6.0934328804238467</v>
      </c>
      <c r="G26" s="9">
        <f t="shared" si="4"/>
        <v>10.818320533960852</v>
      </c>
      <c r="H26" s="9">
        <f t="shared" ref="H26:H31" si="5">-$H$5+$H$4*($E$5*I26+(1-$E$5)*I27)</f>
        <v>17.08804423329099</v>
      </c>
      <c r="I26" s="9">
        <f t="shared" ref="I26:I32" si="6">-$H$5+$H$4*($E$5*J26+(1-$E$5)*J27)</f>
        <v>25.203192418300688</v>
      </c>
      <c r="J26" s="9">
        <f t="shared" ref="J26:J33" si="7">-$H$5+$H$4*($E$5*K26+(1-$E$5)*K27)</f>
        <v>35.537108677391828</v>
      </c>
      <c r="K26" s="9">
        <f t="shared" ref="K26:K33" si="8">-$H$5+$H$4*($E$5*L26+(1-$E$5)*L27)</f>
        <v>48.711311473742754</v>
      </c>
      <c r="L26" s="9">
        <f t="shared" ref="L26:L35" si="9">MAX(L12-$B$4,0)</f>
        <v>65.521805191881612</v>
      </c>
    </row>
    <row r="27" spans="1:12">
      <c r="A27">
        <v>2</v>
      </c>
      <c r="B27" s="9"/>
      <c r="C27" s="9"/>
      <c r="D27" s="9">
        <f t="shared" si="3"/>
        <v>-2.5144602770885705</v>
      </c>
      <c r="E27" s="9">
        <f t="shared" si="4"/>
        <v>-1.2954198465725884</v>
      </c>
      <c r="F27" s="9">
        <f t="shared" si="4"/>
        <v>0.42264606816689276</v>
      </c>
      <c r="G27" s="9">
        <f t="shared" si="4"/>
        <v>2.8760240522886318</v>
      </c>
      <c r="H27" s="9">
        <f t="shared" si="5"/>
        <v>6.3562871057416697</v>
      </c>
      <c r="I27" s="9">
        <f t="shared" si="6"/>
        <v>11.170202656800326</v>
      </c>
      <c r="J27" s="9">
        <f t="shared" si="7"/>
        <v>17.563610624058082</v>
      </c>
      <c r="K27" s="9">
        <f t="shared" si="8"/>
        <v>25.690797829567416</v>
      </c>
      <c r="L27" s="9">
        <f t="shared" si="9"/>
        <v>36.037057878413137</v>
      </c>
    </row>
    <row r="28" spans="1:12">
      <c r="A28">
        <v>3</v>
      </c>
      <c r="B28" s="9"/>
      <c r="C28" s="9"/>
      <c r="D28" s="9"/>
      <c r="E28" s="9">
        <f t="shared" ref="E28" si="10">-$H$5+$H$4*($E$5*F28+(1-$E$5)*F29)</f>
        <v>-2.8025413544760265</v>
      </c>
      <c r="F28" s="9">
        <f>-$H$5+$H$4*($E$5*G28+(1-$E$5)*G29)</f>
        <v>-2.0007720318554458</v>
      </c>
      <c r="G28" s="9">
        <f t="shared" si="4"/>
        <v>-0.90142728079325307</v>
      </c>
      <c r="H28" s="9">
        <f t="shared" si="5"/>
        <v>0.69056620172853811</v>
      </c>
      <c r="I28" s="9">
        <f t="shared" si="6"/>
        <v>3.0666837476161546</v>
      </c>
      <c r="J28" s="9">
        <f t="shared" si="7"/>
        <v>6.6072124281126836</v>
      </c>
      <c r="K28" s="9">
        <f t="shared" si="8"/>
        <v>11.657808068067052</v>
      </c>
      <c r="L28" s="9">
        <f t="shared" si="9"/>
        <v>18.063559825079388</v>
      </c>
    </row>
    <row r="29" spans="1:12">
      <c r="A29">
        <v>4</v>
      </c>
      <c r="B29" s="9"/>
      <c r="C29" s="9"/>
      <c r="D29" s="9"/>
      <c r="E29" s="9"/>
      <c r="F29" s="9">
        <f t="shared" ref="F29" si="11">-$H$5+$H$4*($E$5*G29+(1-$E$5)*G30)</f>
        <v>-2.7054810229310817</v>
      </c>
      <c r="G29" s="9">
        <f t="shared" ref="G29:G30" si="12">-$H$5+$H$4*($E$5*H29+(1-$E$5)*H30)</f>
        <v>-2.1488278530874703</v>
      </c>
      <c r="H29" s="9">
        <f t="shared" si="5"/>
        <v>-1.4665808901663882</v>
      </c>
      <c r="I29" s="9">
        <f t="shared" si="6"/>
        <v>-0.54627827058075673</v>
      </c>
      <c r="J29" s="9">
        <f t="shared" si="7"/>
        <v>0.83298580397708721</v>
      </c>
      <c r="K29" s="9">
        <f t="shared" si="8"/>
        <v>3.103489746147249</v>
      </c>
      <c r="L29" s="9">
        <f t="shared" si="9"/>
        <v>7.1071616291339907</v>
      </c>
    </row>
    <row r="30" spans="1:12">
      <c r="A30">
        <v>5</v>
      </c>
      <c r="G30" s="9">
        <f t="shared" si="12"/>
        <v>-2.3689846820144385</v>
      </c>
      <c r="H30" s="9">
        <f t="shared" si="5"/>
        <v>-1.9049703455897709</v>
      </c>
      <c r="I30" s="9">
        <f t="shared" si="6"/>
        <v>-1.4167887432812787</v>
      </c>
      <c r="J30" s="9">
        <f t="shared" si="7"/>
        <v>-0.89020919481423222</v>
      </c>
      <c r="K30" s="9">
        <f t="shared" si="8"/>
        <v>-0.29570810221058208</v>
      </c>
      <c r="L30" s="9">
        <f t="shared" si="9"/>
        <v>0.42829137961960129</v>
      </c>
    </row>
    <row r="31" spans="1:12">
      <c r="A31">
        <v>6</v>
      </c>
      <c r="G31" s="9"/>
      <c r="H31" s="9">
        <f t="shared" si="5"/>
        <v>-1.9271414114287995</v>
      </c>
      <c r="I31" s="9">
        <f t="shared" si="6"/>
        <v>-1.4632696682645232</v>
      </c>
      <c r="J31" s="9">
        <f t="shared" si="7"/>
        <v>-0.98765495601416631</v>
      </c>
      <c r="K31" s="9">
        <f t="shared" si="8"/>
        <v>-0.5</v>
      </c>
      <c r="L31" s="9">
        <f t="shared" si="9"/>
        <v>0</v>
      </c>
    </row>
    <row r="32" spans="1:12">
      <c r="A32">
        <v>7</v>
      </c>
      <c r="G32" s="9"/>
      <c r="I32" s="9">
        <f t="shared" si="6"/>
        <v>-1.4632696682645232</v>
      </c>
      <c r="J32" s="9">
        <f t="shared" si="7"/>
        <v>-0.98765495601416631</v>
      </c>
      <c r="K32" s="9">
        <f t="shared" si="8"/>
        <v>-0.5</v>
      </c>
      <c r="L32" s="9">
        <f t="shared" si="9"/>
        <v>0</v>
      </c>
    </row>
    <row r="33" spans="1:12">
      <c r="A33">
        <v>8</v>
      </c>
      <c r="G33" s="9"/>
      <c r="J33" s="9">
        <f t="shared" si="7"/>
        <v>-0.98765495601416631</v>
      </c>
      <c r="K33" s="9">
        <f t="shared" si="8"/>
        <v>-0.5</v>
      </c>
      <c r="L33" s="9">
        <f t="shared" si="9"/>
        <v>0</v>
      </c>
    </row>
    <row r="34" spans="1:12">
      <c r="A34">
        <v>9</v>
      </c>
      <c r="G34" s="9"/>
      <c r="K34" s="9">
        <f>-$H$5+$H$4*($E$5*L34+(1-$E$5)*L35)</f>
        <v>-0.5</v>
      </c>
      <c r="L34" s="9">
        <f t="shared" si="9"/>
        <v>0</v>
      </c>
    </row>
    <row r="35" spans="1:12">
      <c r="A35">
        <v>10</v>
      </c>
      <c r="L35" s="9">
        <f t="shared" si="9"/>
        <v>0</v>
      </c>
    </row>
    <row r="37" spans="1:12">
      <c r="A37" t="s">
        <v>44</v>
      </c>
      <c r="B37">
        <v>0</v>
      </c>
      <c r="C37">
        <v>1</v>
      </c>
      <c r="D37">
        <v>2</v>
      </c>
      <c r="E37">
        <v>3</v>
      </c>
      <c r="F37">
        <v>4</v>
      </c>
      <c r="G37">
        <v>5</v>
      </c>
    </row>
    <row r="38" spans="1:12">
      <c r="A38" t="s">
        <v>38</v>
      </c>
      <c r="B38">
        <v>0</v>
      </c>
      <c r="C38">
        <v>1</v>
      </c>
      <c r="D38">
        <v>2</v>
      </c>
      <c r="E38">
        <v>3</v>
      </c>
      <c r="F38">
        <v>4</v>
      </c>
      <c r="G38">
        <v>5</v>
      </c>
    </row>
    <row r="39" spans="1:12">
      <c r="A39">
        <v>0</v>
      </c>
      <c r="B39" s="9">
        <f>$H$4*($E$5*C39+(1-$E$5)*C40)</f>
        <v>1.533823735912945</v>
      </c>
      <c r="C39" s="9">
        <f>MAX(0,-$H$5+$H$4*($E$5*D39+(1-$E$5)*D40))</f>
        <v>3.1921930758016521</v>
      </c>
      <c r="D39" s="9">
        <f>MAX(0,-$H$5+$H$4*($E$5*E39+(1-$E$5)*E40))</f>
        <v>6.5963706904090644</v>
      </c>
      <c r="E39" s="9">
        <f>MAX(0,-$H$5+$H$4*($E$5*F39+(1-$E$5)*F40))</f>
        <v>11.410957987329072</v>
      </c>
      <c r="F39" s="9">
        <f>MAX(0,-$H$5+$H$4*($E$5*G39+(1-$E$5)*G40))</f>
        <v>17.810460704796061</v>
      </c>
      <c r="G39" s="9">
        <f>MAX(G11-$B$4,0)</f>
        <v>25.943896949850739</v>
      </c>
    </row>
    <row r="40" spans="1:12">
      <c r="A40">
        <v>1</v>
      </c>
      <c r="B40" s="9"/>
      <c r="C40" s="9">
        <f>MAX(0,-$H$5+$H$4*($E$5*D40+(1-$E$5)*D41))</f>
        <v>2.2416792555182918E-2</v>
      </c>
      <c r="D40" s="9">
        <f t="shared" ref="D40:F43" si="13">MAX(0,-$H$5+$H$4*($E$5*E40+(1-$E$5)*E41))</f>
        <v>1.0952299686918672</v>
      </c>
      <c r="E40" s="9">
        <f t="shared" si="13"/>
        <v>3.3180197388104746</v>
      </c>
      <c r="F40" s="9">
        <f>MAX(0,-$H$5+$H$4*($E$5*G40+(1-$E$5)*G41))</f>
        <v>6.8540625088506646</v>
      </c>
      <c r="G40" s="9">
        <f>MAX(G12-$B$4,0)</f>
        <v>11.910907188350379</v>
      </c>
    </row>
    <row r="41" spans="1:12">
      <c r="A41">
        <v>2</v>
      </c>
      <c r="B41" s="9"/>
      <c r="C41" s="9"/>
      <c r="D41" s="9">
        <f t="shared" si="13"/>
        <v>0</v>
      </c>
      <c r="E41" s="9">
        <f t="shared" si="13"/>
        <v>2.5201811041885791E-2</v>
      </c>
      <c r="F41" s="9">
        <f t="shared" si="13"/>
        <v>1.101068670191256</v>
      </c>
      <c r="G41" s="9">
        <f t="shared" ref="G41:G44" si="14">MAX(G13-$B$4,0)</f>
        <v>3.3565888664305756</v>
      </c>
    </row>
    <row r="42" spans="1:12">
      <c r="A42">
        <v>3</v>
      </c>
      <c r="B42" s="9"/>
      <c r="C42" s="9"/>
      <c r="D42" s="9"/>
      <c r="E42" s="9">
        <f t="shared" si="13"/>
        <v>0</v>
      </c>
      <c r="F42" s="9">
        <f t="shared" si="13"/>
        <v>0</v>
      </c>
      <c r="G42" s="9">
        <f t="shared" si="14"/>
        <v>0</v>
      </c>
    </row>
    <row r="43" spans="1:12">
      <c r="A43">
        <v>4</v>
      </c>
      <c r="B43" s="9"/>
      <c r="C43" s="9"/>
      <c r="D43" s="9"/>
      <c r="E43" s="9"/>
      <c r="F43" s="9">
        <f t="shared" si="13"/>
        <v>0</v>
      </c>
      <c r="G43" s="9">
        <f t="shared" si="14"/>
        <v>0</v>
      </c>
    </row>
    <row r="44" spans="1:12">
      <c r="A44">
        <v>5</v>
      </c>
      <c r="G44" s="9">
        <f t="shared" si="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Classical NPV</vt:lpstr>
      <vt:lpstr>Simple Expansion Option</vt:lpstr>
      <vt:lpstr>Expansion B-S Price</vt:lpstr>
      <vt:lpstr>Expansion Simulation</vt:lpstr>
      <vt:lpstr>Abandon</vt:lpstr>
      <vt:lpstr>Abandon B-S Price</vt:lpstr>
      <vt:lpstr>Expansion and Abandon</vt:lpstr>
      <vt:lpstr>Abandon Option (2)</vt:lpstr>
    </vt:vector>
  </TitlesOfParts>
  <Company>Babson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Dessislava Pachamanova</dc:creator>
  <dc:description>Copyright © 2010 John Wiley &amp; Sons, Inc., Dessislava A. Pachamanova, and Frank J. Fabozzi.
All rights reserved.
Model files and code may be copied and used only by owners of the book Simulation and Optimization in Finance: Modeling with MATLAB, @RISK or VBA, by Dessislava A. Pachamanova and Frank J. Fabozzi, Hoboken, NJ: John Wiley &amp; Sons, 2010 and only for their own personal use.  Copying and/or use for any other purpose or by any other person is prohibited. Requests for permission for other uses should be addressed to the Permissions Department, John Wiley &amp; Sons, Inc., 111 River Street, Hoboken, NJ 07030, (201) 748-6011, fax (201) 748-6008, or online at http://www.wiley.com/go/permissions.
While the authors and publisher have used all reasonable efforts in creating the work, the model files and the code, they make no representations or warranties with respect to the accuracy or completeness of the contents thereof, and specifically disclaim any implied warranties of merchantability or fitness for a particular purpose.  No warranty may be created or extended by sales representatives or written sales materials.  The advice and strategies contained herein may not be suitable for a particular party’s situation.  Users should consult with a professional where appropriate.  
LIMITATION OF LIABILITY
IN NO EVENT SHALL THE AUTHOR OR THE PUBLISHER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WORK, THE MODEL FILES OR THE CODE, EVEN IF ADVISED OF THE POSSIBILITY OF SUCH DAMAGE.</dc:description>
  <cp:lastModifiedBy>Dessislava Pachamanova</cp:lastModifiedBy>
  <dcterms:created xsi:type="dcterms:W3CDTF">2009-11-16T17:09:07Z</dcterms:created>
  <dcterms:modified xsi:type="dcterms:W3CDTF">2010-03-08T03:04:19Z</dcterms:modified>
</cp:coreProperties>
</file>