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R\trabalhos_manejo\forest_economy_app\planilhas_grad\Aula Prática 1\"/>
    </mc:Choice>
  </mc:AlternateContent>
  <bookViews>
    <workbookView xWindow="3000" yWindow="0" windowWidth="20496" windowHeight="7752"/>
  </bookViews>
  <sheets>
    <sheet name="sem_transporte" sheetId="2" r:id="rId1"/>
    <sheet name="com_transport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H56" i="2" l="1"/>
  <c r="H55" i="2"/>
  <c r="H54" i="2"/>
  <c r="H53" i="2"/>
  <c r="H52" i="2"/>
  <c r="J51" i="2"/>
  <c r="H51" i="2"/>
  <c r="H50" i="2"/>
  <c r="H45" i="2"/>
  <c r="H57" i="2" s="1"/>
  <c r="I57" i="2" s="1"/>
  <c r="G45" i="2"/>
  <c r="G57" i="2" s="1"/>
  <c r="J39" i="2"/>
  <c r="L39" i="2" s="1"/>
  <c r="D25" i="2"/>
  <c r="D24" i="2"/>
  <c r="D21" i="2"/>
  <c r="D23" i="2" s="1"/>
  <c r="I10" i="2" s="1"/>
  <c r="K14" i="2"/>
  <c r="G10" i="2"/>
  <c r="L9" i="2"/>
  <c r="G9" i="2"/>
  <c r="L8" i="2"/>
  <c r="G8" i="2"/>
  <c r="L7" i="2"/>
  <c r="G7" i="2"/>
  <c r="H7" i="2" s="1"/>
  <c r="G40" i="2" s="1"/>
  <c r="L6" i="2"/>
  <c r="G6" i="2"/>
  <c r="L5" i="2"/>
  <c r="G5" i="2"/>
  <c r="H5" i="2" s="1"/>
  <c r="L4" i="2"/>
  <c r="G4" i="2"/>
  <c r="D4" i="2"/>
  <c r="H10" i="2" s="1"/>
  <c r="L3" i="2"/>
  <c r="G3" i="2"/>
  <c r="H3" i="2" s="1"/>
  <c r="H9" i="2" l="1"/>
  <c r="G11" i="2"/>
  <c r="H8" i="2"/>
  <c r="J8" i="2" s="1"/>
  <c r="I45" i="2"/>
  <c r="J3" i="2"/>
  <c r="K3" i="2"/>
  <c r="G41" i="2"/>
  <c r="J5" i="2"/>
  <c r="K5" i="2"/>
  <c r="G38" i="2"/>
  <c r="G43" i="2"/>
  <c r="K10" i="2"/>
  <c r="G52" i="2"/>
  <c r="I52" i="2" s="1"/>
  <c r="I40" i="2"/>
  <c r="J9" i="2"/>
  <c r="G42" i="2"/>
  <c r="K9" i="2"/>
  <c r="L10" i="2"/>
  <c r="I11" i="2"/>
  <c r="J10" i="2"/>
  <c r="H4" i="2"/>
  <c r="H11" i="2" s="1"/>
  <c r="G44" i="2" s="1"/>
  <c r="J7" i="2"/>
  <c r="K7" i="2"/>
  <c r="H6" i="2"/>
  <c r="K8" i="2" l="1"/>
  <c r="G56" i="2"/>
  <c r="I56" i="2" s="1"/>
  <c r="I44" i="2"/>
  <c r="G39" i="2"/>
  <c r="J6" i="2"/>
  <c r="K6" i="2"/>
  <c r="G54" i="2"/>
  <c r="I54" i="2" s="1"/>
  <c r="I42" i="2"/>
  <c r="I43" i="2"/>
  <c r="G55" i="2"/>
  <c r="I55" i="2" s="1"/>
  <c r="I38" i="2"/>
  <c r="G50" i="2"/>
  <c r="J4" i="2"/>
  <c r="L11" i="2"/>
  <c r="I41" i="2"/>
  <c r="G53" i="2"/>
  <c r="I53" i="2" s="1"/>
  <c r="G14" i="2"/>
  <c r="J11" i="2"/>
  <c r="F14" i="2"/>
  <c r="K11" i="2" l="1"/>
  <c r="L14" i="2"/>
  <c r="M3" i="2"/>
  <c r="J14" i="2"/>
  <c r="I50" i="2"/>
  <c r="J52" i="2"/>
  <c r="L51" i="2" s="1"/>
  <c r="I39" i="2"/>
  <c r="K39" i="2" s="1"/>
  <c r="G51" i="2"/>
  <c r="I51" i="2" s="1"/>
  <c r="H14" i="2"/>
  <c r="I14" i="2"/>
  <c r="K51" i="2" l="1"/>
  <c r="D25" i="1" l="1"/>
  <c r="G10" i="1" s="1"/>
  <c r="D24" i="1"/>
  <c r="L3" i="1"/>
  <c r="L4" i="1"/>
  <c r="L5" i="1"/>
  <c r="L6" i="1"/>
  <c r="L7" i="1"/>
  <c r="L8" i="1"/>
  <c r="L9" i="1"/>
  <c r="D21" i="1"/>
  <c r="D4" i="1"/>
  <c r="G4" i="1"/>
  <c r="G5" i="1"/>
  <c r="G6" i="1"/>
  <c r="G7" i="1"/>
  <c r="H7" i="1" s="1"/>
  <c r="G8" i="1"/>
  <c r="G9" i="1"/>
  <c r="H9" i="1" s="1"/>
  <c r="G3" i="1"/>
  <c r="D23" i="1" l="1"/>
  <c r="I10" i="1"/>
  <c r="I11" i="1" s="1"/>
  <c r="H10" i="1"/>
  <c r="K14" i="1"/>
  <c r="H8" i="1"/>
  <c r="K8" i="1" s="1"/>
  <c r="H4" i="1"/>
  <c r="J4" i="1" s="1"/>
  <c r="K9" i="1"/>
  <c r="H5" i="1"/>
  <c r="K5" i="1" s="1"/>
  <c r="G11" i="1"/>
  <c r="K10" i="1"/>
  <c r="H6" i="1"/>
  <c r="K6" i="1" s="1"/>
  <c r="J8" i="1"/>
  <c r="K4" i="1"/>
  <c r="K7" i="1"/>
  <c r="J7" i="1"/>
  <c r="H3" i="1"/>
  <c r="H51" i="1"/>
  <c r="H52" i="1"/>
  <c r="H53" i="1"/>
  <c r="H54" i="1"/>
  <c r="H55" i="1"/>
  <c r="H56" i="1"/>
  <c r="H50" i="1"/>
  <c r="L10" i="1" l="1"/>
  <c r="L11" i="1" s="1"/>
  <c r="H11" i="1"/>
  <c r="J5" i="1"/>
  <c r="J6" i="1"/>
  <c r="J9" i="1"/>
  <c r="J10" i="1"/>
  <c r="J3" i="1"/>
  <c r="K3" i="1"/>
  <c r="K11" i="1" s="1"/>
  <c r="H45" i="1"/>
  <c r="G14" i="1" l="1"/>
  <c r="F14" i="1"/>
  <c r="H14" i="1" s="1"/>
  <c r="M3" i="1"/>
  <c r="J14" i="1"/>
  <c r="L14" i="1"/>
  <c r="J11" i="1"/>
  <c r="G38" i="1"/>
  <c r="G45" i="1"/>
  <c r="G57" i="1" s="1"/>
  <c r="G43" i="1"/>
  <c r="G41" i="1"/>
  <c r="H57" i="1"/>
  <c r="I14" i="1" l="1"/>
  <c r="I45" i="1"/>
  <c r="I57" i="1"/>
  <c r="G42" i="1"/>
  <c r="G39" i="1"/>
  <c r="G53" i="1"/>
  <c r="I53" i="1" s="1"/>
  <c r="I41" i="1"/>
  <c r="G55" i="1"/>
  <c r="I55" i="1" s="1"/>
  <c r="I43" i="1"/>
  <c r="G40" i="1"/>
  <c r="G44" i="1"/>
  <c r="G50" i="1"/>
  <c r="I50" i="1" s="1"/>
  <c r="I38" i="1"/>
  <c r="G56" i="1" l="1"/>
  <c r="I56" i="1" s="1"/>
  <c r="I44" i="1"/>
  <c r="G52" i="1"/>
  <c r="I52" i="1" s="1"/>
  <c r="K51" i="1" s="1"/>
  <c r="I40" i="1"/>
  <c r="G51" i="1"/>
  <c r="I51" i="1" s="1"/>
  <c r="I39" i="1"/>
  <c r="G54" i="1"/>
  <c r="I54" i="1" s="1"/>
  <c r="I42" i="1"/>
  <c r="K39" i="1" l="1"/>
  <c r="J39" i="1"/>
  <c r="L39" i="1" s="1"/>
  <c r="J51" i="1"/>
  <c r="J52" i="1" s="1"/>
  <c r="L51" i="1" s="1"/>
</calcChain>
</file>

<file path=xl/sharedStrings.xml><?xml version="1.0" encoding="utf-8"?>
<sst xmlns="http://schemas.openxmlformats.org/spreadsheetml/2006/main" count="154" uniqueCount="64">
  <si>
    <t>Exemplo1</t>
  </si>
  <si>
    <t>Implantação</t>
  </si>
  <si>
    <t>1º ano de manutenção</t>
  </si>
  <si>
    <t>2º ano de manutenção</t>
  </si>
  <si>
    <t>3º ano de manutenção</t>
  </si>
  <si>
    <t>4º ano de manutenção</t>
  </si>
  <si>
    <t>5º ano de manutenção</t>
  </si>
  <si>
    <t>6º ano de manutenção</t>
  </si>
  <si>
    <t>Considere os seguintes custos/hectare de um projeto florestal:</t>
  </si>
  <si>
    <t>7º ano de manutneção</t>
  </si>
  <si>
    <t>Obs.: a primeira situação a madeira será vendida em pé.</t>
  </si>
  <si>
    <t>Obs.: será realizada a colheita da madeira na propriedade.</t>
  </si>
  <si>
    <t>Colheita (R$/m3)</t>
  </si>
  <si>
    <t>O valor da terra é de R$ 3.500,00/hectare.</t>
  </si>
  <si>
    <t>Apresente as seguintes resoluções:</t>
  </si>
  <si>
    <t>B) Interprete esses resultados.</t>
  </si>
  <si>
    <t>A) Calcule VPL, BPE, TIR, B/C e CMP.</t>
  </si>
  <si>
    <t>C) Calcule o VET. Qual sua conclusão?</t>
  </si>
  <si>
    <t>D) Considere agora, que o proprietário irá entregar a madeira</t>
  </si>
  <si>
    <t>ficando com o custo de transporte. Calcule este custo e verifique</t>
  </si>
  <si>
    <t>o impacto nos indicadores econômicos calculados.</t>
  </si>
  <si>
    <t xml:space="preserve">Ano </t>
  </si>
  <si>
    <t>Custo</t>
  </si>
  <si>
    <t>Receita</t>
  </si>
  <si>
    <t>As resoluções deverão ser realizadas nas duas formas:</t>
  </si>
  <si>
    <t>2 - utilizando as fórmulas de matemática financeira do excel.</t>
  </si>
  <si>
    <t>1 - pelo uso das fórmulas apresentadas em aula.</t>
  </si>
  <si>
    <t>Dados para receita:</t>
  </si>
  <si>
    <t>Produtividade - 45m3/há/ano</t>
  </si>
  <si>
    <t>Valor do frete (R$/km)</t>
  </si>
  <si>
    <t>Distância de transporte (km)</t>
  </si>
  <si>
    <t>Preço da madeira em pé - R$ 50,00/m3</t>
  </si>
  <si>
    <t>Madeira em pé</t>
  </si>
  <si>
    <t>Taxa de juros = 8,75% ao ano</t>
  </si>
  <si>
    <t>VPL</t>
  </si>
  <si>
    <t>BPE</t>
  </si>
  <si>
    <t>TIR</t>
  </si>
  <si>
    <t>Saldo</t>
  </si>
  <si>
    <t>ERRADO</t>
  </si>
  <si>
    <t>Fórmula do excel</t>
  </si>
  <si>
    <t>CORRETO</t>
  </si>
  <si>
    <t>Preço da madeira entregue na fábrica - R$ 65,00/m3</t>
  </si>
  <si>
    <t>Capacidade caminhão (m3)</t>
  </si>
  <si>
    <t>Ano</t>
  </si>
  <si>
    <t>Custo_Receita</t>
  </si>
  <si>
    <t>VoCT</t>
  </si>
  <si>
    <t>VoRT</t>
  </si>
  <si>
    <t>Custo da Terra R$/ha</t>
  </si>
  <si>
    <t>Taxa de Juros a.a.</t>
  </si>
  <si>
    <t>Custo Anual da Terra R$/ha</t>
  </si>
  <si>
    <t>RT</t>
  </si>
  <si>
    <t>i</t>
  </si>
  <si>
    <t>Total</t>
  </si>
  <si>
    <t>VPL_Excel</t>
  </si>
  <si>
    <t>BPE_excel</t>
  </si>
  <si>
    <t>B_C</t>
  </si>
  <si>
    <t>P_eq</t>
  </si>
  <si>
    <t>CMP</t>
  </si>
  <si>
    <t>py</t>
  </si>
  <si>
    <t>y_IMA_Produtividade_total</t>
  </si>
  <si>
    <t>Colheita (R$/ha)</t>
  </si>
  <si>
    <t>Produtividade_IMA</t>
  </si>
  <si>
    <t>Transporte</t>
  </si>
  <si>
    <t>py_fab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</si>
</sst>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R$&quot;\ #,##0.00;[Red]\-&quot;R$&quot;\ #,##0.00"/>
    <numFmt numFmtId="165" formatCode="0.0"/>
    <numFmt numFmtId="166" formatCode="&quot;R$&quot;\ #,##0.0000;[Red]\-&quot;R$&quot;\ #,##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3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3" fillId="0" borderId="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2" fontId="0" fillId="0" borderId="10" xfId="0" applyNumberFormat="1" applyBorder="1"/>
    <xf numFmtId="0" fontId="0" fillId="0" borderId="7" xfId="0" applyBorder="1" applyAlignment="1">
      <alignment horizontal="center"/>
    </xf>
    <xf numFmtId="0" fontId="0" fillId="0" borderId="12" xfId="0" applyBorder="1"/>
    <xf numFmtId="2" fontId="0" fillId="0" borderId="12" xfId="0" applyNumberFormat="1" applyBorder="1"/>
    <xf numFmtId="2" fontId="0" fillId="0" borderId="11" xfId="0" applyNumberFormat="1" applyBorder="1"/>
    <xf numFmtId="0" fontId="0" fillId="0" borderId="8" xfId="0" applyBorder="1"/>
    <xf numFmtId="0" fontId="0" fillId="0" borderId="1" xfId="0" applyBorder="1"/>
    <xf numFmtId="164" fontId="0" fillId="0" borderId="7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9" xfId="0" applyBorder="1"/>
    <xf numFmtId="0" fontId="0" fillId="0" borderId="11" xfId="0" applyBorder="1"/>
    <xf numFmtId="164" fontId="0" fillId="0" borderId="6" xfId="0" applyNumberFormat="1" applyBorder="1"/>
    <xf numFmtId="9" fontId="0" fillId="0" borderId="0" xfId="0" applyNumberFormat="1" applyBorder="1"/>
    <xf numFmtId="164" fontId="0" fillId="0" borderId="10" xfId="0" applyNumberFormat="1" applyBorder="1"/>
    <xf numFmtId="164" fontId="0" fillId="0" borderId="7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9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7" borderId="0" xfId="0" applyFill="1"/>
    <xf numFmtId="0" fontId="0" fillId="3" borderId="8" xfId="0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0" fontId="0" fillId="0" borderId="0" xfId="0" applyFill="1" applyBorder="1" applyAlignment="1"/>
    <xf numFmtId="2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7" borderId="0" xfId="0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165" fontId="0" fillId="7" borderId="0" xfId="0" applyNumberForma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9" fontId="0" fillId="7" borderId="0" xfId="0" applyNumberForma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9" fontId="2" fillId="7" borderId="0" xfId="0" applyNumberFormat="1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Border="1" applyAlignment="1">
      <alignment horizontal="center"/>
    </xf>
    <xf numFmtId="9" fontId="4" fillId="7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4" fillId="7" borderId="0" xfId="0" applyNumberFormat="1" applyFont="1" applyFill="1" applyBorder="1" applyAlignment="1">
      <alignment horizontal="center"/>
    </xf>
    <xf numFmtId="10" fontId="4" fillId="3" borderId="16" xfId="0" applyNumberFormat="1" applyFont="1" applyFill="1" applyBorder="1" applyAlignment="1">
      <alignment horizontal="center"/>
    </xf>
    <xf numFmtId="166" fontId="2" fillId="3" borderId="16" xfId="0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7" borderId="12" xfId="0" applyFill="1" applyBorder="1"/>
    <xf numFmtId="0" fontId="1" fillId="7" borderId="0" xfId="0" applyFont="1" applyFill="1" applyBorder="1"/>
    <xf numFmtId="0" fontId="0" fillId="3" borderId="5" xfId="0" applyFill="1" applyBorder="1"/>
    <xf numFmtId="0" fontId="0" fillId="3" borderId="9" xfId="0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64" fontId="2" fillId="3" borderId="21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24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8"/>
  <sheetViews>
    <sheetView tabSelected="1" topLeftCell="B1" workbookViewId="0">
      <selection activeCell="L10" sqref="L10"/>
    </sheetView>
  </sheetViews>
  <sheetFormatPr defaultColWidth="0" defaultRowHeight="14.4" zeroHeight="1" x14ac:dyDescent="0.3"/>
  <cols>
    <col min="1" max="1" width="58" bestFit="1" customWidth="1"/>
    <col min="2" max="2" width="3.44140625" style="62" customWidth="1"/>
    <col min="3" max="3" width="26.5546875" bestFit="1" customWidth="1"/>
    <col min="4" max="5" width="9.109375" customWidth="1"/>
    <col min="6" max="6" width="14.44140625" bestFit="1" customWidth="1"/>
    <col min="7" max="7" width="11.6640625" bestFit="1" customWidth="1"/>
    <col min="8" max="8" width="16.44140625" bestFit="1" customWidth="1"/>
    <col min="9" max="9" width="14.6640625" customWidth="1"/>
    <col min="10" max="10" width="11.6640625" bestFit="1" customWidth="1"/>
    <col min="11" max="12" width="12.109375" bestFit="1" customWidth="1"/>
    <col min="13" max="13" width="11.5546875" bestFit="1" customWidth="1"/>
    <col min="14" max="14" width="5" customWidth="1"/>
    <col min="15" max="15" width="12" hidden="1" customWidth="1"/>
    <col min="16" max="16" width="11.5546875" hidden="1" customWidth="1"/>
    <col min="17" max="17" width="12.44140625" hidden="1" customWidth="1"/>
    <col min="18" max="18" width="11.5546875" hidden="1" customWidth="1"/>
    <col min="19" max="19" width="9.109375" hidden="1" customWidth="1"/>
    <col min="20" max="20" width="18.5546875" hidden="1" customWidth="1"/>
    <col min="21" max="21" width="14" hidden="1" customWidth="1"/>
    <col min="22" max="22" width="9.109375" hidden="1" customWidth="1"/>
    <col min="23" max="24" width="11.5546875" hidden="1" customWidth="1"/>
    <col min="25" max="25" width="9.109375" hidden="1" customWidth="1"/>
    <col min="26" max="26" width="11.44140625" hidden="1" customWidth="1"/>
    <col min="27" max="27" width="12" hidden="1" customWidth="1"/>
    <col min="28" max="28" width="9.109375" hidden="1" customWidth="1"/>
    <col min="29" max="29" width="11.44140625" hidden="1" customWidth="1"/>
    <col min="30" max="30" width="12" hidden="1" customWidth="1"/>
    <col min="31" max="31" width="16.88671875" hidden="1" customWidth="1"/>
    <col min="32" max="41" width="0" hidden="1" customWidth="1"/>
    <col min="42" max="16384" width="9.109375" hidden="1"/>
  </cols>
  <sheetData>
    <row r="1" spans="1:41" ht="15" thickBot="1" x14ac:dyDescent="0.35">
      <c r="A1" s="5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</row>
    <row r="2" spans="1:41" x14ac:dyDescent="0.3">
      <c r="A2" s="1" t="s">
        <v>0</v>
      </c>
      <c r="C2" s="5" t="s">
        <v>47</v>
      </c>
      <c r="D2" s="91">
        <v>3500</v>
      </c>
      <c r="E2" s="51"/>
      <c r="F2" s="68" t="s">
        <v>43</v>
      </c>
      <c r="G2" s="69" t="s">
        <v>22</v>
      </c>
      <c r="H2" s="69" t="s">
        <v>44</v>
      </c>
      <c r="I2" s="69" t="s">
        <v>23</v>
      </c>
      <c r="J2" s="69" t="s">
        <v>37</v>
      </c>
      <c r="K2" s="69" t="s">
        <v>45</v>
      </c>
      <c r="L2" s="69" t="s">
        <v>46</v>
      </c>
      <c r="M2" s="70" t="s">
        <v>34</v>
      </c>
      <c r="N2" s="61"/>
      <c r="O2" s="61"/>
      <c r="P2" s="61"/>
      <c r="Q2" s="61"/>
      <c r="R2" s="61"/>
      <c r="S2" s="61"/>
      <c r="T2" s="61"/>
      <c r="U2" s="61"/>
      <c r="V2" s="63"/>
      <c r="W2" s="59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</row>
    <row r="3" spans="1:41" x14ac:dyDescent="0.3">
      <c r="A3" s="2" t="s">
        <v>8</v>
      </c>
      <c r="B3" s="89"/>
      <c r="C3" s="3" t="s">
        <v>48</v>
      </c>
      <c r="D3" s="92">
        <v>8.7499999999999994E-2</v>
      </c>
      <c r="E3" s="51"/>
      <c r="F3" s="71">
        <v>0</v>
      </c>
      <c r="G3" s="82">
        <f>D6</f>
        <v>2800</v>
      </c>
      <c r="H3" s="82">
        <f t="shared" ref="H3:H10" si="0">G3+$D$4</f>
        <v>3106.25</v>
      </c>
      <c r="I3" s="82">
        <v>0</v>
      </c>
      <c r="J3" s="82">
        <f>I3-H3</f>
        <v>-3106.25</v>
      </c>
      <c r="K3" s="82">
        <f>H3</f>
        <v>3106.25</v>
      </c>
      <c r="L3" s="82">
        <f>I3/(1+$D$3)^F3</f>
        <v>0</v>
      </c>
      <c r="M3" s="93">
        <f>L10-K11</f>
        <v>1323.1967870776152</v>
      </c>
      <c r="N3" s="63"/>
      <c r="O3" s="63"/>
      <c r="P3" s="63"/>
      <c r="Q3" s="63"/>
      <c r="R3" s="63"/>
      <c r="S3" s="63"/>
      <c r="T3" s="63"/>
      <c r="U3" s="63"/>
      <c r="V3" s="64"/>
      <c r="W3" s="50"/>
      <c r="X3" s="50"/>
      <c r="Y3" s="50"/>
      <c r="Z3" s="50"/>
      <c r="AA3" s="50"/>
      <c r="AB3" s="50"/>
      <c r="AC3" s="50"/>
      <c r="AD3" s="50"/>
      <c r="AE3" s="45"/>
      <c r="AF3" s="45"/>
      <c r="AG3" s="45"/>
      <c r="AH3" s="45"/>
      <c r="AI3" s="45"/>
      <c r="AJ3" s="45"/>
      <c r="AK3" s="42"/>
      <c r="AL3" s="42"/>
      <c r="AM3" s="42"/>
      <c r="AN3" s="42"/>
      <c r="AO3" s="42"/>
    </row>
    <row r="4" spans="1:41" ht="15" thickBot="1" x14ac:dyDescent="0.35">
      <c r="A4" s="2" t="s">
        <v>10</v>
      </c>
      <c r="C4" s="4" t="s">
        <v>49</v>
      </c>
      <c r="D4" s="87">
        <f>D2*D3</f>
        <v>306.25</v>
      </c>
      <c r="E4" s="51"/>
      <c r="F4" s="71">
        <v>1</v>
      </c>
      <c r="G4" s="82">
        <f t="shared" ref="G4:G10" si="1">D7</f>
        <v>840</v>
      </c>
      <c r="H4" s="82">
        <f t="shared" si="0"/>
        <v>1146.25</v>
      </c>
      <c r="I4" s="82">
        <v>0</v>
      </c>
      <c r="J4" s="82">
        <f t="shared" ref="J4:J10" si="2">I4-H4</f>
        <v>-1146.25</v>
      </c>
      <c r="K4" s="82">
        <f>H4/(1+$D$3)^F4</f>
        <v>1054.0229885057472</v>
      </c>
      <c r="L4" s="82">
        <f t="shared" ref="L4:L9" si="3">I4/(1+$D$3)^F4</f>
        <v>0</v>
      </c>
      <c r="M4" s="93"/>
      <c r="N4" s="63"/>
      <c r="O4" s="76"/>
      <c r="P4" s="76"/>
      <c r="Q4" s="64"/>
      <c r="R4" s="74"/>
      <c r="S4" s="64"/>
      <c r="T4" s="64"/>
      <c r="U4" s="64"/>
      <c r="V4" s="64"/>
      <c r="W4" s="38"/>
      <c r="X4" s="38"/>
      <c r="Y4" s="39"/>
      <c r="Z4" s="38"/>
      <c r="AA4" s="50"/>
      <c r="AB4" s="39"/>
      <c r="AC4" s="38"/>
      <c r="AD4" s="50"/>
      <c r="AE4" s="46"/>
      <c r="AF4" s="45"/>
      <c r="AG4" s="45"/>
      <c r="AH4" s="47"/>
      <c r="AI4" s="45"/>
      <c r="AJ4" s="45"/>
      <c r="AK4" s="42"/>
      <c r="AL4" s="42"/>
      <c r="AM4" s="42"/>
      <c r="AN4" s="42"/>
      <c r="AO4" s="42"/>
    </row>
    <row r="5" spans="1:41" ht="15" thickBot="1" x14ac:dyDescent="0.35">
      <c r="A5" s="2" t="s">
        <v>11</v>
      </c>
      <c r="C5" s="51"/>
      <c r="D5" s="51"/>
      <c r="E5" s="51"/>
      <c r="F5" s="71">
        <v>2</v>
      </c>
      <c r="G5" s="82">
        <f t="shared" si="1"/>
        <v>840</v>
      </c>
      <c r="H5" s="82">
        <f t="shared" si="0"/>
        <v>1146.25</v>
      </c>
      <c r="I5" s="82">
        <v>0</v>
      </c>
      <c r="J5" s="82">
        <f t="shared" si="2"/>
        <v>-1146.25</v>
      </c>
      <c r="K5" s="82">
        <f t="shared" ref="K5:K10" si="4">H5/(1+$D$3)^F5</f>
        <v>969.21654115471017</v>
      </c>
      <c r="L5" s="82">
        <f t="shared" si="3"/>
        <v>0</v>
      </c>
      <c r="M5" s="93"/>
      <c r="N5" s="63"/>
      <c r="O5" s="83"/>
      <c r="P5" s="76"/>
      <c r="Q5" s="76"/>
      <c r="R5" s="76"/>
      <c r="S5" s="64"/>
      <c r="T5" s="64"/>
      <c r="U5" s="64"/>
      <c r="V5" s="64"/>
      <c r="W5" s="38"/>
      <c r="X5" s="38"/>
      <c r="Y5" s="39"/>
      <c r="Z5" s="38"/>
      <c r="AA5" s="50"/>
      <c r="AB5" s="39"/>
      <c r="AC5" s="38"/>
      <c r="AD5" s="50"/>
      <c r="AE5" s="45"/>
      <c r="AF5" s="45"/>
      <c r="AG5" s="45"/>
      <c r="AH5" s="45"/>
      <c r="AI5" s="45"/>
      <c r="AJ5" s="45"/>
      <c r="AK5" s="42"/>
      <c r="AL5" s="42"/>
      <c r="AM5" s="42"/>
      <c r="AN5" s="42"/>
      <c r="AO5" s="42"/>
    </row>
    <row r="6" spans="1:41" x14ac:dyDescent="0.3">
      <c r="A6" s="2" t="s">
        <v>33</v>
      </c>
      <c r="C6" s="52" t="s">
        <v>1</v>
      </c>
      <c r="D6" s="53">
        <v>2800</v>
      </c>
      <c r="E6" s="51"/>
      <c r="F6" s="71">
        <v>3</v>
      </c>
      <c r="G6" s="82">
        <f t="shared" si="1"/>
        <v>400</v>
      </c>
      <c r="H6" s="82">
        <f t="shared" si="0"/>
        <v>706.25</v>
      </c>
      <c r="I6" s="82">
        <v>0</v>
      </c>
      <c r="J6" s="82">
        <f t="shared" si="2"/>
        <v>-706.25</v>
      </c>
      <c r="K6" s="82">
        <f t="shared" si="4"/>
        <v>549.1243016356799</v>
      </c>
      <c r="L6" s="82">
        <f t="shared" si="3"/>
        <v>0</v>
      </c>
      <c r="M6" s="93"/>
      <c r="N6" s="75"/>
      <c r="O6" s="76"/>
      <c r="P6" s="76"/>
      <c r="Q6" s="76"/>
      <c r="R6" s="76"/>
      <c r="S6" s="76"/>
      <c r="T6" s="64"/>
      <c r="U6" s="64"/>
      <c r="V6" s="64"/>
      <c r="W6" s="38"/>
      <c r="X6" s="38"/>
      <c r="Y6" s="39"/>
      <c r="Z6" s="38"/>
      <c r="AA6" s="50"/>
      <c r="AB6" s="39"/>
      <c r="AC6" s="38"/>
      <c r="AD6" s="50"/>
      <c r="AE6" s="45"/>
      <c r="AF6" s="45"/>
      <c r="AG6" s="45"/>
      <c r="AH6" s="45"/>
      <c r="AI6" s="45"/>
      <c r="AJ6" s="45"/>
      <c r="AK6" s="42"/>
      <c r="AL6" s="42"/>
      <c r="AM6" s="42"/>
      <c r="AN6" s="42"/>
      <c r="AO6" s="42"/>
    </row>
    <row r="7" spans="1:41" ht="15" thickBot="1" x14ac:dyDescent="0.35">
      <c r="A7" s="90" t="s">
        <v>13</v>
      </c>
      <c r="C7" s="54" t="s">
        <v>2</v>
      </c>
      <c r="D7" s="55">
        <v>840</v>
      </c>
      <c r="E7" s="51"/>
      <c r="F7" s="71">
        <v>4</v>
      </c>
      <c r="G7" s="82">
        <f t="shared" si="1"/>
        <v>340</v>
      </c>
      <c r="H7" s="82">
        <f t="shared" si="0"/>
        <v>646.25</v>
      </c>
      <c r="I7" s="82">
        <v>0</v>
      </c>
      <c r="J7" s="82">
        <f t="shared" si="2"/>
        <v>-646.25</v>
      </c>
      <c r="K7" s="82">
        <f t="shared" si="4"/>
        <v>462.04416876516581</v>
      </c>
      <c r="L7" s="82">
        <f t="shared" si="3"/>
        <v>0</v>
      </c>
      <c r="M7" s="93"/>
      <c r="N7" s="75"/>
      <c r="O7" s="76"/>
      <c r="P7" s="76"/>
      <c r="Q7" s="76"/>
      <c r="R7" s="76"/>
      <c r="S7" s="76"/>
      <c r="T7" s="64"/>
      <c r="U7" s="64"/>
      <c r="V7" s="64"/>
      <c r="W7" s="38"/>
      <c r="X7" s="38"/>
      <c r="Y7" s="39"/>
      <c r="Z7" s="38"/>
      <c r="AA7" s="50"/>
      <c r="AB7" s="39"/>
      <c r="AC7" s="38"/>
      <c r="AD7" s="50"/>
      <c r="AE7" s="45"/>
      <c r="AF7" s="45"/>
      <c r="AG7" s="45"/>
      <c r="AH7" s="45"/>
      <c r="AI7" s="45"/>
      <c r="AJ7" s="45"/>
      <c r="AK7" s="42"/>
      <c r="AL7" s="42"/>
      <c r="AM7" s="42"/>
      <c r="AN7" s="42"/>
      <c r="AO7" s="42"/>
    </row>
    <row r="8" spans="1:41" ht="15" thickBot="1" x14ac:dyDescent="0.35">
      <c r="A8" s="51"/>
      <c r="C8" s="54" t="s">
        <v>3</v>
      </c>
      <c r="D8" s="55">
        <v>840</v>
      </c>
      <c r="E8" s="51"/>
      <c r="F8" s="71">
        <v>5</v>
      </c>
      <c r="G8" s="82">
        <f t="shared" si="1"/>
        <v>340</v>
      </c>
      <c r="H8" s="82">
        <f t="shared" si="0"/>
        <v>646.25</v>
      </c>
      <c r="I8" s="82">
        <v>0</v>
      </c>
      <c r="J8" s="82">
        <f t="shared" si="2"/>
        <v>-646.25</v>
      </c>
      <c r="K8" s="82">
        <f t="shared" si="4"/>
        <v>424.86820116337088</v>
      </c>
      <c r="L8" s="82">
        <f t="shared" si="3"/>
        <v>0</v>
      </c>
      <c r="M8" s="93"/>
      <c r="N8" s="75"/>
      <c r="O8" s="76"/>
      <c r="P8" s="83"/>
      <c r="Q8" s="76"/>
      <c r="R8" s="76"/>
      <c r="S8" s="76"/>
      <c r="T8" s="64"/>
      <c r="U8" s="64"/>
      <c r="V8" s="64"/>
      <c r="W8" s="38"/>
      <c r="X8" s="38"/>
      <c r="Y8" s="39"/>
      <c r="Z8" s="38"/>
      <c r="AA8" s="50"/>
      <c r="AB8" s="39"/>
      <c r="AC8" s="38"/>
      <c r="AD8" s="50"/>
      <c r="AE8" s="45"/>
      <c r="AF8" s="45"/>
      <c r="AG8" s="45"/>
      <c r="AH8" s="45"/>
      <c r="AI8" s="45"/>
      <c r="AJ8" s="42"/>
      <c r="AK8" s="42"/>
      <c r="AL8" s="42"/>
      <c r="AM8" s="42"/>
      <c r="AN8" s="42"/>
      <c r="AO8" s="42"/>
    </row>
    <row r="9" spans="1:41" x14ac:dyDescent="0.3">
      <c r="A9" s="6" t="s">
        <v>14</v>
      </c>
      <c r="C9" s="54" t="s">
        <v>4</v>
      </c>
      <c r="D9" s="55">
        <v>400</v>
      </c>
      <c r="E9" s="51"/>
      <c r="F9" s="71">
        <v>6</v>
      </c>
      <c r="G9" s="82">
        <f t="shared" si="1"/>
        <v>340</v>
      </c>
      <c r="H9" s="82">
        <f t="shared" si="0"/>
        <v>646.25</v>
      </c>
      <c r="I9" s="82">
        <v>0</v>
      </c>
      <c r="J9" s="82">
        <f t="shared" si="2"/>
        <v>-646.25</v>
      </c>
      <c r="K9" s="82">
        <f t="shared" si="4"/>
        <v>390.68340336861695</v>
      </c>
      <c r="L9" s="82">
        <f t="shared" si="3"/>
        <v>0</v>
      </c>
      <c r="M9" s="93"/>
      <c r="N9" s="75"/>
      <c r="O9" s="76"/>
      <c r="P9" s="76"/>
      <c r="Q9" s="76"/>
      <c r="R9" s="77"/>
      <c r="S9" s="76"/>
      <c r="T9" s="64"/>
      <c r="U9" s="64"/>
      <c r="V9" s="64"/>
      <c r="W9" s="38"/>
      <c r="X9" s="38"/>
      <c r="Y9" s="39"/>
      <c r="Z9" s="38"/>
      <c r="AA9" s="50"/>
      <c r="AB9" s="39"/>
      <c r="AC9" s="38"/>
      <c r="AD9" s="50"/>
      <c r="AE9" s="46"/>
      <c r="AF9" s="45"/>
      <c r="AG9" s="45"/>
      <c r="AH9" s="47"/>
      <c r="AI9" s="45"/>
      <c r="AJ9" s="42"/>
      <c r="AK9" s="42"/>
      <c r="AL9" s="42"/>
      <c r="AM9" s="42"/>
      <c r="AN9" s="42"/>
      <c r="AO9" s="42"/>
    </row>
    <row r="10" spans="1:41" x14ac:dyDescent="0.3">
      <c r="A10" s="7" t="s">
        <v>16</v>
      </c>
      <c r="C10" s="54" t="s">
        <v>5</v>
      </c>
      <c r="D10" s="55">
        <v>340</v>
      </c>
      <c r="E10" s="51"/>
      <c r="F10" s="71">
        <v>7</v>
      </c>
      <c r="G10" s="82">
        <f t="shared" si="1"/>
        <v>550</v>
      </c>
      <c r="H10" s="82">
        <f t="shared" si="0"/>
        <v>856.25</v>
      </c>
      <c r="I10" s="82">
        <f>D23</f>
        <v>15750</v>
      </c>
      <c r="J10" s="82">
        <f t="shared" si="2"/>
        <v>14893.75</v>
      </c>
      <c r="K10" s="82">
        <f t="shared" si="4"/>
        <v>475.98769435959474</v>
      </c>
      <c r="L10" s="82">
        <f>I10/(1+$D$3)^F10</f>
        <v>8755.3940860305011</v>
      </c>
      <c r="M10" s="93"/>
      <c r="N10" s="75"/>
      <c r="O10" s="76"/>
      <c r="P10" s="76"/>
      <c r="Q10" s="76"/>
      <c r="R10" s="76"/>
      <c r="S10" s="76"/>
      <c r="T10" s="64"/>
      <c r="U10" s="64"/>
      <c r="V10" s="64"/>
      <c r="W10" s="38"/>
      <c r="X10" s="38"/>
      <c r="Y10" s="39"/>
      <c r="Z10" s="38"/>
      <c r="AA10" s="50"/>
      <c r="AB10" s="39"/>
      <c r="AC10" s="38"/>
      <c r="AD10" s="50"/>
      <c r="AE10" s="50"/>
      <c r="AF10" s="50"/>
      <c r="AG10" s="50"/>
      <c r="AH10" s="50"/>
      <c r="AI10" s="50"/>
      <c r="AJ10" s="50"/>
      <c r="AK10" s="42"/>
      <c r="AL10" s="42"/>
      <c r="AM10" s="42"/>
      <c r="AN10" s="42"/>
      <c r="AO10" s="42"/>
    </row>
    <row r="11" spans="1:41" ht="15" thickBot="1" x14ac:dyDescent="0.35">
      <c r="A11" s="7" t="s">
        <v>15</v>
      </c>
      <c r="C11" s="54" t="s">
        <v>6</v>
      </c>
      <c r="D11" s="55">
        <v>340</v>
      </c>
      <c r="E11" s="51"/>
      <c r="F11" s="73" t="s">
        <v>52</v>
      </c>
      <c r="G11" s="94">
        <f t="shared" ref="G11:J11" si="5">SUM(G3:G10)</f>
        <v>6450</v>
      </c>
      <c r="H11" s="94">
        <f t="shared" si="5"/>
        <v>8900</v>
      </c>
      <c r="I11" s="94">
        <f t="shared" si="5"/>
        <v>15750</v>
      </c>
      <c r="J11" s="94">
        <f t="shared" si="5"/>
        <v>6850</v>
      </c>
      <c r="K11" s="94">
        <f>SUM(K3:K10)</f>
        <v>7432.1972989528858</v>
      </c>
      <c r="L11" s="94">
        <f>SUM(L3:L10)</f>
        <v>8755.3940860305011</v>
      </c>
      <c r="M11" s="95"/>
      <c r="N11" s="75"/>
      <c r="O11" s="76"/>
      <c r="P11" s="76"/>
      <c r="Q11" s="76"/>
      <c r="R11" s="76"/>
      <c r="S11" s="76"/>
      <c r="T11" s="64"/>
      <c r="U11" s="64"/>
      <c r="V11" s="64"/>
      <c r="W11" s="38"/>
      <c r="X11" s="38"/>
      <c r="Y11" s="39"/>
      <c r="Z11" s="38"/>
      <c r="AA11" s="50"/>
      <c r="AB11" s="50"/>
      <c r="AC11" s="38"/>
      <c r="AD11" s="50"/>
      <c r="AE11" s="50"/>
      <c r="AF11" s="50"/>
      <c r="AG11" s="50"/>
      <c r="AH11" s="50"/>
      <c r="AI11" s="50"/>
      <c r="AJ11" s="50"/>
      <c r="AK11" s="42"/>
      <c r="AL11" s="42"/>
      <c r="AM11" s="42"/>
      <c r="AN11" s="42"/>
      <c r="AO11" s="42"/>
    </row>
    <row r="12" spans="1:41" x14ac:dyDescent="0.3">
      <c r="A12" s="7" t="s">
        <v>17</v>
      </c>
      <c r="C12" s="54" t="s">
        <v>7</v>
      </c>
      <c r="D12" s="55">
        <v>340</v>
      </c>
      <c r="E12" s="51"/>
      <c r="F12" s="51"/>
      <c r="G12" s="51"/>
      <c r="H12" s="51"/>
      <c r="I12" s="51"/>
      <c r="J12" s="51"/>
      <c r="K12" s="51"/>
      <c r="L12" s="51"/>
      <c r="M12" s="51"/>
      <c r="N12" s="75"/>
      <c r="O12" s="76"/>
      <c r="P12" s="76"/>
      <c r="Q12" s="76"/>
      <c r="R12" s="76"/>
      <c r="S12" s="76"/>
      <c r="T12" s="64"/>
      <c r="U12" s="64"/>
      <c r="V12" s="64"/>
      <c r="W12" s="50"/>
      <c r="X12" s="50"/>
      <c r="Y12" s="50"/>
      <c r="Z12" s="50"/>
      <c r="AA12" s="50"/>
      <c r="AB12" s="39"/>
      <c r="AC12" s="50"/>
      <c r="AD12" s="50"/>
      <c r="AE12" s="50"/>
      <c r="AF12" s="50"/>
      <c r="AG12" s="50"/>
      <c r="AH12" s="50"/>
      <c r="AI12" s="50"/>
      <c r="AJ12" s="50"/>
      <c r="AK12" s="42"/>
      <c r="AL12" s="42"/>
      <c r="AM12" s="42"/>
      <c r="AN12" s="42"/>
      <c r="AO12" s="42"/>
    </row>
    <row r="13" spans="1:41" x14ac:dyDescent="0.3">
      <c r="A13" s="7" t="s">
        <v>18</v>
      </c>
      <c r="C13" s="54" t="s">
        <v>9</v>
      </c>
      <c r="D13" s="55">
        <v>550</v>
      </c>
      <c r="E13" s="51"/>
      <c r="F13" s="72" t="s">
        <v>53</v>
      </c>
      <c r="G13" s="72" t="s">
        <v>36</v>
      </c>
      <c r="H13" s="80" t="s">
        <v>35</v>
      </c>
      <c r="I13" s="72" t="s">
        <v>54</v>
      </c>
      <c r="J13" s="72" t="s">
        <v>55</v>
      </c>
      <c r="K13" s="72" t="s">
        <v>56</v>
      </c>
      <c r="L13" s="72" t="s">
        <v>57</v>
      </c>
      <c r="M13" s="51"/>
      <c r="N13" s="75"/>
      <c r="O13" s="76"/>
      <c r="P13" s="76"/>
      <c r="Q13" s="76"/>
      <c r="R13" s="76"/>
      <c r="S13" s="76"/>
      <c r="T13" s="64"/>
      <c r="U13" s="64"/>
      <c r="V13" s="64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</row>
    <row r="14" spans="1:41" x14ac:dyDescent="0.3">
      <c r="A14" s="7" t="s">
        <v>19</v>
      </c>
      <c r="C14" s="54" t="s">
        <v>12</v>
      </c>
      <c r="D14" s="55">
        <v>12</v>
      </c>
      <c r="E14" s="51"/>
      <c r="F14" s="82">
        <f>NPV(D3,J4:J10)+J3</f>
        <v>1323.1967870776143</v>
      </c>
      <c r="G14" s="84">
        <f>IRR(J3:J10)</f>
        <v>0.12261077736097881</v>
      </c>
      <c r="H14" s="85">
        <f>(F14*D3)/(1-(1+D3)^-F10)</f>
        <v>260.70526268669624</v>
      </c>
      <c r="I14" s="85">
        <f>-PMT(D3,F10,F14)</f>
        <v>260.70526268669596</v>
      </c>
      <c r="J14" s="82">
        <f>L11/K11</f>
        <v>1.1780357455343711</v>
      </c>
      <c r="K14" s="82">
        <f>D21*(1+D3)^-F10</f>
        <v>175.10788172061001</v>
      </c>
      <c r="L14" s="82">
        <f>K11/K14</f>
        <v>42.443533814264192</v>
      </c>
      <c r="M14" s="51"/>
      <c r="N14" s="75"/>
      <c r="O14" s="76"/>
      <c r="P14" s="76"/>
      <c r="Q14" s="76"/>
      <c r="R14" s="76"/>
      <c r="S14" s="76"/>
      <c r="T14" s="64"/>
      <c r="U14" s="64"/>
      <c r="V14" s="64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</row>
    <row r="15" spans="1:41" ht="15" thickBot="1" x14ac:dyDescent="0.35">
      <c r="A15" s="8" t="s">
        <v>20</v>
      </c>
      <c r="C15" s="54" t="s">
        <v>29</v>
      </c>
      <c r="D15" s="55">
        <v>2</v>
      </c>
      <c r="E15" s="51"/>
      <c r="F15" s="51"/>
      <c r="G15" s="51"/>
      <c r="H15" s="51"/>
      <c r="I15" s="51"/>
      <c r="J15" s="51"/>
      <c r="K15" s="51"/>
      <c r="L15" s="51"/>
      <c r="M15" s="51"/>
      <c r="N15" s="75"/>
      <c r="O15" s="76"/>
      <c r="P15" s="76"/>
      <c r="Q15" s="76"/>
      <c r="R15" s="76"/>
      <c r="S15" s="76"/>
      <c r="T15" s="64"/>
      <c r="U15" s="64"/>
      <c r="V15" s="64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</row>
    <row r="16" spans="1:41" ht="15" thickBot="1" x14ac:dyDescent="0.35">
      <c r="A16" s="88"/>
      <c r="C16" s="54" t="s">
        <v>30</v>
      </c>
      <c r="D16" s="56">
        <v>80</v>
      </c>
      <c r="E16" s="51"/>
      <c r="F16" s="51"/>
      <c r="G16" s="51"/>
      <c r="H16" s="51"/>
      <c r="I16" s="51"/>
      <c r="J16" s="51"/>
      <c r="K16" s="51"/>
      <c r="L16" s="51"/>
      <c r="M16" s="51"/>
      <c r="N16" s="75"/>
      <c r="O16" s="76"/>
      <c r="P16" s="76"/>
      <c r="Q16" s="76"/>
      <c r="R16" s="76"/>
      <c r="S16" s="76"/>
      <c r="T16" s="64"/>
      <c r="U16" s="64"/>
      <c r="V16" s="64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</row>
    <row r="17" spans="1:41" ht="15" thickBot="1" x14ac:dyDescent="0.35">
      <c r="A17" s="6" t="s">
        <v>24</v>
      </c>
      <c r="C17" s="57" t="s">
        <v>42</v>
      </c>
      <c r="D17" s="58">
        <v>30</v>
      </c>
      <c r="E17" s="51"/>
      <c r="F17" s="51"/>
      <c r="G17" s="51"/>
      <c r="H17" s="51"/>
      <c r="I17" s="51"/>
      <c r="J17" s="51"/>
      <c r="K17" s="51"/>
      <c r="L17" s="51"/>
      <c r="M17" s="51"/>
      <c r="N17" s="75"/>
      <c r="O17" s="76"/>
      <c r="P17" s="76"/>
      <c r="Q17" s="76"/>
      <c r="R17" s="76"/>
      <c r="S17" s="76"/>
      <c r="T17" s="64"/>
      <c r="U17" s="64"/>
      <c r="V17" s="64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</row>
    <row r="18" spans="1:41" ht="15" thickBot="1" x14ac:dyDescent="0.35">
      <c r="A18" s="7" t="s">
        <v>26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75"/>
      <c r="O18" s="76"/>
      <c r="P18" s="76"/>
      <c r="Q18" s="76"/>
      <c r="R18" s="76"/>
      <c r="S18" s="76"/>
      <c r="T18" s="64"/>
      <c r="U18" s="64"/>
      <c r="V18" s="64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</row>
    <row r="19" spans="1:41" ht="15" thickBot="1" x14ac:dyDescent="0.35">
      <c r="A19" s="8" t="s">
        <v>25</v>
      </c>
      <c r="C19" s="52" t="s">
        <v>61</v>
      </c>
      <c r="D19" s="53">
        <v>45</v>
      </c>
      <c r="E19" s="51"/>
      <c r="F19" s="51"/>
      <c r="G19" s="61"/>
      <c r="H19" s="61"/>
      <c r="I19" s="61"/>
      <c r="J19" s="61"/>
      <c r="K19" s="61"/>
      <c r="L19" s="61"/>
      <c r="M19" s="62"/>
      <c r="N19" s="76"/>
      <c r="O19" s="76"/>
      <c r="P19" s="76"/>
      <c r="Q19" s="76"/>
      <c r="R19" s="76"/>
      <c r="S19" s="76"/>
      <c r="T19" s="64"/>
      <c r="U19" s="64"/>
      <c r="V19" s="64"/>
      <c r="W19" s="42"/>
      <c r="X19" s="42"/>
      <c r="Y19" s="42"/>
      <c r="Z19" s="42"/>
      <c r="AA19" s="42"/>
      <c r="AB19" s="42"/>
      <c r="AC19" s="42"/>
      <c r="AD19" s="42"/>
      <c r="AE19" s="42"/>
      <c r="AF19" s="42"/>
    </row>
    <row r="20" spans="1:41" ht="15" thickBot="1" x14ac:dyDescent="0.35">
      <c r="A20" s="51"/>
      <c r="C20" s="54" t="s">
        <v>51</v>
      </c>
      <c r="D20" s="55">
        <v>7</v>
      </c>
      <c r="E20" s="62"/>
      <c r="F20" s="61"/>
      <c r="G20" s="61"/>
      <c r="H20" s="61"/>
      <c r="I20" s="61"/>
      <c r="J20" s="61"/>
      <c r="K20" s="61"/>
      <c r="L20" s="61"/>
      <c r="M20" s="62"/>
      <c r="N20" s="76"/>
      <c r="O20" s="76"/>
      <c r="P20" s="76"/>
      <c r="Q20" s="76"/>
      <c r="R20" s="76"/>
      <c r="S20" s="76"/>
      <c r="T20" s="64"/>
      <c r="U20" s="64"/>
      <c r="V20" s="64"/>
      <c r="W20" s="42"/>
      <c r="X20" s="42"/>
      <c r="Y20" s="42"/>
      <c r="Z20" s="42"/>
      <c r="AA20" s="42"/>
      <c r="AB20" s="42"/>
      <c r="AC20" s="42"/>
      <c r="AD20" s="42"/>
      <c r="AE20" s="42"/>
      <c r="AF20" s="42"/>
    </row>
    <row r="21" spans="1:41" x14ac:dyDescent="0.3">
      <c r="A21" s="9" t="s">
        <v>27</v>
      </c>
      <c r="C21" s="54" t="s">
        <v>59</v>
      </c>
      <c r="D21" s="86">
        <f>D19*D20</f>
        <v>315</v>
      </c>
      <c r="E21" s="62"/>
      <c r="F21" s="61"/>
      <c r="G21" s="61"/>
      <c r="H21" s="61"/>
      <c r="I21" s="61"/>
      <c r="J21" s="61"/>
      <c r="K21" s="61"/>
      <c r="L21" s="61"/>
      <c r="M21" s="62"/>
      <c r="N21" s="76"/>
      <c r="O21" s="76"/>
      <c r="P21" s="76"/>
      <c r="Q21" s="76"/>
      <c r="R21" s="76"/>
      <c r="S21" s="76"/>
      <c r="T21" s="64"/>
      <c r="U21" s="64"/>
      <c r="V21" s="64"/>
      <c r="W21" s="42"/>
      <c r="X21" s="42"/>
      <c r="Y21" s="42"/>
      <c r="Z21" s="42"/>
      <c r="AA21" s="42"/>
      <c r="AB21" s="42"/>
      <c r="AC21" s="42"/>
      <c r="AD21" s="42"/>
      <c r="AE21" s="42"/>
      <c r="AF21" s="42"/>
    </row>
    <row r="22" spans="1:41" x14ac:dyDescent="0.3">
      <c r="A22" s="10" t="s">
        <v>28</v>
      </c>
      <c r="C22" s="54" t="s">
        <v>58</v>
      </c>
      <c r="D22" s="86">
        <v>50</v>
      </c>
      <c r="E22" s="62"/>
      <c r="F22" s="61"/>
      <c r="G22" s="61"/>
      <c r="H22" s="61"/>
      <c r="I22" s="61"/>
      <c r="J22" s="61"/>
      <c r="K22" s="61"/>
      <c r="L22" s="61"/>
      <c r="M22" s="62"/>
      <c r="N22" s="76"/>
      <c r="O22" s="76"/>
      <c r="P22" s="76"/>
      <c r="Q22" s="76"/>
      <c r="R22" s="76"/>
      <c r="S22" s="76"/>
      <c r="T22" s="64"/>
      <c r="U22" s="64"/>
      <c r="V22" s="64"/>
      <c r="W22" s="42"/>
      <c r="X22" s="42"/>
      <c r="Y22" s="42"/>
      <c r="Z22" s="42"/>
      <c r="AA22" s="42"/>
      <c r="AB22" s="42"/>
      <c r="AC22" s="42"/>
      <c r="AD22" s="42"/>
      <c r="AE22" s="42"/>
      <c r="AF22" s="42"/>
    </row>
    <row r="23" spans="1:41" x14ac:dyDescent="0.3">
      <c r="A23" s="10" t="s">
        <v>31</v>
      </c>
      <c r="C23" s="54" t="s">
        <v>50</v>
      </c>
      <c r="D23" s="86">
        <f>D21*D22</f>
        <v>15750</v>
      </c>
      <c r="E23" s="62"/>
      <c r="F23" s="61"/>
      <c r="G23" s="62"/>
      <c r="H23" s="62"/>
      <c r="I23" s="62"/>
      <c r="J23" s="62"/>
      <c r="K23" s="62"/>
      <c r="L23" s="62"/>
      <c r="M23" s="62"/>
      <c r="N23" s="76"/>
      <c r="O23" s="76"/>
      <c r="P23" s="76"/>
      <c r="Q23" s="76"/>
      <c r="R23" s="76"/>
      <c r="S23" s="76"/>
      <c r="T23" s="64"/>
      <c r="U23" s="64"/>
      <c r="V23" s="64"/>
      <c r="W23" s="96"/>
      <c r="X23" s="96"/>
      <c r="Y23" s="42"/>
      <c r="Z23" s="42"/>
      <c r="AA23" s="42"/>
      <c r="AB23" s="42"/>
      <c r="AC23" s="42"/>
      <c r="AD23" s="42"/>
      <c r="AE23" s="42"/>
      <c r="AF23" s="42"/>
    </row>
    <row r="24" spans="1:41" ht="15" thickBot="1" x14ac:dyDescent="0.35">
      <c r="A24" s="11" t="s">
        <v>41</v>
      </c>
      <c r="C24" s="54" t="s">
        <v>60</v>
      </c>
      <c r="D24" s="86">
        <f>D19*F10*D14</f>
        <v>3780</v>
      </c>
      <c r="E24" s="62"/>
      <c r="F24" s="62"/>
      <c r="G24" s="62"/>
      <c r="H24" s="62"/>
      <c r="I24" s="62"/>
      <c r="J24" s="62"/>
      <c r="K24" s="62"/>
      <c r="L24" s="62"/>
      <c r="M24" s="62"/>
      <c r="N24" s="76"/>
      <c r="O24" s="76"/>
      <c r="P24" s="76"/>
      <c r="Q24" s="76"/>
      <c r="R24" s="76"/>
      <c r="S24" s="76"/>
      <c r="T24" s="64"/>
      <c r="U24" s="64"/>
      <c r="V24" s="64"/>
      <c r="W24" s="50"/>
      <c r="X24" s="50"/>
      <c r="Y24" s="50"/>
      <c r="Z24" s="50"/>
      <c r="AA24" s="50"/>
      <c r="AB24" s="50"/>
      <c r="AC24" s="50"/>
      <c r="AD24" s="42"/>
      <c r="AE24" s="42"/>
      <c r="AF24" s="42"/>
    </row>
    <row r="25" spans="1:41" x14ac:dyDescent="0.3">
      <c r="A25" s="51"/>
      <c r="C25" s="54" t="s">
        <v>62</v>
      </c>
      <c r="D25" s="86">
        <f>((D19*D20)/D17)*D15*D16</f>
        <v>1680</v>
      </c>
      <c r="E25" s="62"/>
      <c r="F25" s="62"/>
      <c r="G25" s="61"/>
      <c r="H25" s="62"/>
      <c r="I25" s="62"/>
      <c r="J25" s="62"/>
      <c r="K25" s="62"/>
      <c r="L25" s="62"/>
      <c r="M25" s="62"/>
      <c r="N25" s="76"/>
      <c r="O25" s="76"/>
      <c r="P25" s="76"/>
      <c r="Q25" s="76"/>
      <c r="R25" s="76"/>
      <c r="S25" s="76"/>
      <c r="T25" s="64"/>
      <c r="U25" s="64"/>
      <c r="V25" s="64"/>
      <c r="W25" s="50"/>
      <c r="X25" s="38"/>
      <c r="Y25" s="39"/>
      <c r="Z25" s="38"/>
      <c r="AA25" s="50"/>
      <c r="AB25" s="50"/>
      <c r="AC25" s="50"/>
      <c r="AD25" s="42"/>
      <c r="AE25" s="42"/>
      <c r="AF25" s="42"/>
    </row>
    <row r="26" spans="1:41" ht="15" thickBot="1" x14ac:dyDescent="0.35">
      <c r="C26" s="57" t="s">
        <v>63</v>
      </c>
      <c r="D26" s="87">
        <v>65</v>
      </c>
      <c r="E26" s="62"/>
      <c r="F26" s="61"/>
      <c r="G26" s="61"/>
      <c r="H26" s="61"/>
      <c r="I26" s="61"/>
      <c r="J26" s="61"/>
      <c r="K26" s="61"/>
      <c r="L26" s="61"/>
      <c r="M26" s="62"/>
      <c r="N26" s="76"/>
      <c r="O26" s="76"/>
      <c r="P26" s="76"/>
      <c r="Q26" s="76"/>
      <c r="R26" s="76"/>
      <c r="S26" s="76"/>
      <c r="T26" s="64"/>
      <c r="U26" s="64"/>
      <c r="V26" s="64"/>
      <c r="W26" s="50"/>
      <c r="X26" s="38"/>
      <c r="Y26" s="39"/>
      <c r="Z26" s="38"/>
      <c r="AA26" s="40"/>
      <c r="AB26" s="41"/>
      <c r="AC26" s="40"/>
      <c r="AD26" s="42"/>
      <c r="AE26" s="42"/>
      <c r="AF26" s="42"/>
    </row>
    <row r="27" spans="1:41" x14ac:dyDescent="0.3">
      <c r="C27" s="62"/>
      <c r="D27" s="62"/>
      <c r="E27" s="62"/>
      <c r="F27" s="61"/>
      <c r="G27" s="60"/>
      <c r="H27" s="65"/>
      <c r="I27" s="60"/>
      <c r="J27" s="66"/>
      <c r="K27" s="67"/>
      <c r="L27" s="66"/>
      <c r="M27" s="62"/>
      <c r="N27" s="76"/>
      <c r="O27" s="81"/>
      <c r="P27" s="81"/>
      <c r="Q27" s="81"/>
      <c r="R27" s="81"/>
      <c r="S27" s="76"/>
      <c r="T27" s="64"/>
      <c r="U27" s="64"/>
      <c r="V27" s="42"/>
      <c r="W27" s="50"/>
      <c r="X27" s="38"/>
      <c r="Y27" s="39"/>
      <c r="Z27" s="38"/>
      <c r="AA27" s="40"/>
      <c r="AB27" s="50"/>
      <c r="AC27" s="50"/>
      <c r="AD27" s="42"/>
      <c r="AE27" s="42"/>
      <c r="AF27" s="42"/>
    </row>
    <row r="28" spans="1:41" hidden="1" x14ac:dyDescent="0.3">
      <c r="C28" s="62"/>
      <c r="D28" s="62"/>
      <c r="E28" s="62"/>
      <c r="F28" s="50"/>
      <c r="G28" s="38"/>
      <c r="H28" s="39"/>
      <c r="I28" s="38"/>
      <c r="J28" s="50"/>
      <c r="K28" s="50"/>
      <c r="L28" s="50"/>
      <c r="M28" s="42"/>
      <c r="N28" s="81"/>
      <c r="O28" s="81"/>
      <c r="P28" s="81"/>
      <c r="Q28" s="81"/>
      <c r="R28" s="81"/>
      <c r="S28" s="78"/>
      <c r="T28" s="78"/>
      <c r="U28" s="42"/>
      <c r="V28" s="42"/>
      <c r="W28" s="50"/>
      <c r="X28" s="38"/>
      <c r="Y28" s="39"/>
      <c r="Z28" s="38"/>
      <c r="AA28" s="50"/>
      <c r="AB28" s="50"/>
      <c r="AC28" s="50"/>
      <c r="AD28" s="42"/>
      <c r="AE28" s="42"/>
      <c r="AF28" s="42"/>
    </row>
    <row r="29" spans="1:41" ht="25.8" hidden="1" x14ac:dyDescent="0.5">
      <c r="C29" s="42"/>
      <c r="D29" s="42"/>
      <c r="E29" s="42"/>
      <c r="F29" s="50"/>
      <c r="G29" s="38"/>
      <c r="H29" s="39"/>
      <c r="I29" s="38"/>
      <c r="J29" s="50"/>
      <c r="K29" s="42"/>
      <c r="L29" s="50"/>
      <c r="M29" s="42"/>
      <c r="N29" s="79"/>
      <c r="O29" s="78"/>
      <c r="P29" s="78"/>
      <c r="Q29" s="78"/>
      <c r="R29" s="78"/>
      <c r="S29" s="78"/>
      <c r="T29" s="78"/>
      <c r="U29" s="42"/>
      <c r="V29" s="42"/>
      <c r="W29" s="50"/>
      <c r="X29" s="38"/>
      <c r="Y29" s="39"/>
      <c r="Z29" s="38"/>
      <c r="AA29" s="50"/>
      <c r="AB29" s="50"/>
      <c r="AC29" s="50"/>
      <c r="AD29" s="42"/>
      <c r="AE29" s="42"/>
      <c r="AF29" s="42"/>
    </row>
    <row r="30" spans="1:41" ht="25.8" hidden="1" x14ac:dyDescent="0.5">
      <c r="C30" s="42"/>
      <c r="D30" s="42"/>
      <c r="E30" s="42"/>
      <c r="F30" s="50"/>
      <c r="G30" s="38"/>
      <c r="H30" s="39"/>
      <c r="I30" s="38"/>
      <c r="J30" s="50"/>
      <c r="K30" s="50"/>
      <c r="L30" s="50"/>
      <c r="M30" s="42"/>
      <c r="N30" s="78"/>
      <c r="O30" s="78"/>
      <c r="P30" s="78"/>
      <c r="Q30" s="78"/>
      <c r="R30" s="78"/>
      <c r="S30" s="78"/>
      <c r="T30" s="78"/>
      <c r="U30" s="42"/>
      <c r="V30" s="42"/>
      <c r="W30" s="50"/>
      <c r="X30" s="38"/>
      <c r="Y30" s="39"/>
      <c r="Z30" s="38"/>
      <c r="AA30" s="50"/>
      <c r="AB30" s="50"/>
      <c r="AC30" s="50"/>
      <c r="AD30" s="42"/>
      <c r="AE30" s="44"/>
      <c r="AF30" s="42"/>
    </row>
    <row r="31" spans="1:41" hidden="1" x14ac:dyDescent="0.3">
      <c r="C31" s="42"/>
      <c r="D31" s="42"/>
      <c r="E31" s="42"/>
      <c r="F31" s="50"/>
      <c r="G31" s="38"/>
      <c r="H31" s="39"/>
      <c r="I31" s="38"/>
      <c r="J31" s="50"/>
      <c r="K31" s="50"/>
      <c r="L31" s="50"/>
      <c r="M31" s="42"/>
      <c r="N31" s="78"/>
      <c r="O31" s="78"/>
      <c r="P31" s="78"/>
      <c r="Q31" s="78"/>
      <c r="R31" s="78"/>
      <c r="S31" s="78"/>
      <c r="T31" s="78"/>
      <c r="U31" s="42"/>
      <c r="V31" s="42"/>
      <c r="W31" s="50"/>
      <c r="X31" s="38"/>
      <c r="Y31" s="39"/>
      <c r="Z31" s="38"/>
      <c r="AA31" s="50"/>
      <c r="AB31" s="50"/>
      <c r="AC31" s="50"/>
      <c r="AD31" s="42"/>
      <c r="AE31" s="42"/>
      <c r="AF31" s="42"/>
    </row>
    <row r="32" spans="1:41" hidden="1" x14ac:dyDescent="0.3">
      <c r="C32" s="42"/>
      <c r="D32" s="42"/>
      <c r="E32" s="42"/>
      <c r="F32" s="50"/>
      <c r="G32" s="38"/>
      <c r="H32" s="39"/>
      <c r="I32" s="38"/>
      <c r="J32" s="50"/>
      <c r="K32" s="50"/>
      <c r="L32" s="50"/>
      <c r="M32" s="42"/>
      <c r="N32" s="78"/>
      <c r="O32" s="78"/>
      <c r="P32" s="78"/>
      <c r="Q32" s="78"/>
      <c r="R32" s="78"/>
      <c r="S32" s="78"/>
      <c r="T32" s="78"/>
      <c r="U32" s="42"/>
      <c r="V32" s="42"/>
      <c r="W32" s="50"/>
      <c r="X32" s="38"/>
      <c r="Y32" s="39"/>
      <c r="Z32" s="38"/>
      <c r="AA32" s="50"/>
      <c r="AB32" s="50"/>
      <c r="AC32" s="50"/>
      <c r="AD32" s="42"/>
      <c r="AE32" s="42"/>
      <c r="AF32" s="42"/>
    </row>
    <row r="33" spans="3:32" hidden="1" x14ac:dyDescent="0.3">
      <c r="C33" s="42"/>
      <c r="D33" s="42"/>
      <c r="E33" s="42"/>
      <c r="F33" s="50"/>
      <c r="G33" s="38"/>
      <c r="H33" s="50"/>
      <c r="I33" s="38"/>
      <c r="J33" s="50"/>
      <c r="K33" s="50"/>
      <c r="L33" s="50"/>
      <c r="M33" s="42"/>
      <c r="N33" s="78"/>
      <c r="O33" s="78"/>
      <c r="P33" s="78"/>
      <c r="Q33" s="78"/>
      <c r="R33" s="78"/>
      <c r="S33" s="78"/>
      <c r="T33" s="78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</row>
    <row r="34" spans="3:32" hidden="1" x14ac:dyDescent="0.3">
      <c r="C34" s="42"/>
      <c r="D34" s="42"/>
      <c r="E34" s="42"/>
      <c r="F34" s="50"/>
      <c r="G34" s="42"/>
      <c r="H34" s="42"/>
      <c r="I34" s="42"/>
      <c r="J34" s="42"/>
      <c r="K34" s="42"/>
      <c r="L34" s="42"/>
      <c r="M34" s="42"/>
      <c r="N34" s="78"/>
      <c r="O34" s="78"/>
      <c r="P34" s="78"/>
      <c r="Q34" s="78"/>
      <c r="R34" s="78"/>
      <c r="S34" s="78"/>
      <c r="T34" s="78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</row>
    <row r="35" spans="3:32" hidden="1" x14ac:dyDescent="0.3"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78"/>
      <c r="O35" s="78"/>
      <c r="P35" s="78"/>
      <c r="Q35" s="78"/>
      <c r="R35" s="78"/>
      <c r="S35" s="78"/>
      <c r="T35" s="78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</row>
    <row r="36" spans="3:32" hidden="1" x14ac:dyDescent="0.3">
      <c r="C36" s="42"/>
      <c r="D36" s="42"/>
      <c r="E36" s="42"/>
      <c r="F36" s="42"/>
      <c r="G36" s="50"/>
      <c r="H36" s="42"/>
      <c r="I36" s="42"/>
      <c r="J36" s="42"/>
      <c r="K36" s="42"/>
      <c r="L36" s="42"/>
      <c r="M36" s="42"/>
      <c r="N36" s="78"/>
      <c r="S36" s="78"/>
      <c r="T36" s="78"/>
      <c r="U36" s="42"/>
    </row>
    <row r="37" spans="3:32" ht="15" hidden="1" thickBot="1" x14ac:dyDescent="0.35">
      <c r="F37" s="50"/>
      <c r="G37" s="21" t="s">
        <v>22</v>
      </c>
      <c r="H37" s="21" t="s">
        <v>23</v>
      </c>
      <c r="I37" s="30" t="s">
        <v>37</v>
      </c>
    </row>
    <row r="38" spans="3:32" ht="15" hidden="1" thickBot="1" x14ac:dyDescent="0.35">
      <c r="F38" s="20" t="s">
        <v>21</v>
      </c>
      <c r="G38" s="18">
        <f>H5</f>
        <v>1146.25</v>
      </c>
      <c r="H38" s="17">
        <v>0</v>
      </c>
      <c r="I38" s="19">
        <f>H38-G38</f>
        <v>-1146.25</v>
      </c>
      <c r="J38" s="13" t="s">
        <v>34</v>
      </c>
      <c r="K38" s="14" t="s">
        <v>36</v>
      </c>
      <c r="L38" s="15" t="s">
        <v>35</v>
      </c>
    </row>
    <row r="39" spans="3:32" ht="15" hidden="1" thickBot="1" x14ac:dyDescent="0.35">
      <c r="F39" s="16">
        <v>0</v>
      </c>
      <c r="G39" s="18">
        <f t="shared" ref="G39:G45" si="6">H6</f>
        <v>706.25</v>
      </c>
      <c r="H39" s="17">
        <v>0</v>
      </c>
      <c r="I39" s="19">
        <f t="shared" ref="I39:I45" si="7">H39-G39</f>
        <v>-706.25</v>
      </c>
      <c r="J39" s="26" t="e">
        <f>NPV(C21,I38:I45)</f>
        <v>#VALUE!</v>
      </c>
      <c r="K39" s="27" t="e">
        <f>IRR(I38:I45)</f>
        <v>#NUM!</v>
      </c>
      <c r="L39" s="28" t="e">
        <f>-PMT(0.0875,7,J39)</f>
        <v>#VALUE!</v>
      </c>
    </row>
    <row r="40" spans="3:32" ht="15" hidden="1" thickBot="1" x14ac:dyDescent="0.35">
      <c r="F40" s="16">
        <v>1</v>
      </c>
      <c r="G40" s="18">
        <f t="shared" si="6"/>
        <v>646.25</v>
      </c>
      <c r="H40" s="17">
        <v>0</v>
      </c>
      <c r="I40" s="19">
        <f t="shared" si="7"/>
        <v>-646.25</v>
      </c>
    </row>
    <row r="41" spans="3:32" ht="26.4" hidden="1" thickBot="1" x14ac:dyDescent="0.55000000000000004">
      <c r="F41" s="16">
        <v>2</v>
      </c>
      <c r="G41" s="18">
        <f t="shared" si="6"/>
        <v>646.25</v>
      </c>
      <c r="H41" s="17">
        <v>0</v>
      </c>
      <c r="I41" s="19">
        <f t="shared" si="7"/>
        <v>-646.25</v>
      </c>
      <c r="N41" s="12" t="s">
        <v>38</v>
      </c>
    </row>
    <row r="42" spans="3:32" hidden="1" x14ac:dyDescent="0.3">
      <c r="F42" s="16">
        <v>3</v>
      </c>
      <c r="G42" s="18">
        <f t="shared" si="6"/>
        <v>646.25</v>
      </c>
      <c r="H42" s="17">
        <v>0</v>
      </c>
      <c r="I42" s="19">
        <f t="shared" si="7"/>
        <v>-646.25</v>
      </c>
    </row>
    <row r="43" spans="3:32" hidden="1" x14ac:dyDescent="0.3">
      <c r="F43" s="16">
        <v>4</v>
      </c>
      <c r="G43" s="18">
        <f t="shared" si="6"/>
        <v>856.25</v>
      </c>
      <c r="H43" s="17">
        <v>0</v>
      </c>
      <c r="I43" s="19">
        <f t="shared" si="7"/>
        <v>-856.25</v>
      </c>
    </row>
    <row r="44" spans="3:32" hidden="1" x14ac:dyDescent="0.3">
      <c r="F44" s="16">
        <v>5</v>
      </c>
      <c r="G44" s="18">
        <f t="shared" si="6"/>
        <v>8900</v>
      </c>
      <c r="H44" s="17">
        <v>0</v>
      </c>
      <c r="I44" s="19">
        <f t="shared" si="7"/>
        <v>-8900</v>
      </c>
    </row>
    <row r="45" spans="3:32" ht="15" hidden="1" thickBot="1" x14ac:dyDescent="0.35">
      <c r="F45" s="16">
        <v>6</v>
      </c>
      <c r="G45" s="22">
        <f t="shared" si="6"/>
        <v>0</v>
      </c>
      <c r="H45" s="21">
        <f>I12</f>
        <v>0</v>
      </c>
      <c r="I45" s="23">
        <f t="shared" si="7"/>
        <v>0</v>
      </c>
    </row>
    <row r="46" spans="3:32" ht="15" hidden="1" thickBot="1" x14ac:dyDescent="0.35">
      <c r="F46" s="20">
        <v>7</v>
      </c>
    </row>
    <row r="47" spans="3:32" hidden="1" x14ac:dyDescent="0.3">
      <c r="G47" s="17"/>
    </row>
    <row r="48" spans="3:32" ht="15" hidden="1" thickBot="1" x14ac:dyDescent="0.35">
      <c r="F48" s="17"/>
      <c r="G48" s="49"/>
      <c r="H48" t="s">
        <v>39</v>
      </c>
    </row>
    <row r="49" spans="6:14" ht="15" hidden="1" thickBot="1" x14ac:dyDescent="0.35">
      <c r="F49" s="49" t="s">
        <v>32</v>
      </c>
      <c r="G49" s="36" t="s">
        <v>22</v>
      </c>
      <c r="H49" s="36" t="s">
        <v>23</v>
      </c>
      <c r="I49" s="37" t="s">
        <v>37</v>
      </c>
    </row>
    <row r="50" spans="6:14" ht="15" hidden="1" thickBot="1" x14ac:dyDescent="0.35">
      <c r="F50" s="35" t="s">
        <v>21</v>
      </c>
      <c r="G50" s="18">
        <f>G38</f>
        <v>1146.25</v>
      </c>
      <c r="H50" s="17">
        <f>H38</f>
        <v>0</v>
      </c>
      <c r="I50" s="19">
        <f>H50-G50</f>
        <v>-1146.25</v>
      </c>
      <c r="J50" s="24" t="s">
        <v>34</v>
      </c>
      <c r="K50" s="25" t="s">
        <v>36</v>
      </c>
      <c r="L50" s="29" t="s">
        <v>35</v>
      </c>
    </row>
    <row r="51" spans="6:14" hidden="1" x14ac:dyDescent="0.3">
      <c r="F51" s="16">
        <v>0</v>
      </c>
      <c r="G51" s="18">
        <f t="shared" ref="G51:H57" si="8">G39</f>
        <v>706.25</v>
      </c>
      <c r="H51" s="17">
        <f t="shared" si="8"/>
        <v>0</v>
      </c>
      <c r="I51" s="19">
        <f t="shared" ref="I51:I57" si="9">H51-G51</f>
        <v>-706.25</v>
      </c>
      <c r="J51" s="31" t="e">
        <f>NPV(C21, I51:I57)</f>
        <v>#VALUE!</v>
      </c>
      <c r="K51" s="32" t="e">
        <f>IRR(I50:I57)</f>
        <v>#NUM!</v>
      </c>
      <c r="L51" s="33" t="e">
        <f>-PMT(C21, 7, J52)</f>
        <v>#VALUE!</v>
      </c>
    </row>
    <row r="52" spans="6:14" ht="15" hidden="1" thickBot="1" x14ac:dyDescent="0.35">
      <c r="F52" s="16">
        <v>1</v>
      </c>
      <c r="G52" s="18">
        <f t="shared" si="8"/>
        <v>646.25</v>
      </c>
      <c r="H52" s="17">
        <f t="shared" si="8"/>
        <v>0</v>
      </c>
      <c r="I52" s="19">
        <f t="shared" si="9"/>
        <v>-646.25</v>
      </c>
      <c r="J52" s="34" t="e">
        <f>J51-G50</f>
        <v>#VALUE!</v>
      </c>
      <c r="K52" s="21"/>
      <c r="L52" s="30"/>
    </row>
    <row r="53" spans="6:14" hidden="1" x14ac:dyDescent="0.3">
      <c r="F53" s="16">
        <v>2</v>
      </c>
      <c r="G53" s="18">
        <f t="shared" si="8"/>
        <v>646.25</v>
      </c>
      <c r="H53" s="17">
        <f t="shared" si="8"/>
        <v>0</v>
      </c>
      <c r="I53" s="19">
        <f t="shared" si="9"/>
        <v>-646.25</v>
      </c>
    </row>
    <row r="54" spans="6:14" ht="15" hidden="1" thickBot="1" x14ac:dyDescent="0.35">
      <c r="F54" s="16">
        <v>3</v>
      </c>
      <c r="G54" s="18">
        <f t="shared" si="8"/>
        <v>646.25</v>
      </c>
      <c r="H54" s="17">
        <f t="shared" si="8"/>
        <v>0</v>
      </c>
      <c r="I54" s="19">
        <f t="shared" si="9"/>
        <v>-646.25</v>
      </c>
    </row>
    <row r="55" spans="6:14" ht="26.4" hidden="1" thickBot="1" x14ac:dyDescent="0.55000000000000004">
      <c r="F55" s="16">
        <v>4</v>
      </c>
      <c r="G55" s="18">
        <f t="shared" si="8"/>
        <v>856.25</v>
      </c>
      <c r="H55" s="17">
        <f t="shared" si="8"/>
        <v>0</v>
      </c>
      <c r="I55" s="19">
        <f t="shared" si="9"/>
        <v>-856.25</v>
      </c>
      <c r="N55" s="12" t="s">
        <v>40</v>
      </c>
    </row>
    <row r="56" spans="6:14" hidden="1" x14ac:dyDescent="0.3">
      <c r="F56" s="16">
        <v>5</v>
      </c>
      <c r="G56" s="18">
        <f t="shared" si="8"/>
        <v>8900</v>
      </c>
      <c r="H56" s="17">
        <f t="shared" si="8"/>
        <v>0</v>
      </c>
      <c r="I56" s="19">
        <f t="shared" si="9"/>
        <v>-8900</v>
      </c>
    </row>
    <row r="57" spans="6:14" ht="15" hidden="1" thickBot="1" x14ac:dyDescent="0.35">
      <c r="F57" s="16">
        <v>6</v>
      </c>
      <c r="G57" s="22">
        <f t="shared" si="8"/>
        <v>0</v>
      </c>
      <c r="H57" s="21">
        <f t="shared" si="8"/>
        <v>0</v>
      </c>
      <c r="I57" s="23">
        <f t="shared" si="9"/>
        <v>0</v>
      </c>
    </row>
    <row r="58" spans="6:14" ht="15" hidden="1" thickBot="1" x14ac:dyDescent="0.35">
      <c r="F58" s="20">
        <v>7</v>
      </c>
    </row>
  </sheetData>
  <mergeCells count="1">
    <mergeCell ref="W23:X2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8"/>
  <sheetViews>
    <sheetView workbookViewId="0">
      <selection activeCell="E4" sqref="E3:E4"/>
    </sheetView>
  </sheetViews>
  <sheetFormatPr defaultColWidth="0" defaultRowHeight="14.4" zeroHeight="1" x14ac:dyDescent="0.3"/>
  <cols>
    <col min="1" max="1" width="58" bestFit="1" customWidth="1"/>
    <col min="2" max="2" width="3.44140625" style="62" customWidth="1"/>
    <col min="3" max="3" width="26.5546875" bestFit="1" customWidth="1"/>
    <col min="4" max="5" width="9.109375" customWidth="1"/>
    <col min="6" max="6" width="14.44140625" bestFit="1" customWidth="1"/>
    <col min="7" max="7" width="11.6640625" bestFit="1" customWidth="1"/>
    <col min="8" max="8" width="16.44140625" bestFit="1" customWidth="1"/>
    <col min="9" max="9" width="14.6640625" customWidth="1"/>
    <col min="10" max="10" width="15.44140625" customWidth="1"/>
    <col min="11" max="12" width="12.109375" bestFit="1" customWidth="1"/>
    <col min="13" max="13" width="11.5546875" bestFit="1" customWidth="1"/>
    <col min="14" max="14" width="5" customWidth="1"/>
    <col min="15" max="15" width="12" hidden="1" customWidth="1"/>
    <col min="16" max="16" width="11.5546875" hidden="1" customWidth="1"/>
    <col min="17" max="17" width="12.44140625" hidden="1" customWidth="1"/>
    <col min="18" max="18" width="11.5546875" hidden="1" customWidth="1"/>
    <col min="19" max="19" width="9.109375" hidden="1" customWidth="1"/>
    <col min="20" max="20" width="18.5546875" hidden="1" customWidth="1"/>
    <col min="21" max="21" width="14" hidden="1" customWidth="1"/>
    <col min="22" max="22" width="9.109375" hidden="1" customWidth="1"/>
    <col min="23" max="24" width="11.5546875" hidden="1" customWidth="1"/>
    <col min="25" max="25" width="9.109375" hidden="1" customWidth="1"/>
    <col min="26" max="26" width="11.44140625" hidden="1" customWidth="1"/>
    <col min="27" max="27" width="12" hidden="1" customWidth="1"/>
    <col min="28" max="28" width="9.109375" hidden="1" customWidth="1"/>
    <col min="29" max="29" width="11.44140625" hidden="1" customWidth="1"/>
    <col min="30" max="30" width="12" hidden="1" customWidth="1"/>
    <col min="31" max="31" width="16.88671875" hidden="1" customWidth="1"/>
    <col min="32" max="41" width="0" hidden="1" customWidth="1"/>
    <col min="42" max="16384" width="9.109375" hidden="1"/>
  </cols>
  <sheetData>
    <row r="1" spans="1:41" ht="15" thickBot="1" x14ac:dyDescent="0.35">
      <c r="A1" s="5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</row>
    <row r="2" spans="1:41" x14ac:dyDescent="0.3">
      <c r="A2" s="1" t="s">
        <v>0</v>
      </c>
      <c r="C2" s="5" t="s">
        <v>47</v>
      </c>
      <c r="D2" s="91">
        <v>3500</v>
      </c>
      <c r="E2" s="51"/>
      <c r="F2" s="68" t="s">
        <v>43</v>
      </c>
      <c r="G2" s="69" t="s">
        <v>22</v>
      </c>
      <c r="H2" s="69" t="s">
        <v>44</v>
      </c>
      <c r="I2" s="69" t="s">
        <v>23</v>
      </c>
      <c r="J2" s="69" t="s">
        <v>37</v>
      </c>
      <c r="K2" s="69" t="s">
        <v>45</v>
      </c>
      <c r="L2" s="69" t="s">
        <v>46</v>
      </c>
      <c r="M2" s="70" t="s">
        <v>34</v>
      </c>
      <c r="N2" s="61"/>
      <c r="O2" s="61"/>
      <c r="P2" s="61"/>
      <c r="Q2" s="61"/>
      <c r="R2" s="61"/>
      <c r="S2" s="61"/>
      <c r="T2" s="61"/>
      <c r="U2" s="61"/>
      <c r="V2" s="63"/>
      <c r="W2" s="59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</row>
    <row r="3" spans="1:41" x14ac:dyDescent="0.3">
      <c r="A3" s="2" t="s">
        <v>8</v>
      </c>
      <c r="B3" s="89"/>
      <c r="C3" s="3" t="s">
        <v>48</v>
      </c>
      <c r="D3" s="92">
        <v>8.7499999999999994E-2</v>
      </c>
      <c r="E3" s="51"/>
      <c r="F3" s="71">
        <v>0</v>
      </c>
      <c r="G3" s="82">
        <f>D6</f>
        <v>2800</v>
      </c>
      <c r="H3" s="82">
        <f t="shared" ref="H3:H10" si="0">G3+$D$4</f>
        <v>3106.25</v>
      </c>
      <c r="I3" s="82">
        <v>0</v>
      </c>
      <c r="J3" s="82">
        <f>I3-H3</f>
        <v>-3106.25</v>
      </c>
      <c r="K3" s="82">
        <f>H3</f>
        <v>3106.25</v>
      </c>
      <c r="L3" s="82">
        <f>I3/(1+$D$3)^F3</f>
        <v>0</v>
      </c>
      <c r="M3" s="93">
        <f>L10-K11</f>
        <v>914.61172972952409</v>
      </c>
      <c r="N3" s="63"/>
      <c r="O3" s="63"/>
      <c r="P3" s="63"/>
      <c r="Q3" s="63"/>
      <c r="R3" s="63"/>
      <c r="S3" s="63"/>
      <c r="T3" s="63"/>
      <c r="U3" s="63"/>
      <c r="V3" s="64"/>
      <c r="W3" s="43"/>
      <c r="X3" s="43"/>
      <c r="Y3" s="43"/>
      <c r="Z3" s="43"/>
      <c r="AA3" s="43"/>
      <c r="AB3" s="43"/>
      <c r="AC3" s="43"/>
      <c r="AD3" s="43"/>
      <c r="AE3" s="45"/>
      <c r="AF3" s="45"/>
      <c r="AG3" s="45"/>
      <c r="AH3" s="45"/>
      <c r="AI3" s="45"/>
      <c r="AJ3" s="45"/>
      <c r="AK3" s="42"/>
      <c r="AL3" s="42"/>
      <c r="AM3" s="42"/>
      <c r="AN3" s="42"/>
      <c r="AO3" s="42"/>
    </row>
    <row r="4" spans="1:41" ht="15" thickBot="1" x14ac:dyDescent="0.35">
      <c r="A4" s="2" t="s">
        <v>10</v>
      </c>
      <c r="C4" s="4" t="s">
        <v>49</v>
      </c>
      <c r="D4" s="87">
        <f>D2*D3</f>
        <v>306.25</v>
      </c>
      <c r="E4" s="51"/>
      <c r="F4" s="71">
        <v>1</v>
      </c>
      <c r="G4" s="82">
        <f t="shared" ref="G4:G9" si="1">D7</f>
        <v>840</v>
      </c>
      <c r="H4" s="82">
        <f t="shared" si="0"/>
        <v>1146.25</v>
      </c>
      <c r="I4" s="82">
        <v>0</v>
      </c>
      <c r="J4" s="82">
        <f t="shared" ref="J4:J10" si="2">I4-H4</f>
        <v>-1146.25</v>
      </c>
      <c r="K4" s="82">
        <f>H4/(1+$D$3)^F4</f>
        <v>1054.0229885057472</v>
      </c>
      <c r="L4" s="82">
        <f t="shared" ref="L4:L9" si="3">I4/(1+$D$3)^F4</f>
        <v>0</v>
      </c>
      <c r="M4" s="93"/>
      <c r="N4" s="63"/>
      <c r="O4" s="76"/>
      <c r="P4" s="76"/>
      <c r="Q4" s="64"/>
      <c r="R4" s="74"/>
      <c r="S4" s="64"/>
      <c r="T4" s="64"/>
      <c r="U4" s="64"/>
      <c r="V4" s="64"/>
      <c r="W4" s="38"/>
      <c r="X4" s="38"/>
      <c r="Y4" s="39"/>
      <c r="Z4" s="38"/>
      <c r="AA4" s="43"/>
      <c r="AB4" s="39"/>
      <c r="AC4" s="38"/>
      <c r="AD4" s="43"/>
      <c r="AE4" s="46"/>
      <c r="AF4" s="45"/>
      <c r="AG4" s="45"/>
      <c r="AH4" s="47"/>
      <c r="AI4" s="45"/>
      <c r="AJ4" s="45"/>
      <c r="AK4" s="42"/>
      <c r="AL4" s="42"/>
      <c r="AM4" s="42"/>
      <c r="AN4" s="42"/>
      <c r="AO4" s="42"/>
    </row>
    <row r="5" spans="1:41" ht="15" thickBot="1" x14ac:dyDescent="0.35">
      <c r="A5" s="2" t="s">
        <v>11</v>
      </c>
      <c r="C5" s="51"/>
      <c r="D5" s="51"/>
      <c r="E5" s="51"/>
      <c r="F5" s="71">
        <v>2</v>
      </c>
      <c r="G5" s="82">
        <f t="shared" si="1"/>
        <v>840</v>
      </c>
      <c r="H5" s="82">
        <f t="shared" si="0"/>
        <v>1146.25</v>
      </c>
      <c r="I5" s="82">
        <v>0</v>
      </c>
      <c r="J5" s="82">
        <f t="shared" si="2"/>
        <v>-1146.25</v>
      </c>
      <c r="K5" s="82">
        <f t="shared" ref="K5:K10" si="4">H5/(1+$D$3)^F5</f>
        <v>969.21654115471017</v>
      </c>
      <c r="L5" s="82">
        <f t="shared" si="3"/>
        <v>0</v>
      </c>
      <c r="M5" s="93"/>
      <c r="N5" s="63"/>
      <c r="O5" s="83"/>
      <c r="P5" s="76"/>
      <c r="Q5" s="76"/>
      <c r="R5" s="76"/>
      <c r="S5" s="64"/>
      <c r="T5" s="64"/>
      <c r="U5" s="64"/>
      <c r="V5" s="64"/>
      <c r="W5" s="38"/>
      <c r="X5" s="38"/>
      <c r="Y5" s="39"/>
      <c r="Z5" s="38"/>
      <c r="AA5" s="43"/>
      <c r="AB5" s="39"/>
      <c r="AC5" s="38"/>
      <c r="AD5" s="43"/>
      <c r="AE5" s="45"/>
      <c r="AF5" s="45"/>
      <c r="AG5" s="45"/>
      <c r="AH5" s="45"/>
      <c r="AI5" s="45"/>
      <c r="AJ5" s="45"/>
      <c r="AK5" s="42"/>
      <c r="AL5" s="42"/>
      <c r="AM5" s="42"/>
      <c r="AN5" s="42"/>
      <c r="AO5" s="42"/>
    </row>
    <row r="6" spans="1:41" x14ac:dyDescent="0.3">
      <c r="A6" s="2" t="s">
        <v>33</v>
      </c>
      <c r="C6" s="52" t="s">
        <v>1</v>
      </c>
      <c r="D6" s="53">
        <v>2800</v>
      </c>
      <c r="E6" s="51"/>
      <c r="F6" s="71">
        <v>3</v>
      </c>
      <c r="G6" s="82">
        <f t="shared" si="1"/>
        <v>400</v>
      </c>
      <c r="H6" s="82">
        <f t="shared" si="0"/>
        <v>706.25</v>
      </c>
      <c r="I6" s="82">
        <v>0</v>
      </c>
      <c r="J6" s="82">
        <f t="shared" si="2"/>
        <v>-706.25</v>
      </c>
      <c r="K6" s="82">
        <f t="shared" si="4"/>
        <v>549.1243016356799</v>
      </c>
      <c r="L6" s="82">
        <f t="shared" si="3"/>
        <v>0</v>
      </c>
      <c r="M6" s="93"/>
      <c r="N6" s="75"/>
      <c r="O6" s="76"/>
      <c r="P6" s="76"/>
      <c r="Q6" s="76"/>
      <c r="R6" s="76"/>
      <c r="S6" s="76"/>
      <c r="T6" s="64"/>
      <c r="U6" s="64"/>
      <c r="V6" s="64"/>
      <c r="W6" s="38"/>
      <c r="X6" s="38"/>
      <c r="Y6" s="39"/>
      <c r="Z6" s="38"/>
      <c r="AA6" s="43"/>
      <c r="AB6" s="39"/>
      <c r="AC6" s="38"/>
      <c r="AD6" s="43"/>
      <c r="AE6" s="45"/>
      <c r="AF6" s="45"/>
      <c r="AG6" s="45"/>
      <c r="AH6" s="45"/>
      <c r="AI6" s="45"/>
      <c r="AJ6" s="45"/>
      <c r="AK6" s="42"/>
      <c r="AL6" s="42"/>
      <c r="AM6" s="42"/>
      <c r="AN6" s="42"/>
      <c r="AO6" s="42"/>
    </row>
    <row r="7" spans="1:41" ht="15" thickBot="1" x14ac:dyDescent="0.35">
      <c r="A7" s="90" t="s">
        <v>13</v>
      </c>
      <c r="C7" s="54" t="s">
        <v>2</v>
      </c>
      <c r="D7" s="55">
        <v>840</v>
      </c>
      <c r="E7" s="51"/>
      <c r="F7" s="71">
        <v>4</v>
      </c>
      <c r="G7" s="82">
        <f t="shared" si="1"/>
        <v>340</v>
      </c>
      <c r="H7" s="82">
        <f t="shared" si="0"/>
        <v>646.25</v>
      </c>
      <c r="I7" s="82">
        <v>0</v>
      </c>
      <c r="J7" s="82">
        <f t="shared" si="2"/>
        <v>-646.25</v>
      </c>
      <c r="K7" s="82">
        <f t="shared" si="4"/>
        <v>462.04416876516581</v>
      </c>
      <c r="L7" s="82">
        <f t="shared" si="3"/>
        <v>0</v>
      </c>
      <c r="M7" s="93"/>
      <c r="N7" s="75"/>
      <c r="O7" s="76"/>
      <c r="P7" s="76"/>
      <c r="Q7" s="76"/>
      <c r="R7" s="76"/>
      <c r="S7" s="76"/>
      <c r="T7" s="64"/>
      <c r="U7" s="64"/>
      <c r="V7" s="64"/>
      <c r="W7" s="38"/>
      <c r="X7" s="38"/>
      <c r="Y7" s="39"/>
      <c r="Z7" s="38"/>
      <c r="AA7" s="43"/>
      <c r="AB7" s="39"/>
      <c r="AC7" s="38"/>
      <c r="AD7" s="43"/>
      <c r="AE7" s="45"/>
      <c r="AF7" s="45"/>
      <c r="AG7" s="45"/>
      <c r="AH7" s="45"/>
      <c r="AI7" s="45"/>
      <c r="AJ7" s="45"/>
      <c r="AK7" s="42"/>
      <c r="AL7" s="42"/>
      <c r="AM7" s="42"/>
      <c r="AN7" s="42"/>
      <c r="AO7" s="42"/>
    </row>
    <row r="8" spans="1:41" ht="15" thickBot="1" x14ac:dyDescent="0.35">
      <c r="A8" s="51"/>
      <c r="C8" s="54" t="s">
        <v>3</v>
      </c>
      <c r="D8" s="55">
        <v>840</v>
      </c>
      <c r="E8" s="51"/>
      <c r="F8" s="71">
        <v>5</v>
      </c>
      <c r="G8" s="82">
        <f t="shared" si="1"/>
        <v>340</v>
      </c>
      <c r="H8" s="82">
        <f t="shared" si="0"/>
        <v>646.25</v>
      </c>
      <c r="I8" s="82">
        <v>0</v>
      </c>
      <c r="J8" s="82">
        <f t="shared" si="2"/>
        <v>-646.25</v>
      </c>
      <c r="K8" s="82">
        <f t="shared" si="4"/>
        <v>424.86820116337088</v>
      </c>
      <c r="L8" s="82">
        <f t="shared" si="3"/>
        <v>0</v>
      </c>
      <c r="M8" s="93"/>
      <c r="N8" s="75"/>
      <c r="O8" s="76"/>
      <c r="P8" s="83"/>
      <c r="Q8" s="76"/>
      <c r="R8" s="76"/>
      <c r="S8" s="76"/>
      <c r="T8" s="64"/>
      <c r="U8" s="64"/>
      <c r="V8" s="64"/>
      <c r="W8" s="38"/>
      <c r="X8" s="38"/>
      <c r="Y8" s="39"/>
      <c r="Z8" s="38"/>
      <c r="AA8" s="43"/>
      <c r="AB8" s="39"/>
      <c r="AC8" s="38"/>
      <c r="AD8" s="43"/>
      <c r="AE8" s="45"/>
      <c r="AF8" s="45"/>
      <c r="AG8" s="45"/>
      <c r="AH8" s="45"/>
      <c r="AI8" s="45"/>
      <c r="AJ8" s="42"/>
      <c r="AK8" s="42"/>
      <c r="AL8" s="42"/>
      <c r="AM8" s="42"/>
      <c r="AN8" s="42"/>
      <c r="AO8" s="42"/>
    </row>
    <row r="9" spans="1:41" x14ac:dyDescent="0.3">
      <c r="A9" s="6" t="s">
        <v>14</v>
      </c>
      <c r="C9" s="54" t="s">
        <v>4</v>
      </c>
      <c r="D9" s="55">
        <v>400</v>
      </c>
      <c r="E9" s="51"/>
      <c r="F9" s="71">
        <v>6</v>
      </c>
      <c r="G9" s="82">
        <f t="shared" si="1"/>
        <v>340</v>
      </c>
      <c r="H9" s="82">
        <f t="shared" si="0"/>
        <v>646.25</v>
      </c>
      <c r="I9" s="82">
        <v>0</v>
      </c>
      <c r="J9" s="82">
        <f t="shared" si="2"/>
        <v>-646.25</v>
      </c>
      <c r="K9" s="82">
        <f t="shared" si="4"/>
        <v>390.68340336861695</v>
      </c>
      <c r="L9" s="82">
        <f t="shared" si="3"/>
        <v>0</v>
      </c>
      <c r="M9" s="93"/>
      <c r="N9" s="75"/>
      <c r="O9" s="76"/>
      <c r="P9" s="76"/>
      <c r="Q9" s="76"/>
      <c r="R9" s="77"/>
      <c r="S9" s="76"/>
      <c r="T9" s="64"/>
      <c r="U9" s="64"/>
      <c r="V9" s="64"/>
      <c r="W9" s="38"/>
      <c r="X9" s="38"/>
      <c r="Y9" s="39"/>
      <c r="Z9" s="38"/>
      <c r="AA9" s="43"/>
      <c r="AB9" s="39"/>
      <c r="AC9" s="38"/>
      <c r="AD9" s="43"/>
      <c r="AE9" s="46"/>
      <c r="AF9" s="45"/>
      <c r="AG9" s="45"/>
      <c r="AH9" s="47"/>
      <c r="AI9" s="45"/>
      <c r="AJ9" s="42"/>
      <c r="AK9" s="42"/>
      <c r="AL9" s="42"/>
      <c r="AM9" s="42"/>
      <c r="AN9" s="42"/>
      <c r="AO9" s="42"/>
    </row>
    <row r="10" spans="1:41" x14ac:dyDescent="0.3">
      <c r="A10" s="7" t="s">
        <v>16</v>
      </c>
      <c r="C10" s="54" t="s">
        <v>5</v>
      </c>
      <c r="D10" s="55">
        <v>340</v>
      </c>
      <c r="E10" s="51"/>
      <c r="F10" s="71">
        <v>7</v>
      </c>
      <c r="G10" s="82">
        <f>D13+D24+D25</f>
        <v>6010</v>
      </c>
      <c r="H10" s="82">
        <f t="shared" si="0"/>
        <v>6316.25</v>
      </c>
      <c r="I10" s="82">
        <f>D21*D26</f>
        <v>20475</v>
      </c>
      <c r="J10" s="82">
        <f t="shared" si="2"/>
        <v>14158.75</v>
      </c>
      <c r="K10" s="82">
        <f t="shared" si="4"/>
        <v>3511.1909775168351</v>
      </c>
      <c r="L10" s="82">
        <f>I10/(1+$D$3)^F10</f>
        <v>11382.012311839651</v>
      </c>
      <c r="M10" s="93"/>
      <c r="N10" s="75"/>
      <c r="O10" s="76"/>
      <c r="P10" s="76"/>
      <c r="Q10" s="76"/>
      <c r="R10" s="76"/>
      <c r="S10" s="76"/>
      <c r="T10" s="64"/>
      <c r="U10" s="64"/>
      <c r="V10" s="64"/>
      <c r="W10" s="38"/>
      <c r="X10" s="38"/>
      <c r="Y10" s="39"/>
      <c r="Z10" s="38"/>
      <c r="AA10" s="43"/>
      <c r="AB10" s="39"/>
      <c r="AC10" s="38"/>
      <c r="AD10" s="43"/>
      <c r="AE10" s="43"/>
      <c r="AF10" s="43"/>
      <c r="AG10" s="43"/>
      <c r="AH10" s="43"/>
      <c r="AI10" s="43"/>
      <c r="AJ10" s="43"/>
      <c r="AK10" s="42"/>
      <c r="AL10" s="42"/>
      <c r="AM10" s="42"/>
      <c r="AN10" s="42"/>
      <c r="AO10" s="42"/>
    </row>
    <row r="11" spans="1:41" ht="15" thickBot="1" x14ac:dyDescent="0.35">
      <c r="A11" s="7" t="s">
        <v>15</v>
      </c>
      <c r="C11" s="54" t="s">
        <v>6</v>
      </c>
      <c r="D11" s="55">
        <v>340</v>
      </c>
      <c r="E11" s="51"/>
      <c r="F11" s="73" t="s">
        <v>52</v>
      </c>
      <c r="G11" s="94">
        <f t="shared" ref="G11:J11" si="5">SUM(G3:G10)</f>
        <v>11910</v>
      </c>
      <c r="H11" s="94">
        <f t="shared" si="5"/>
        <v>14360</v>
      </c>
      <c r="I11" s="94">
        <f t="shared" si="5"/>
        <v>20475</v>
      </c>
      <c r="J11" s="94">
        <f t="shared" si="5"/>
        <v>6115</v>
      </c>
      <c r="K11" s="94">
        <f>SUM(K3:K10)</f>
        <v>10467.400582110127</v>
      </c>
      <c r="L11" s="94">
        <f>SUM(L3:L10)</f>
        <v>11382.012311839651</v>
      </c>
      <c r="M11" s="95"/>
      <c r="N11" s="75"/>
      <c r="O11" s="76"/>
      <c r="P11" s="76"/>
      <c r="Q11" s="76"/>
      <c r="R11" s="76"/>
      <c r="S11" s="76"/>
      <c r="T11" s="64"/>
      <c r="U11" s="64"/>
      <c r="V11" s="64"/>
      <c r="W11" s="38"/>
      <c r="X11" s="38"/>
      <c r="Y11" s="39"/>
      <c r="Z11" s="38"/>
      <c r="AA11" s="43"/>
      <c r="AB11" s="43"/>
      <c r="AC11" s="38"/>
      <c r="AD11" s="43"/>
      <c r="AE11" s="43"/>
      <c r="AF11" s="43"/>
      <c r="AG11" s="43"/>
      <c r="AH11" s="43"/>
      <c r="AI11" s="43"/>
      <c r="AJ11" s="43"/>
      <c r="AK11" s="42"/>
      <c r="AL11" s="42"/>
      <c r="AM11" s="42"/>
      <c r="AN11" s="42"/>
      <c r="AO11" s="42"/>
    </row>
    <row r="12" spans="1:41" x14ac:dyDescent="0.3">
      <c r="A12" s="7" t="s">
        <v>17</v>
      </c>
      <c r="C12" s="54" t="s">
        <v>7</v>
      </c>
      <c r="D12" s="55">
        <v>340</v>
      </c>
      <c r="E12" s="51"/>
      <c r="F12" s="51"/>
      <c r="G12" s="51"/>
      <c r="H12" s="51"/>
      <c r="I12" s="51"/>
      <c r="J12" s="51"/>
      <c r="K12" s="51"/>
      <c r="L12" s="51"/>
      <c r="M12" s="51"/>
      <c r="N12" s="75"/>
      <c r="O12" s="76"/>
      <c r="P12" s="76"/>
      <c r="Q12" s="76"/>
      <c r="R12" s="76"/>
      <c r="S12" s="76"/>
      <c r="T12" s="64"/>
      <c r="U12" s="64"/>
      <c r="V12" s="64"/>
      <c r="W12" s="43"/>
      <c r="X12" s="43"/>
      <c r="Y12" s="43"/>
      <c r="Z12" s="43"/>
      <c r="AA12" s="43"/>
      <c r="AB12" s="39"/>
      <c r="AC12" s="43"/>
      <c r="AD12" s="43"/>
      <c r="AE12" s="43"/>
      <c r="AF12" s="43"/>
      <c r="AG12" s="43"/>
      <c r="AH12" s="43"/>
      <c r="AI12" s="43"/>
      <c r="AJ12" s="43"/>
      <c r="AK12" s="42"/>
      <c r="AL12" s="42"/>
      <c r="AM12" s="42"/>
      <c r="AN12" s="42"/>
      <c r="AO12" s="42"/>
    </row>
    <row r="13" spans="1:41" x14ac:dyDescent="0.3">
      <c r="A13" s="7" t="s">
        <v>18</v>
      </c>
      <c r="C13" s="54" t="s">
        <v>9</v>
      </c>
      <c r="D13" s="55">
        <v>550</v>
      </c>
      <c r="E13" s="51"/>
      <c r="F13" s="72" t="s">
        <v>53</v>
      </c>
      <c r="G13" s="72" t="s">
        <v>36</v>
      </c>
      <c r="H13" s="80" t="s">
        <v>35</v>
      </c>
      <c r="I13" s="72" t="s">
        <v>54</v>
      </c>
      <c r="J13" s="72" t="s">
        <v>55</v>
      </c>
      <c r="K13" s="72" t="s">
        <v>56</v>
      </c>
      <c r="L13" s="72" t="s">
        <v>57</v>
      </c>
      <c r="M13" s="51"/>
      <c r="N13" s="75"/>
      <c r="O13" s="76"/>
      <c r="P13" s="76"/>
      <c r="Q13" s="76"/>
      <c r="R13" s="76"/>
      <c r="S13" s="76"/>
      <c r="T13" s="64"/>
      <c r="U13" s="64"/>
      <c r="V13" s="64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</row>
    <row r="14" spans="1:41" x14ac:dyDescent="0.3">
      <c r="A14" s="7" t="s">
        <v>19</v>
      </c>
      <c r="C14" s="54" t="s">
        <v>12</v>
      </c>
      <c r="D14" s="55">
        <v>12</v>
      </c>
      <c r="E14" s="51"/>
      <c r="F14" s="82">
        <f>NPV(D3,J4:J10)+J3</f>
        <v>914.61172972952454</v>
      </c>
      <c r="G14" s="84">
        <f>IRR(J3:J10)</f>
        <v>0.11236347523727885</v>
      </c>
      <c r="H14" s="85">
        <f>(F14*D3)/(1-(1+D3)^-F10)</f>
        <v>180.20304582366174</v>
      </c>
      <c r="I14" s="85">
        <f>-PMT(D3,F10,F14)</f>
        <v>180.20304582366154</v>
      </c>
      <c r="J14" s="82">
        <f>L11/K11</f>
        <v>1.0873771594537702</v>
      </c>
      <c r="K14" s="82">
        <f>D21*(1+D3)^-F10</f>
        <v>175.10788172061001</v>
      </c>
      <c r="L14" s="82">
        <f>K11/K14</f>
        <v>59.776867147597535</v>
      </c>
      <c r="M14" s="51"/>
      <c r="N14" s="75"/>
      <c r="O14" s="76"/>
      <c r="P14" s="76"/>
      <c r="Q14" s="76"/>
      <c r="R14" s="76"/>
      <c r="S14" s="76"/>
      <c r="T14" s="64"/>
      <c r="U14" s="64"/>
      <c r="V14" s="64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</row>
    <row r="15" spans="1:41" ht="15" thickBot="1" x14ac:dyDescent="0.35">
      <c r="A15" s="8" t="s">
        <v>20</v>
      </c>
      <c r="C15" s="54" t="s">
        <v>29</v>
      </c>
      <c r="D15" s="55">
        <v>2</v>
      </c>
      <c r="E15" s="51"/>
      <c r="F15" s="51"/>
      <c r="G15" s="51"/>
      <c r="H15" s="51"/>
      <c r="I15" s="51"/>
      <c r="J15" s="51"/>
      <c r="K15" s="51"/>
      <c r="L15" s="51"/>
      <c r="M15" s="51"/>
      <c r="N15" s="75"/>
      <c r="O15" s="76"/>
      <c r="P15" s="76"/>
      <c r="Q15" s="76"/>
      <c r="R15" s="76"/>
      <c r="S15" s="76"/>
      <c r="T15" s="64"/>
      <c r="U15" s="64"/>
      <c r="V15" s="64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</row>
    <row r="16" spans="1:41" ht="15" thickBot="1" x14ac:dyDescent="0.35">
      <c r="A16" s="88"/>
      <c r="C16" s="54" t="s">
        <v>30</v>
      </c>
      <c r="D16" s="56">
        <v>80</v>
      </c>
      <c r="E16" s="51"/>
      <c r="F16" s="51"/>
      <c r="G16" s="51"/>
      <c r="H16" s="51"/>
      <c r="I16" s="51"/>
      <c r="J16" s="51"/>
      <c r="K16" s="51"/>
      <c r="L16" s="51"/>
      <c r="M16" s="51"/>
      <c r="N16" s="75"/>
      <c r="O16" s="76"/>
      <c r="P16" s="76"/>
      <c r="Q16" s="76"/>
      <c r="R16" s="76"/>
      <c r="S16" s="76"/>
      <c r="T16" s="64"/>
      <c r="U16" s="64"/>
      <c r="V16" s="64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</row>
    <row r="17" spans="1:41" ht="15" thickBot="1" x14ac:dyDescent="0.35">
      <c r="A17" s="6" t="s">
        <v>24</v>
      </c>
      <c r="C17" s="57" t="s">
        <v>42</v>
      </c>
      <c r="D17" s="58">
        <v>30</v>
      </c>
      <c r="E17" s="51"/>
      <c r="F17" s="51"/>
      <c r="G17" s="51"/>
      <c r="H17" s="51"/>
      <c r="I17" s="51"/>
      <c r="J17" s="51"/>
      <c r="K17" s="51"/>
      <c r="L17" s="51"/>
      <c r="M17" s="51"/>
      <c r="N17" s="75"/>
      <c r="O17" s="76"/>
      <c r="P17" s="76"/>
      <c r="Q17" s="76"/>
      <c r="R17" s="76"/>
      <c r="S17" s="76"/>
      <c r="T17" s="64"/>
      <c r="U17" s="64"/>
      <c r="V17" s="64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</row>
    <row r="18" spans="1:41" ht="15" thickBot="1" x14ac:dyDescent="0.35">
      <c r="A18" s="7" t="s">
        <v>26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75"/>
      <c r="O18" s="76"/>
      <c r="P18" s="76"/>
      <c r="Q18" s="76"/>
      <c r="R18" s="76"/>
      <c r="S18" s="76"/>
      <c r="T18" s="64"/>
      <c r="U18" s="64"/>
      <c r="V18" s="64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</row>
    <row r="19" spans="1:41" ht="15" thickBot="1" x14ac:dyDescent="0.35">
      <c r="A19" s="8" t="s">
        <v>25</v>
      </c>
      <c r="C19" s="52" t="s">
        <v>61</v>
      </c>
      <c r="D19" s="53">
        <v>45</v>
      </c>
      <c r="E19" s="51"/>
      <c r="F19" s="51"/>
      <c r="G19" s="61"/>
      <c r="H19" s="61"/>
      <c r="I19" s="61"/>
      <c r="J19" s="61"/>
      <c r="K19" s="61"/>
      <c r="L19" s="61"/>
      <c r="M19" s="62"/>
      <c r="N19" s="76"/>
      <c r="O19" s="76"/>
      <c r="P19" s="76"/>
      <c r="Q19" s="76"/>
      <c r="R19" s="76"/>
      <c r="S19" s="76"/>
      <c r="T19" s="64"/>
      <c r="U19" s="64"/>
      <c r="V19" s="64"/>
      <c r="W19" s="42"/>
      <c r="X19" s="42"/>
      <c r="Y19" s="42"/>
      <c r="Z19" s="42"/>
      <c r="AA19" s="42"/>
      <c r="AB19" s="42"/>
      <c r="AC19" s="42"/>
      <c r="AD19" s="42"/>
      <c r="AE19" s="42"/>
      <c r="AF19" s="42"/>
    </row>
    <row r="20" spans="1:41" ht="15" thickBot="1" x14ac:dyDescent="0.35">
      <c r="A20" s="51"/>
      <c r="C20" s="54" t="s">
        <v>51</v>
      </c>
      <c r="D20" s="55">
        <v>7</v>
      </c>
      <c r="E20" s="62"/>
      <c r="F20" s="61"/>
      <c r="G20" s="61"/>
      <c r="H20" s="61"/>
      <c r="I20" s="61"/>
      <c r="J20" s="61"/>
      <c r="K20" s="61"/>
      <c r="L20" s="61"/>
      <c r="M20" s="62"/>
      <c r="N20" s="76"/>
      <c r="O20" s="76"/>
      <c r="P20" s="76"/>
      <c r="Q20" s="76"/>
      <c r="R20" s="76"/>
      <c r="S20" s="76"/>
      <c r="T20" s="64"/>
      <c r="U20" s="64"/>
      <c r="V20" s="64"/>
      <c r="W20" s="42"/>
      <c r="X20" s="42"/>
      <c r="Y20" s="42"/>
      <c r="Z20" s="42"/>
      <c r="AA20" s="42"/>
      <c r="AB20" s="42"/>
      <c r="AC20" s="42"/>
      <c r="AD20" s="42"/>
      <c r="AE20" s="42"/>
      <c r="AF20" s="42"/>
    </row>
    <row r="21" spans="1:41" x14ac:dyDescent="0.3">
      <c r="A21" s="9" t="s">
        <v>27</v>
      </c>
      <c r="C21" s="54" t="s">
        <v>59</v>
      </c>
      <c r="D21" s="86">
        <f>D19*D20</f>
        <v>315</v>
      </c>
      <c r="E21" s="62"/>
      <c r="F21" s="61"/>
      <c r="G21" s="61"/>
      <c r="H21" s="61"/>
      <c r="I21" s="61"/>
      <c r="J21" s="61"/>
      <c r="K21" s="61"/>
      <c r="L21" s="61"/>
      <c r="M21" s="62"/>
      <c r="N21" s="76"/>
      <c r="O21" s="76"/>
      <c r="P21" s="76"/>
      <c r="Q21" s="76"/>
      <c r="R21" s="76"/>
      <c r="S21" s="76"/>
      <c r="T21" s="64"/>
      <c r="U21" s="64"/>
      <c r="V21" s="64"/>
      <c r="W21" s="42"/>
      <c r="X21" s="42"/>
      <c r="Y21" s="42"/>
      <c r="Z21" s="42"/>
      <c r="AA21" s="42"/>
      <c r="AB21" s="42"/>
      <c r="AC21" s="42"/>
      <c r="AD21" s="42"/>
      <c r="AE21" s="42"/>
      <c r="AF21" s="42"/>
    </row>
    <row r="22" spans="1:41" x14ac:dyDescent="0.3">
      <c r="A22" s="10" t="s">
        <v>28</v>
      </c>
      <c r="C22" s="54" t="s">
        <v>58</v>
      </c>
      <c r="D22" s="86">
        <v>50</v>
      </c>
      <c r="E22" s="62"/>
      <c r="F22" s="61"/>
      <c r="G22" s="61"/>
      <c r="H22" s="61"/>
      <c r="I22" s="61"/>
      <c r="J22" s="61"/>
      <c r="K22" s="61"/>
      <c r="L22" s="61"/>
      <c r="M22" s="62"/>
      <c r="N22" s="76"/>
      <c r="O22" s="76"/>
      <c r="P22" s="76"/>
      <c r="Q22" s="76"/>
      <c r="R22" s="76"/>
      <c r="S22" s="76"/>
      <c r="T22" s="64"/>
      <c r="U22" s="64"/>
      <c r="V22" s="64"/>
      <c r="W22" s="42"/>
      <c r="X22" s="42"/>
      <c r="Y22" s="42"/>
      <c r="Z22" s="42"/>
      <c r="AA22" s="42"/>
      <c r="AB22" s="42"/>
      <c r="AC22" s="42"/>
      <c r="AD22" s="42"/>
      <c r="AE22" s="42"/>
      <c r="AF22" s="42"/>
    </row>
    <row r="23" spans="1:41" x14ac:dyDescent="0.3">
      <c r="A23" s="10" t="s">
        <v>31</v>
      </c>
      <c r="C23" s="54" t="s">
        <v>50</v>
      </c>
      <c r="D23" s="86">
        <f>D21*D22</f>
        <v>15750</v>
      </c>
      <c r="E23" s="62"/>
      <c r="F23" s="61"/>
      <c r="G23" s="62"/>
      <c r="H23" s="62"/>
      <c r="I23" s="62"/>
      <c r="J23" s="62"/>
      <c r="K23" s="62"/>
      <c r="L23" s="62"/>
      <c r="M23" s="62"/>
      <c r="N23" s="76"/>
      <c r="O23" s="76"/>
      <c r="P23" s="76"/>
      <c r="Q23" s="76"/>
      <c r="R23" s="76"/>
      <c r="S23" s="76"/>
      <c r="T23" s="64"/>
      <c r="U23" s="64"/>
      <c r="V23" s="64"/>
      <c r="W23" s="96"/>
      <c r="X23" s="96"/>
      <c r="Y23" s="42"/>
      <c r="Z23" s="42"/>
      <c r="AA23" s="42"/>
      <c r="AB23" s="42"/>
      <c r="AC23" s="42"/>
      <c r="AD23" s="42"/>
      <c r="AE23" s="42"/>
      <c r="AF23" s="42"/>
    </row>
    <row r="24" spans="1:41" ht="15" thickBot="1" x14ac:dyDescent="0.35">
      <c r="A24" s="11" t="s">
        <v>41</v>
      </c>
      <c r="C24" s="54" t="s">
        <v>60</v>
      </c>
      <c r="D24" s="86">
        <f>D19*F10*D14</f>
        <v>3780</v>
      </c>
      <c r="E24" s="62"/>
      <c r="F24" s="62"/>
      <c r="G24" s="62"/>
      <c r="H24" s="62"/>
      <c r="I24" s="62"/>
      <c r="J24" s="62"/>
      <c r="K24" s="62"/>
      <c r="L24" s="62"/>
      <c r="M24" s="62"/>
      <c r="N24" s="76"/>
      <c r="O24" s="76"/>
      <c r="P24" s="76"/>
      <c r="Q24" s="76"/>
      <c r="R24" s="76"/>
      <c r="S24" s="76"/>
      <c r="T24" s="64"/>
      <c r="U24" s="64"/>
      <c r="V24" s="64"/>
      <c r="W24" s="43"/>
      <c r="X24" s="43"/>
      <c r="Y24" s="43"/>
      <c r="Z24" s="43"/>
      <c r="AA24" s="43"/>
      <c r="AB24" s="43"/>
      <c r="AC24" s="43"/>
      <c r="AD24" s="42"/>
      <c r="AE24" s="42"/>
      <c r="AF24" s="42"/>
    </row>
    <row r="25" spans="1:41" x14ac:dyDescent="0.3">
      <c r="A25" s="51"/>
      <c r="C25" s="54" t="s">
        <v>62</v>
      </c>
      <c r="D25" s="86">
        <f>((D19*D20)/D17)*D15*D16</f>
        <v>1680</v>
      </c>
      <c r="E25" s="62"/>
      <c r="F25" s="62"/>
      <c r="G25" s="61"/>
      <c r="H25" s="62"/>
      <c r="I25" s="62"/>
      <c r="J25" s="62"/>
      <c r="K25" s="62"/>
      <c r="L25" s="62"/>
      <c r="M25" s="62"/>
      <c r="N25" s="76"/>
      <c r="O25" s="76"/>
      <c r="P25" s="76"/>
      <c r="Q25" s="76"/>
      <c r="R25" s="76"/>
      <c r="S25" s="76"/>
      <c r="T25" s="64"/>
      <c r="U25" s="64"/>
      <c r="V25" s="64"/>
      <c r="W25" s="43"/>
      <c r="X25" s="38"/>
      <c r="Y25" s="39"/>
      <c r="Z25" s="38"/>
      <c r="AA25" s="43"/>
      <c r="AB25" s="43"/>
      <c r="AC25" s="43"/>
      <c r="AD25" s="42"/>
      <c r="AE25" s="42"/>
      <c r="AF25" s="42"/>
    </row>
    <row r="26" spans="1:41" ht="15" thickBot="1" x14ac:dyDescent="0.35">
      <c r="C26" s="57" t="s">
        <v>63</v>
      </c>
      <c r="D26" s="87">
        <v>65</v>
      </c>
      <c r="E26" s="62"/>
      <c r="F26" s="61"/>
      <c r="G26" s="61"/>
      <c r="H26" s="61"/>
      <c r="I26" s="61"/>
      <c r="J26" s="61"/>
      <c r="K26" s="61"/>
      <c r="L26" s="61"/>
      <c r="M26" s="62"/>
      <c r="N26" s="76"/>
      <c r="O26" s="76"/>
      <c r="P26" s="76"/>
      <c r="Q26" s="76"/>
      <c r="R26" s="76"/>
      <c r="S26" s="76"/>
      <c r="T26" s="64"/>
      <c r="U26" s="64"/>
      <c r="V26" s="64"/>
      <c r="W26" s="43"/>
      <c r="X26" s="38"/>
      <c r="Y26" s="39"/>
      <c r="Z26" s="38"/>
      <c r="AA26" s="40"/>
      <c r="AB26" s="41"/>
      <c r="AC26" s="40"/>
      <c r="AD26" s="42"/>
      <c r="AE26" s="42"/>
      <c r="AF26" s="42"/>
    </row>
    <row r="27" spans="1:41" x14ac:dyDescent="0.3">
      <c r="C27" s="62"/>
      <c r="D27" s="62"/>
      <c r="E27" s="62"/>
      <c r="F27" s="61"/>
      <c r="G27" s="60"/>
      <c r="H27" s="65"/>
      <c r="I27" s="60"/>
      <c r="J27" s="66"/>
      <c r="K27" s="67"/>
      <c r="L27" s="66"/>
      <c r="M27" s="62"/>
      <c r="N27" s="76"/>
      <c r="O27" s="81"/>
      <c r="P27" s="81"/>
      <c r="Q27" s="81"/>
      <c r="R27" s="81"/>
      <c r="S27" s="76"/>
      <c r="T27" s="64"/>
      <c r="U27" s="64"/>
      <c r="V27" s="42"/>
      <c r="W27" s="43"/>
      <c r="X27" s="38"/>
      <c r="Y27" s="39"/>
      <c r="Z27" s="38"/>
      <c r="AA27" s="40"/>
      <c r="AB27" s="43"/>
      <c r="AC27" s="43"/>
      <c r="AD27" s="42"/>
      <c r="AE27" s="42"/>
      <c r="AF27" s="42"/>
    </row>
    <row r="28" spans="1:41" hidden="1" x14ac:dyDescent="0.3">
      <c r="C28" s="62"/>
      <c r="D28" s="62"/>
      <c r="E28" s="62"/>
      <c r="F28" s="43"/>
      <c r="G28" s="38"/>
      <c r="H28" s="39"/>
      <c r="I28" s="38"/>
      <c r="J28" s="43"/>
      <c r="K28" s="43"/>
      <c r="L28" s="43"/>
      <c r="M28" s="42"/>
      <c r="N28" s="81"/>
      <c r="O28" s="81"/>
      <c r="P28" s="81"/>
      <c r="Q28" s="81"/>
      <c r="R28" s="81"/>
      <c r="S28" s="78"/>
      <c r="T28" s="78"/>
      <c r="U28" s="42"/>
      <c r="V28" s="42"/>
      <c r="W28" s="43"/>
      <c r="X28" s="38"/>
      <c r="Y28" s="39"/>
      <c r="Z28" s="38"/>
      <c r="AA28" s="43"/>
      <c r="AB28" s="43"/>
      <c r="AC28" s="43"/>
      <c r="AD28" s="42"/>
      <c r="AE28" s="42"/>
      <c r="AF28" s="42"/>
    </row>
    <row r="29" spans="1:41" ht="25.8" hidden="1" x14ac:dyDescent="0.5">
      <c r="C29" s="42"/>
      <c r="D29" s="42"/>
      <c r="E29" s="42"/>
      <c r="F29" s="43"/>
      <c r="G29" s="38"/>
      <c r="H29" s="39"/>
      <c r="I29" s="38"/>
      <c r="J29" s="43"/>
      <c r="K29" s="42"/>
      <c r="L29" s="43"/>
      <c r="M29" s="42"/>
      <c r="N29" s="79"/>
      <c r="O29" s="78"/>
      <c r="P29" s="78"/>
      <c r="Q29" s="78"/>
      <c r="R29" s="78"/>
      <c r="S29" s="78"/>
      <c r="T29" s="78"/>
      <c r="U29" s="42"/>
      <c r="V29" s="42"/>
      <c r="W29" s="43"/>
      <c r="X29" s="38"/>
      <c r="Y29" s="39"/>
      <c r="Z29" s="38"/>
      <c r="AA29" s="43"/>
      <c r="AB29" s="43"/>
      <c r="AC29" s="43"/>
      <c r="AD29" s="42"/>
      <c r="AE29" s="42"/>
      <c r="AF29" s="42"/>
    </row>
    <row r="30" spans="1:41" ht="25.8" hidden="1" x14ac:dyDescent="0.5">
      <c r="C30" s="42"/>
      <c r="D30" s="42"/>
      <c r="E30" s="42"/>
      <c r="F30" s="43"/>
      <c r="G30" s="38"/>
      <c r="H30" s="39"/>
      <c r="I30" s="38"/>
      <c r="J30" s="43"/>
      <c r="K30" s="43"/>
      <c r="L30" s="43"/>
      <c r="M30" s="42"/>
      <c r="N30" s="78"/>
      <c r="O30" s="78"/>
      <c r="P30" s="78"/>
      <c r="Q30" s="78"/>
      <c r="R30" s="78"/>
      <c r="S30" s="78"/>
      <c r="T30" s="78"/>
      <c r="U30" s="42"/>
      <c r="V30" s="42"/>
      <c r="W30" s="43"/>
      <c r="X30" s="38"/>
      <c r="Y30" s="39"/>
      <c r="Z30" s="38"/>
      <c r="AA30" s="43"/>
      <c r="AB30" s="43"/>
      <c r="AC30" s="43"/>
      <c r="AD30" s="42"/>
      <c r="AE30" s="44"/>
      <c r="AF30" s="42"/>
    </row>
    <row r="31" spans="1:41" hidden="1" x14ac:dyDescent="0.3">
      <c r="C31" s="42"/>
      <c r="D31" s="42"/>
      <c r="E31" s="42"/>
      <c r="F31" s="43"/>
      <c r="G31" s="38"/>
      <c r="H31" s="39"/>
      <c r="I31" s="38"/>
      <c r="J31" s="43"/>
      <c r="K31" s="43"/>
      <c r="L31" s="43"/>
      <c r="M31" s="42"/>
      <c r="N31" s="78"/>
      <c r="O31" s="78"/>
      <c r="P31" s="78"/>
      <c r="Q31" s="78"/>
      <c r="R31" s="78"/>
      <c r="S31" s="78"/>
      <c r="T31" s="78"/>
      <c r="U31" s="42"/>
      <c r="V31" s="42"/>
      <c r="W31" s="43"/>
      <c r="X31" s="38"/>
      <c r="Y31" s="39"/>
      <c r="Z31" s="38"/>
      <c r="AA31" s="43"/>
      <c r="AB31" s="43"/>
      <c r="AC31" s="43"/>
      <c r="AD31" s="42"/>
      <c r="AE31" s="42"/>
      <c r="AF31" s="42"/>
    </row>
    <row r="32" spans="1:41" hidden="1" x14ac:dyDescent="0.3">
      <c r="C32" s="42"/>
      <c r="D32" s="42"/>
      <c r="E32" s="42"/>
      <c r="F32" s="43"/>
      <c r="G32" s="38"/>
      <c r="H32" s="39"/>
      <c r="I32" s="38"/>
      <c r="J32" s="43"/>
      <c r="K32" s="43"/>
      <c r="L32" s="43"/>
      <c r="M32" s="42"/>
      <c r="N32" s="78"/>
      <c r="O32" s="78"/>
      <c r="P32" s="78"/>
      <c r="Q32" s="78"/>
      <c r="R32" s="78"/>
      <c r="S32" s="78"/>
      <c r="T32" s="78"/>
      <c r="U32" s="42"/>
      <c r="V32" s="42"/>
      <c r="W32" s="43"/>
      <c r="X32" s="38"/>
      <c r="Y32" s="39"/>
      <c r="Z32" s="38"/>
      <c r="AA32" s="43"/>
      <c r="AB32" s="43"/>
      <c r="AC32" s="43"/>
      <c r="AD32" s="42"/>
      <c r="AE32" s="42"/>
      <c r="AF32" s="42"/>
    </row>
    <row r="33" spans="3:32" hidden="1" x14ac:dyDescent="0.3">
      <c r="C33" s="42"/>
      <c r="D33" s="42"/>
      <c r="E33" s="42"/>
      <c r="F33" s="43"/>
      <c r="G33" s="38"/>
      <c r="H33" s="43"/>
      <c r="I33" s="38"/>
      <c r="J33" s="43"/>
      <c r="K33" s="43"/>
      <c r="L33" s="43"/>
      <c r="M33" s="42"/>
      <c r="N33" s="78"/>
      <c r="O33" s="78"/>
      <c r="P33" s="78"/>
      <c r="Q33" s="78"/>
      <c r="R33" s="78"/>
      <c r="S33" s="78"/>
      <c r="T33" s="78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</row>
    <row r="34" spans="3:32" hidden="1" x14ac:dyDescent="0.3">
      <c r="C34" s="42"/>
      <c r="D34" s="42"/>
      <c r="E34" s="42"/>
      <c r="F34" s="43"/>
      <c r="G34" s="42"/>
      <c r="H34" s="42"/>
      <c r="I34" s="42"/>
      <c r="J34" s="42"/>
      <c r="K34" s="42"/>
      <c r="L34" s="42"/>
      <c r="M34" s="42"/>
      <c r="N34" s="78"/>
      <c r="O34" s="78"/>
      <c r="P34" s="78"/>
      <c r="Q34" s="78"/>
      <c r="R34" s="78"/>
      <c r="S34" s="78"/>
      <c r="T34" s="78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</row>
    <row r="35" spans="3:32" hidden="1" x14ac:dyDescent="0.3"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78"/>
      <c r="O35" s="78"/>
      <c r="P35" s="78"/>
      <c r="Q35" s="78"/>
      <c r="R35" s="78"/>
      <c r="S35" s="78"/>
      <c r="T35" s="78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</row>
    <row r="36" spans="3:32" hidden="1" x14ac:dyDescent="0.3">
      <c r="C36" s="42"/>
      <c r="D36" s="42"/>
      <c r="E36" s="42"/>
      <c r="F36" s="42"/>
      <c r="G36" s="48"/>
      <c r="H36" s="42"/>
      <c r="I36" s="42"/>
      <c r="J36" s="42"/>
      <c r="K36" s="42"/>
      <c r="L36" s="42"/>
      <c r="M36" s="42"/>
      <c r="N36" s="78"/>
      <c r="S36" s="78"/>
      <c r="T36" s="78"/>
      <c r="U36" s="42"/>
    </row>
    <row r="37" spans="3:32" ht="15" hidden="1" thickBot="1" x14ac:dyDescent="0.35">
      <c r="F37" s="48"/>
      <c r="G37" s="21" t="s">
        <v>22</v>
      </c>
      <c r="H37" s="21" t="s">
        <v>23</v>
      </c>
      <c r="I37" s="30" t="s">
        <v>37</v>
      </c>
    </row>
    <row r="38" spans="3:32" ht="15" hidden="1" thickBot="1" x14ac:dyDescent="0.35">
      <c r="F38" s="20" t="s">
        <v>21</v>
      </c>
      <c r="G38" s="18">
        <f>H5</f>
        <v>1146.25</v>
      </c>
      <c r="H38" s="17">
        <v>0</v>
      </c>
      <c r="I38" s="19">
        <f>H38-G38</f>
        <v>-1146.25</v>
      </c>
      <c r="J38" s="13" t="s">
        <v>34</v>
      </c>
      <c r="K38" s="14" t="s">
        <v>36</v>
      </c>
      <c r="L38" s="15" t="s">
        <v>35</v>
      </c>
    </row>
    <row r="39" spans="3:32" ht="15" hidden="1" thickBot="1" x14ac:dyDescent="0.35">
      <c r="F39" s="16">
        <v>0</v>
      </c>
      <c r="G39" s="18">
        <f t="shared" ref="G39:G45" si="6">H6</f>
        <v>706.25</v>
      </c>
      <c r="H39" s="17">
        <v>0</v>
      </c>
      <c r="I39" s="19">
        <f t="shared" ref="I39:I45" si="7">H39-G39</f>
        <v>-706.25</v>
      </c>
      <c r="J39" s="26" t="e">
        <f>NPV(C21,I38:I45)</f>
        <v>#VALUE!</v>
      </c>
      <c r="K39" s="27" t="e">
        <f>IRR(I38:I45)</f>
        <v>#NUM!</v>
      </c>
      <c r="L39" s="28" t="e">
        <f>-PMT(0.0875,7,J39)</f>
        <v>#VALUE!</v>
      </c>
    </row>
    <row r="40" spans="3:32" ht="15" hidden="1" thickBot="1" x14ac:dyDescent="0.35">
      <c r="F40" s="16">
        <v>1</v>
      </c>
      <c r="G40" s="18">
        <f t="shared" si="6"/>
        <v>646.25</v>
      </c>
      <c r="H40" s="17">
        <v>0</v>
      </c>
      <c r="I40" s="19">
        <f t="shared" si="7"/>
        <v>-646.25</v>
      </c>
    </row>
    <row r="41" spans="3:32" ht="26.4" hidden="1" thickBot="1" x14ac:dyDescent="0.55000000000000004">
      <c r="F41" s="16">
        <v>2</v>
      </c>
      <c r="G41" s="18">
        <f t="shared" si="6"/>
        <v>646.25</v>
      </c>
      <c r="H41" s="17">
        <v>0</v>
      </c>
      <c r="I41" s="19">
        <f t="shared" si="7"/>
        <v>-646.25</v>
      </c>
      <c r="N41" s="12" t="s">
        <v>38</v>
      </c>
    </row>
    <row r="42" spans="3:32" hidden="1" x14ac:dyDescent="0.3">
      <c r="F42" s="16">
        <v>3</v>
      </c>
      <c r="G42" s="18">
        <f t="shared" si="6"/>
        <v>646.25</v>
      </c>
      <c r="H42" s="17">
        <v>0</v>
      </c>
      <c r="I42" s="19">
        <f t="shared" si="7"/>
        <v>-646.25</v>
      </c>
    </row>
    <row r="43" spans="3:32" hidden="1" x14ac:dyDescent="0.3">
      <c r="F43" s="16">
        <v>4</v>
      </c>
      <c r="G43" s="18">
        <f t="shared" si="6"/>
        <v>6316.25</v>
      </c>
      <c r="H43" s="17">
        <v>0</v>
      </c>
      <c r="I43" s="19">
        <f t="shared" si="7"/>
        <v>-6316.25</v>
      </c>
    </row>
    <row r="44" spans="3:32" hidden="1" x14ac:dyDescent="0.3">
      <c r="F44" s="16">
        <v>5</v>
      </c>
      <c r="G44" s="18">
        <f t="shared" si="6"/>
        <v>14360</v>
      </c>
      <c r="H44" s="17">
        <v>0</v>
      </c>
      <c r="I44" s="19">
        <f t="shared" si="7"/>
        <v>-14360</v>
      </c>
    </row>
    <row r="45" spans="3:32" ht="15" hidden="1" thickBot="1" x14ac:dyDescent="0.35">
      <c r="F45" s="16">
        <v>6</v>
      </c>
      <c r="G45" s="22">
        <f t="shared" si="6"/>
        <v>0</v>
      </c>
      <c r="H45" s="21">
        <f>I12</f>
        <v>0</v>
      </c>
      <c r="I45" s="23">
        <f t="shared" si="7"/>
        <v>0</v>
      </c>
    </row>
    <row r="46" spans="3:32" ht="15" hidden="1" thickBot="1" x14ac:dyDescent="0.35">
      <c r="F46" s="20">
        <v>7</v>
      </c>
    </row>
    <row r="47" spans="3:32" hidden="1" x14ac:dyDescent="0.3">
      <c r="G47" s="17"/>
    </row>
    <row r="48" spans="3:32" ht="15" hidden="1" thickBot="1" x14ac:dyDescent="0.35">
      <c r="F48" s="17"/>
      <c r="G48" s="49"/>
      <c r="H48" t="s">
        <v>39</v>
      </c>
    </row>
    <row r="49" spans="6:14" ht="15" hidden="1" thickBot="1" x14ac:dyDescent="0.35">
      <c r="F49" s="49" t="s">
        <v>32</v>
      </c>
      <c r="G49" s="36" t="s">
        <v>22</v>
      </c>
      <c r="H49" s="36" t="s">
        <v>23</v>
      </c>
      <c r="I49" s="37" t="s">
        <v>37</v>
      </c>
    </row>
    <row r="50" spans="6:14" ht="15" hidden="1" thickBot="1" x14ac:dyDescent="0.35">
      <c r="F50" s="35" t="s">
        <v>21</v>
      </c>
      <c r="G50" s="18">
        <f>G38</f>
        <v>1146.25</v>
      </c>
      <c r="H50" s="17">
        <f>H38</f>
        <v>0</v>
      </c>
      <c r="I50" s="19">
        <f>H50-G50</f>
        <v>-1146.25</v>
      </c>
      <c r="J50" s="24" t="s">
        <v>34</v>
      </c>
      <c r="K50" s="25" t="s">
        <v>36</v>
      </c>
      <c r="L50" s="29" t="s">
        <v>35</v>
      </c>
    </row>
    <row r="51" spans="6:14" hidden="1" x14ac:dyDescent="0.3">
      <c r="F51" s="16">
        <v>0</v>
      </c>
      <c r="G51" s="18">
        <f t="shared" ref="G51:H57" si="8">G39</f>
        <v>706.25</v>
      </c>
      <c r="H51" s="17">
        <f t="shared" si="8"/>
        <v>0</v>
      </c>
      <c r="I51" s="19">
        <f t="shared" ref="I51:I57" si="9">H51-G51</f>
        <v>-706.25</v>
      </c>
      <c r="J51" s="31" t="e">
        <f>NPV(C21, I51:I57)</f>
        <v>#VALUE!</v>
      </c>
      <c r="K51" s="32" t="e">
        <f>IRR(I50:I57)</f>
        <v>#NUM!</v>
      </c>
      <c r="L51" s="33" t="e">
        <f>-PMT(C21, 7, J52)</f>
        <v>#VALUE!</v>
      </c>
    </row>
    <row r="52" spans="6:14" ht="15" hidden="1" thickBot="1" x14ac:dyDescent="0.35">
      <c r="F52" s="16">
        <v>1</v>
      </c>
      <c r="G52" s="18">
        <f t="shared" si="8"/>
        <v>646.25</v>
      </c>
      <c r="H52" s="17">
        <f t="shared" si="8"/>
        <v>0</v>
      </c>
      <c r="I52" s="19">
        <f t="shared" si="9"/>
        <v>-646.25</v>
      </c>
      <c r="J52" s="34" t="e">
        <f>J51-G50</f>
        <v>#VALUE!</v>
      </c>
      <c r="K52" s="21"/>
      <c r="L52" s="30"/>
    </row>
    <row r="53" spans="6:14" hidden="1" x14ac:dyDescent="0.3">
      <c r="F53" s="16">
        <v>2</v>
      </c>
      <c r="G53" s="18">
        <f t="shared" si="8"/>
        <v>646.25</v>
      </c>
      <c r="H53" s="17">
        <f t="shared" si="8"/>
        <v>0</v>
      </c>
      <c r="I53" s="19">
        <f t="shared" si="9"/>
        <v>-646.25</v>
      </c>
    </row>
    <row r="54" spans="6:14" ht="15" hidden="1" thickBot="1" x14ac:dyDescent="0.35">
      <c r="F54" s="16">
        <v>3</v>
      </c>
      <c r="G54" s="18">
        <f t="shared" si="8"/>
        <v>646.25</v>
      </c>
      <c r="H54" s="17">
        <f t="shared" si="8"/>
        <v>0</v>
      </c>
      <c r="I54" s="19">
        <f t="shared" si="9"/>
        <v>-646.25</v>
      </c>
    </row>
    <row r="55" spans="6:14" ht="26.4" hidden="1" thickBot="1" x14ac:dyDescent="0.55000000000000004">
      <c r="F55" s="16">
        <v>4</v>
      </c>
      <c r="G55" s="18">
        <f t="shared" si="8"/>
        <v>6316.25</v>
      </c>
      <c r="H55" s="17">
        <f t="shared" si="8"/>
        <v>0</v>
      </c>
      <c r="I55" s="19">
        <f t="shared" si="9"/>
        <v>-6316.25</v>
      </c>
      <c r="N55" s="12" t="s">
        <v>40</v>
      </c>
    </row>
    <row r="56" spans="6:14" hidden="1" x14ac:dyDescent="0.3">
      <c r="F56" s="16">
        <v>5</v>
      </c>
      <c r="G56" s="18">
        <f t="shared" si="8"/>
        <v>14360</v>
      </c>
      <c r="H56" s="17">
        <f t="shared" si="8"/>
        <v>0</v>
      </c>
      <c r="I56" s="19">
        <f t="shared" si="9"/>
        <v>-14360</v>
      </c>
    </row>
    <row r="57" spans="6:14" ht="15" hidden="1" thickBot="1" x14ac:dyDescent="0.35">
      <c r="F57" s="16">
        <v>6</v>
      </c>
      <c r="G57" s="22">
        <f t="shared" si="8"/>
        <v>0</v>
      </c>
      <c r="H57" s="21">
        <f t="shared" si="8"/>
        <v>0</v>
      </c>
      <c r="I57" s="23">
        <f t="shared" si="9"/>
        <v>0</v>
      </c>
    </row>
    <row r="58" spans="6:14" ht="15" hidden="1" thickBot="1" x14ac:dyDescent="0.35">
      <c r="F58" s="20">
        <v>7</v>
      </c>
    </row>
  </sheetData>
  <mergeCells count="1">
    <mergeCell ref="W23:X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sem_transporte</vt:lpstr>
      <vt:lpstr>com_transporte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</dc:creator>
  <cp:lastModifiedBy>Sollano Rabelo Braga</cp:lastModifiedBy>
  <dcterms:created xsi:type="dcterms:W3CDTF">2013-12-16T10:11:08Z</dcterms:created>
  <dcterms:modified xsi:type="dcterms:W3CDTF">2018-12-19T21:53:57Z</dcterms:modified>
</cp:coreProperties>
</file>