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viosys-my.sharepoint.com/personal/chaima_bouaouda_eviosys_com/Documents/Desktop/"/>
    </mc:Choice>
  </mc:AlternateContent>
  <xr:revisionPtr revIDLastSave="875" documentId="8_{DAF5141C-5CEB-4D51-B267-41FE8AAF33E2}" xr6:coauthVersionLast="47" xr6:coauthVersionMax="47" xr10:uidLastSave="{B661BD87-C3D4-4EDA-AF07-ADF1ED152CBD}"/>
  <bookViews>
    <workbookView xWindow="-120" yWindow="-120" windowWidth="29040" windowHeight="15840" xr2:uid="{00000000-000D-0000-FFFF-FFFF00000000}"/>
  </bookViews>
  <sheets>
    <sheet name="Employés  " sheetId="16" r:id="rId1"/>
    <sheet name="Programme " sheetId="8" state="hidden" r:id="rId2"/>
    <sheet name="Résultat" sheetId="3" r:id="rId3"/>
    <sheet name="Résultat Normal" sheetId="22" r:id="rId4"/>
    <sheet name="Prog de transport Matin" sheetId="19" r:id="rId5"/>
    <sheet name="Prog de transport Soir" sheetId="20" r:id="rId6"/>
    <sheet name="Prog de transport Nuit" sheetId="18" r:id="rId7"/>
    <sheet name="Prog de transport Normal " sheetId="21" r:id="rId8"/>
    <sheet name="Zone de regroupement " sheetId="15" r:id="rId9"/>
  </sheets>
  <definedNames>
    <definedName name="_xlnm._FilterDatabase" localSheetId="0" hidden="1">'Employés  '!$A$5:$E$128</definedName>
    <definedName name="_xlnm._FilterDatabase" localSheetId="2" hidden="1">Résultat!$A$1:$D$27</definedName>
    <definedName name="_xlnm._FilterDatabase" localSheetId="3" hidden="1">'Résultat Normal'!$A$1:$D$10</definedName>
    <definedName name="_xlnm._FilterDatabase" localSheetId="8" hidden="1">'Zone de regroupement '!$A$1:$D$74</definedName>
    <definedName name="EMPLOYES">#REF!</definedName>
    <definedName name="EQ">#REF!</definedName>
    <definedName name="EQUIPE" localSheetId="1">'Programme '!$C$6:$C$8</definedName>
    <definedName name="EQUIPE">#REF!</definedName>
    <definedName name="EQUIPE1" localSheetId="1">'Programme '!$A$5:$C$5</definedName>
    <definedName name="EQUIPE1">#REF!</definedName>
    <definedName name="EQUIPE2" localSheetId="0">'Employés  '!$E$10:$E$13</definedName>
    <definedName name="EQUIPE2">#REF!</definedName>
    <definedName name="EQUIPE3">#REF!</definedName>
    <definedName name="EQUIPE4">'Employés  '!$F$6:$F$10</definedName>
    <definedName name="SEMAINE">'Programme '!$M$1:$M$51</definedName>
    <definedName name="WEEK">'Programme '!$M$1:$M$50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2" l="1"/>
  <c r="D5" i="22" s="1"/>
  <c r="C10" i="22"/>
  <c r="E10" i="22" s="1"/>
  <c r="C9" i="22"/>
  <c r="D9" i="22" s="1"/>
  <c r="C8" i="22"/>
  <c r="E8" i="22" s="1"/>
  <c r="C7" i="22"/>
  <c r="E7" i="22" s="1"/>
  <c r="C6" i="22"/>
  <c r="E6" i="22" s="1"/>
  <c r="C4" i="22"/>
  <c r="D4" i="22" s="1"/>
  <c r="C3" i="22"/>
  <c r="E3" i="22" s="1"/>
  <c r="C2" i="22"/>
  <c r="E2" i="22" s="1"/>
  <c r="N49" i="21" a="1"/>
  <c r="N49" i="21" s="1"/>
  <c r="L49" i="21" a="1"/>
  <c r="L49" i="21" s="1"/>
  <c r="I49" i="21" a="1"/>
  <c r="I49" i="21" s="1"/>
  <c r="G49" i="21" a="1"/>
  <c r="G49" i="21" s="1"/>
  <c r="D49" i="21" a="1"/>
  <c r="D49" i="21" s="1"/>
  <c r="B49" i="21" a="1"/>
  <c r="B49" i="21" s="1"/>
  <c r="N30" i="21" a="1"/>
  <c r="N30" i="21" s="1"/>
  <c r="L30" i="21" a="1"/>
  <c r="L30" i="21" s="1"/>
  <c r="I30" i="21" a="1"/>
  <c r="I30" i="21" s="1"/>
  <c r="G30" i="21" a="1"/>
  <c r="G30" i="21" s="1"/>
  <c r="D30" i="21" a="1"/>
  <c r="D30" i="21" s="1"/>
  <c r="B30" i="21" a="1"/>
  <c r="B30" i="21" s="1"/>
  <c r="N11" i="21" a="1"/>
  <c r="N11" i="21" s="1"/>
  <c r="L11" i="21" a="1"/>
  <c r="L11" i="21" s="1"/>
  <c r="I11" i="21" a="1"/>
  <c r="I11" i="21" s="1"/>
  <c r="G11" i="21" a="1"/>
  <c r="G11" i="21" s="1"/>
  <c r="D11" i="21" a="1"/>
  <c r="D11" i="21" s="1"/>
  <c r="B11" i="21" a="1"/>
  <c r="B11" i="21" s="1"/>
  <c r="B2" i="21"/>
  <c r="D2" i="21" s="1"/>
  <c r="C2" i="3"/>
  <c r="B9" i="15"/>
  <c r="B11" i="18" a="1"/>
  <c r="B11" i="18" s="1"/>
  <c r="C25" i="3"/>
  <c r="D25" i="3" s="1"/>
  <c r="C26" i="3"/>
  <c r="D26" i="3" s="1"/>
  <c r="C27" i="3"/>
  <c r="D27" i="3" s="1"/>
  <c r="C28" i="3"/>
  <c r="D28" i="3" s="1"/>
  <c r="E9" i="22" l="1"/>
  <c r="E5" i="22"/>
  <c r="E4" i="22"/>
  <c r="D6" i="22"/>
  <c r="D3" i="22"/>
  <c r="D8" i="22"/>
  <c r="D2" i="22"/>
  <c r="D7" i="22"/>
  <c r="D10" i="22"/>
  <c r="I25" i="18" a="1"/>
  <c r="I25" i="18" s="1"/>
  <c r="G25" i="18" a="1"/>
  <c r="G25" i="18" s="1"/>
  <c r="I4" i="21" l="1"/>
  <c r="C3" i="3"/>
  <c r="E2" i="3"/>
  <c r="E8" i="19" l="1"/>
  <c r="E8" i="21"/>
  <c r="C7" i="3"/>
  <c r="E7" i="3" s="1"/>
  <c r="J8" i="18" s="1"/>
  <c r="I11" i="18" a="1"/>
  <c r="I11" i="18" s="1"/>
  <c r="G11" i="18" a="1"/>
  <c r="G11" i="18" s="1"/>
  <c r="D25" i="18" a="1"/>
  <c r="D25" i="18" s="1"/>
  <c r="B25" i="18" a="1"/>
  <c r="B25" i="18" s="1"/>
  <c r="C15" i="3"/>
  <c r="E15" i="3" s="1"/>
  <c r="E22" i="20" s="1"/>
  <c r="D25" i="20" a="1"/>
  <c r="D25" i="20" s="1"/>
  <c r="B25" i="20" a="1"/>
  <c r="B25" i="20" s="1"/>
  <c r="B2" i="18"/>
  <c r="D2" i="18" s="1"/>
  <c r="B2" i="20" l="1"/>
  <c r="D2" i="20" s="1"/>
  <c r="B2" i="19"/>
  <c r="D2" i="19" s="1"/>
  <c r="S25" i="20" l="1" a="1"/>
  <c r="S25" i="20" s="1"/>
  <c r="Q25" i="20" a="1"/>
  <c r="Q25" i="20" s="1"/>
  <c r="N25" i="20" a="1"/>
  <c r="N25" i="20" s="1"/>
  <c r="L25" i="20" a="1"/>
  <c r="L25" i="20" s="1"/>
  <c r="I25" i="20" a="1"/>
  <c r="I25" i="20" s="1"/>
  <c r="G25" i="20" a="1"/>
  <c r="G25" i="20" s="1"/>
  <c r="N11" i="20" a="1"/>
  <c r="N11" i="20" s="1"/>
  <c r="G11" i="20" a="1"/>
  <c r="G11" i="20" s="1"/>
  <c r="I11" i="20" a="1"/>
  <c r="I11" i="20" s="1"/>
  <c r="L11" i="20" a="1"/>
  <c r="L11" i="20" s="1"/>
  <c r="D11" i="20" a="1"/>
  <c r="D11" i="20" s="1"/>
  <c r="B11" i="20" a="1"/>
  <c r="B11" i="20" s="1"/>
  <c r="N49" i="19" a="1"/>
  <c r="N49" i="19" s="1"/>
  <c r="L49" i="19" a="1"/>
  <c r="L49" i="19" s="1"/>
  <c r="I49" i="19" a="1"/>
  <c r="I49" i="19" s="1"/>
  <c r="G49" i="19" a="1"/>
  <c r="G49" i="19" s="1"/>
  <c r="D49" i="19" a="1"/>
  <c r="D49" i="19" s="1"/>
  <c r="B49" i="19" a="1"/>
  <c r="B49" i="19" s="1"/>
  <c r="N28" i="19" a="1"/>
  <c r="N28" i="19" s="1"/>
  <c r="L28" i="19" a="1"/>
  <c r="L28" i="19" s="1"/>
  <c r="I28" i="19" a="1"/>
  <c r="I28" i="19" s="1"/>
  <c r="G28" i="19" a="1"/>
  <c r="G28" i="19" s="1"/>
  <c r="D28" i="19" a="1"/>
  <c r="D28" i="19" s="1"/>
  <c r="B28" i="19" a="1"/>
  <c r="B28" i="19" s="1"/>
  <c r="N11" i="19" a="1"/>
  <c r="N11" i="19" s="1"/>
  <c r="L11" i="19" a="1"/>
  <c r="L11" i="19" s="1"/>
  <c r="I11" i="19" a="1"/>
  <c r="I11" i="19" s="1"/>
  <c r="G11" i="19" a="1"/>
  <c r="G11" i="19" s="1"/>
  <c r="D11" i="19" a="1"/>
  <c r="D11" i="19" s="1"/>
  <c r="B11" i="19" a="1"/>
  <c r="B11" i="19" s="1"/>
  <c r="N11" i="18" a="1"/>
  <c r="N11" i="18" s="1"/>
  <c r="L11" i="18" a="1"/>
  <c r="L11" i="18" s="1"/>
  <c r="D11" i="18" a="1"/>
  <c r="D11" i="18" s="1"/>
  <c r="C6" i="8" l="1" a="1"/>
  <c r="C6" i="8" s="1"/>
  <c r="B6" i="8" a="1"/>
  <c r="B6" i="8" s="1"/>
  <c r="A6" i="8" a="1"/>
  <c r="A6" i="8" s="1"/>
  <c r="B3" i="15"/>
  <c r="D3" i="15" s="1"/>
  <c r="B4" i="15"/>
  <c r="D4" i="15" s="1"/>
  <c r="B5" i="15"/>
  <c r="D5" i="15" s="1"/>
  <c r="B6" i="15"/>
  <c r="D6" i="15" s="1"/>
  <c r="B7" i="15"/>
  <c r="D7" i="15" s="1"/>
  <c r="B8" i="15"/>
  <c r="D8" i="15" s="1"/>
  <c r="D9" i="15"/>
  <c r="B10" i="15"/>
  <c r="D10" i="15" s="1"/>
  <c r="B11" i="15"/>
  <c r="D11" i="15" s="1"/>
  <c r="B12" i="15"/>
  <c r="D12" i="15" s="1"/>
  <c r="B13" i="15"/>
  <c r="D13" i="15" s="1"/>
  <c r="B14" i="15"/>
  <c r="D14" i="15" s="1"/>
  <c r="B15" i="15"/>
  <c r="D15" i="15" s="1"/>
  <c r="B16" i="15"/>
  <c r="D16" i="15" s="1"/>
  <c r="B17" i="15"/>
  <c r="D17" i="15" s="1"/>
  <c r="B18" i="15"/>
  <c r="D18" i="15" s="1"/>
  <c r="B19" i="15"/>
  <c r="D19" i="15" s="1"/>
  <c r="B20" i="15"/>
  <c r="D20" i="15" s="1"/>
  <c r="B21" i="15"/>
  <c r="D21" i="15" s="1"/>
  <c r="B22" i="15"/>
  <c r="D22" i="15" s="1"/>
  <c r="B23" i="15"/>
  <c r="D23" i="15" s="1"/>
  <c r="B24" i="15"/>
  <c r="D24" i="15" s="1"/>
  <c r="B25" i="15"/>
  <c r="D25" i="15" s="1"/>
  <c r="B26" i="15"/>
  <c r="D26" i="15" s="1"/>
  <c r="B27" i="15"/>
  <c r="D27" i="15" s="1"/>
  <c r="B28" i="15"/>
  <c r="D28" i="15" s="1"/>
  <c r="B29" i="15"/>
  <c r="D29" i="15" s="1"/>
  <c r="B30" i="15"/>
  <c r="D30" i="15" s="1"/>
  <c r="B31" i="15"/>
  <c r="D31" i="15" s="1"/>
  <c r="B32" i="15"/>
  <c r="D32" i="15" s="1"/>
  <c r="B33" i="15"/>
  <c r="D33" i="15" s="1"/>
  <c r="B34" i="15"/>
  <c r="D34" i="15" s="1"/>
  <c r="B35" i="15"/>
  <c r="D35" i="15" s="1"/>
  <c r="B36" i="15"/>
  <c r="D36" i="15" s="1"/>
  <c r="B37" i="15"/>
  <c r="D37" i="15" s="1"/>
  <c r="B38" i="15"/>
  <c r="D38" i="15" s="1"/>
  <c r="B39" i="15"/>
  <c r="D39" i="15" s="1"/>
  <c r="B40" i="15"/>
  <c r="D40" i="15" s="1"/>
  <c r="B41" i="15"/>
  <c r="D41" i="15" s="1"/>
  <c r="B42" i="15"/>
  <c r="D42" i="15" s="1"/>
  <c r="B43" i="15"/>
  <c r="D43" i="15" s="1"/>
  <c r="B44" i="15"/>
  <c r="D44" i="15" s="1"/>
  <c r="B45" i="15"/>
  <c r="D45" i="15" s="1"/>
  <c r="B46" i="15"/>
  <c r="D46" i="15" s="1"/>
  <c r="B47" i="15"/>
  <c r="D47" i="15" s="1"/>
  <c r="B48" i="15"/>
  <c r="D48" i="15" s="1"/>
  <c r="B49" i="15"/>
  <c r="D49" i="15" s="1"/>
  <c r="B50" i="15"/>
  <c r="D50" i="15" s="1"/>
  <c r="B51" i="15"/>
  <c r="D51" i="15" s="1"/>
  <c r="B52" i="15"/>
  <c r="D52" i="15" s="1"/>
  <c r="B53" i="15"/>
  <c r="D53" i="15" s="1"/>
  <c r="B54" i="15"/>
  <c r="D54" i="15" s="1"/>
  <c r="B55" i="15"/>
  <c r="D55" i="15" s="1"/>
  <c r="B56" i="15"/>
  <c r="D56" i="15" s="1"/>
  <c r="B57" i="15"/>
  <c r="D57" i="15" s="1"/>
  <c r="B58" i="15"/>
  <c r="D58" i="15" s="1"/>
  <c r="B59" i="15"/>
  <c r="D59" i="15" s="1"/>
  <c r="B60" i="15"/>
  <c r="D60" i="15" s="1"/>
  <c r="B61" i="15"/>
  <c r="D61" i="15" s="1"/>
  <c r="B62" i="15"/>
  <c r="D62" i="15" s="1"/>
  <c r="B63" i="15"/>
  <c r="D63" i="15" s="1"/>
  <c r="B64" i="15"/>
  <c r="D64" i="15" s="1"/>
  <c r="B65" i="15"/>
  <c r="D65" i="15" s="1"/>
  <c r="B66" i="15"/>
  <c r="D66" i="15" s="1"/>
  <c r="B67" i="15"/>
  <c r="D67" i="15" s="1"/>
  <c r="B68" i="15"/>
  <c r="D68" i="15" s="1"/>
  <c r="B69" i="15"/>
  <c r="D69" i="15" s="1"/>
  <c r="B70" i="15"/>
  <c r="D70" i="15" s="1"/>
  <c r="B71" i="15"/>
  <c r="D71" i="15" s="1"/>
  <c r="B72" i="15"/>
  <c r="D72" i="15" s="1"/>
  <c r="B73" i="15"/>
  <c r="D73" i="15" s="1"/>
  <c r="B74" i="15"/>
  <c r="D74" i="15" s="1"/>
  <c r="B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2" i="15"/>
  <c r="E3" i="3"/>
  <c r="E8" i="20" s="1"/>
  <c r="C4" i="3"/>
  <c r="E4" i="3" s="1"/>
  <c r="E8" i="18" s="1"/>
  <c r="C5" i="3"/>
  <c r="E5" i="3" s="1"/>
  <c r="C6" i="3"/>
  <c r="E6" i="3" s="1"/>
  <c r="J8" i="20" s="1"/>
  <c r="C8" i="3"/>
  <c r="E8" i="3" s="1"/>
  <c r="C9" i="3"/>
  <c r="E9" i="3" s="1"/>
  <c r="O8" i="20" s="1"/>
  <c r="C10" i="3"/>
  <c r="E10" i="3" s="1"/>
  <c r="O8" i="18" s="1"/>
  <c r="C11" i="3"/>
  <c r="C14" i="3"/>
  <c r="E14" i="3" s="1"/>
  <c r="C16" i="3"/>
  <c r="E16" i="3" s="1"/>
  <c r="E22" i="18" s="1"/>
  <c r="C17" i="3"/>
  <c r="E17" i="3" s="1"/>
  <c r="C18" i="3"/>
  <c r="E18" i="3" s="1"/>
  <c r="C19" i="3"/>
  <c r="E19" i="3" s="1"/>
  <c r="C20" i="3"/>
  <c r="E20" i="3" s="1"/>
  <c r="C21" i="3"/>
  <c r="E21" i="3" s="1"/>
  <c r="J22" i="20" s="1"/>
  <c r="C22" i="3"/>
  <c r="E22" i="3" s="1"/>
  <c r="J22" i="18" s="1"/>
  <c r="C23" i="3"/>
  <c r="E23" i="3" s="1"/>
  <c r="C24" i="3"/>
  <c r="E24" i="3" s="1"/>
  <c r="O22" i="20" s="1"/>
  <c r="E26" i="3"/>
  <c r="E27" i="3"/>
  <c r="T22" i="20" s="1"/>
  <c r="O46" i="19" l="1"/>
  <c r="O44" i="21"/>
  <c r="J46" i="19"/>
  <c r="J44" i="21"/>
  <c r="E46" i="19"/>
  <c r="E44" i="21"/>
  <c r="O25" i="19"/>
  <c r="O25" i="21"/>
  <c r="J25" i="19"/>
  <c r="J25" i="21"/>
  <c r="O8" i="19"/>
  <c r="O8" i="21"/>
  <c r="J8" i="19"/>
  <c r="J8" i="21"/>
  <c r="H23" i="15"/>
  <c r="I23" i="15"/>
  <c r="E11" i="3"/>
  <c r="D2" i="15"/>
  <c r="H20" i="15" s="1"/>
  <c r="G23" i="15"/>
  <c r="I20" i="15"/>
  <c r="H19" i="15"/>
  <c r="I19" i="15"/>
  <c r="G19" i="15"/>
  <c r="G20" i="15" l="1"/>
  <c r="E25" i="19"/>
  <c r="E25" i="21"/>
  <c r="I14" i="15"/>
  <c r="H14" i="15"/>
  <c r="G2" i="15"/>
  <c r="I3" i="15"/>
  <c r="G14" i="15"/>
  <c r="H8" i="15"/>
  <c r="I10" i="15"/>
  <c r="I9" i="15"/>
  <c r="G3" i="15"/>
  <c r="H3" i="15"/>
  <c r="G8" i="15"/>
  <c r="H9" i="15"/>
  <c r="H10" i="15"/>
  <c r="I2" i="15"/>
  <c r="G9" i="15"/>
  <c r="I8" i="15"/>
  <c r="H2" i="15"/>
  <c r="G10" i="15"/>
  <c r="D22" i="3" l="1"/>
  <c r="D7" i="3"/>
  <c r="D8" i="3"/>
  <c r="D10" i="3"/>
  <c r="D11" i="3"/>
  <c r="D15" i="3"/>
  <c r="D16" i="3"/>
  <c r="D18" i="3"/>
  <c r="D19" i="3"/>
  <c r="D21" i="3"/>
  <c r="D23" i="3"/>
  <c r="D24" i="3"/>
  <c r="D6" i="3"/>
  <c r="D3" i="3"/>
  <c r="D4" i="3"/>
  <c r="I4" i="18" l="1"/>
  <c r="D9" i="3"/>
  <c r="D14" i="3"/>
  <c r="D17" i="3"/>
  <c r="D20" i="3"/>
  <c r="D5" i="3"/>
  <c r="D2" i="3" l="1"/>
  <c r="I4" i="1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<sst xmlns="http://schemas.openxmlformats.org/spreadsheetml/2006/main" count="839" uniqueCount="268">
  <si>
    <t>Circuit</t>
  </si>
  <si>
    <t>Équipe</t>
  </si>
  <si>
    <t>Nb employés</t>
  </si>
  <si>
    <t>Nb bus</t>
  </si>
  <si>
    <t>AZHAR CAFE ELABDI</t>
  </si>
  <si>
    <t>AZHAR ECOLE ATLANTIC</t>
  </si>
  <si>
    <t>RIAD SIDI MOUMEN GROUPE 4</t>
  </si>
  <si>
    <t>HAY MOHAMMEDY /TAKADOUM DAR DARIBA</t>
  </si>
  <si>
    <t>OULFA PH EL WOROUD</t>
  </si>
  <si>
    <t>ANASSI SOUK NAMODAJI</t>
  </si>
  <si>
    <t>MOHAMMEDIA</t>
  </si>
  <si>
    <t>BOURNAZIL BMCI</t>
  </si>
  <si>
    <t>OULFA 35</t>
  </si>
  <si>
    <t>ROCHE NOIR</t>
  </si>
  <si>
    <t xml:space="preserve">Point ramassage </t>
  </si>
  <si>
    <t>DERB SULTAN BD BOUCHAIB DOUKALI PH EL NASER</t>
  </si>
  <si>
    <t>HAY MOHAMMEDY BQ BMCE STATION TOTAL</t>
  </si>
  <si>
    <t>BOULEVARD DE LA CROIX PH CASABLANCA</t>
  </si>
  <si>
    <t>SOCICA STATION TOTAL</t>
  </si>
  <si>
    <t>PANORAMIQUE CAFE EL ANDALOUS</t>
  </si>
  <si>
    <t>CAFE FEM LEHCEN</t>
  </si>
  <si>
    <t>AIN CHOCK BD DAKHLA MOSQUE OUHOUD</t>
  </si>
  <si>
    <t>POSTE HAY MOHAMMEDY</t>
  </si>
  <si>
    <t>SIDI MOUMEN NOUR CITY 3</t>
  </si>
  <si>
    <t>JAWHARA SIDI MOUMEN PH ALAA</t>
  </si>
  <si>
    <t>SIDI MOUMEN LOTS HOUDA</t>
  </si>
  <si>
    <t>SIDI MOUMEN</t>
  </si>
  <si>
    <t>SIDI MOUMEN 3OTOUR</t>
  </si>
  <si>
    <t>COMMUNE LISASFA ROUTE ELJADIDA</t>
  </si>
  <si>
    <t>BD ZERKTOUNI ROND POINT D'EUROPE</t>
  </si>
  <si>
    <t>MOSQUE ADARISSA (SIDI MAAROUF)</t>
  </si>
  <si>
    <t>BD MOULAY DRISS (2MARS)</t>
  </si>
  <si>
    <t>ERRAHMA, ECOLE OTHMANE IBN AFFAN</t>
  </si>
  <si>
    <t xml:space="preserve"> FARAH EL SALLAM, </t>
  </si>
  <si>
    <t>DAR BOUAAZA ESPACE AL MOHIT 1 ESSAADA</t>
  </si>
  <si>
    <t>CARNAUD COUPE</t>
  </si>
  <si>
    <t>BD BAGHDAD QODS</t>
  </si>
  <si>
    <t>AZHAR SAKANI ECOLE EL KHANSAE</t>
  </si>
  <si>
    <t>AZHAR RESIDENCE EL NASR</t>
  </si>
  <si>
    <t>MOSQUE QODS</t>
  </si>
  <si>
    <t xml:space="preserve">AZHAR PANORAMA </t>
  </si>
  <si>
    <t>ROUTE MOHAMMEDIA DIYAR ELMANSOUR</t>
  </si>
  <si>
    <t>SIDI OTHMANE CAFE ARSENAL</t>
  </si>
  <si>
    <t>CAFE SEVILLE BOURNAZIL</t>
  </si>
  <si>
    <t>SEBATA CAFE EL WAZIR</t>
  </si>
  <si>
    <t>STATION PETRONIM BD SAKIA ELHAMRA</t>
  </si>
  <si>
    <t xml:space="preserve">MABROUKA SIDI OTHMANE </t>
  </si>
  <si>
    <t>SEBATA RUE ABDELKADER SAHRAOUI</t>
  </si>
  <si>
    <t>SEBATA CINEMA MADANIA</t>
  </si>
  <si>
    <t>STATION TOTAL BD DRISS ELHARTI</t>
  </si>
  <si>
    <t>HAY ELFALAH CINEMA FALAH</t>
  </si>
  <si>
    <t>HAY LALA MERYEM ECOLE QODS</t>
  </si>
  <si>
    <t>HAY MOULAY RACHID PH IKBAK BD BOUZIANE</t>
  </si>
  <si>
    <t>BD BOUZIANE PH IKBAL</t>
  </si>
  <si>
    <t>CAFE 8 RES 8 HAY LALLA MERYEM</t>
  </si>
  <si>
    <t>HAY ELBARAKA RUE JOUDART</t>
  </si>
  <si>
    <t>DERB SULTAN</t>
  </si>
  <si>
    <t>RAHMA</t>
  </si>
  <si>
    <t>AZHAR</t>
  </si>
  <si>
    <t>SIDI OTHMANE</t>
  </si>
  <si>
    <t>HAY MOLAY RCHID</t>
  </si>
  <si>
    <t>HAY MOHAMMEDI</t>
  </si>
  <si>
    <t>Equipe</t>
  </si>
  <si>
    <t>MATIN</t>
  </si>
  <si>
    <t>NUIT</t>
  </si>
  <si>
    <t>Noms</t>
  </si>
  <si>
    <t>MPC</t>
  </si>
  <si>
    <t>EOLE</t>
  </si>
  <si>
    <t>EXPEDITIONS</t>
  </si>
  <si>
    <t>VEG</t>
  </si>
  <si>
    <t>TECHNIQUE</t>
  </si>
  <si>
    <t>INFIRMERIE</t>
  </si>
  <si>
    <t>ELECTRIQUE</t>
  </si>
  <si>
    <t>QUALITE</t>
  </si>
  <si>
    <t>ACC</t>
  </si>
  <si>
    <t>IND BTES</t>
  </si>
  <si>
    <t>ANAPEC</t>
  </si>
  <si>
    <t>ABIR, SIDI MOUMEN</t>
  </si>
  <si>
    <t>HAY  MOHAMMEDY GRAND CEINTURE CAFE 7 3OYOUN</t>
  </si>
  <si>
    <t>ESSOLAMI HASSAN</t>
  </si>
  <si>
    <t>JMOUHI MOHAMED</t>
  </si>
  <si>
    <t>FADEL ABDELLATIF</t>
  </si>
  <si>
    <t>AOUZANE Hamid</t>
  </si>
  <si>
    <t>FEROUAL ABDELALI</t>
  </si>
  <si>
    <t>RJAFALLAH LARBI</t>
  </si>
  <si>
    <t>NASSOUR  ABDELILAH</t>
  </si>
  <si>
    <t>ELHANSALI ABDERRAZAK</t>
  </si>
  <si>
    <t>NADI TARIK</t>
  </si>
  <si>
    <t>MAHMAH AYOUB</t>
  </si>
  <si>
    <t>SAIS BRAHIM</t>
  </si>
  <si>
    <t>EZZINE ABDELALI</t>
  </si>
  <si>
    <t>KOBBI AHMED</t>
  </si>
  <si>
    <t>SAHRANI MOHAMED</t>
  </si>
  <si>
    <t>JAWAD ABDERRAHIM</t>
  </si>
  <si>
    <t>BELYAKOUT AZIZ</t>
  </si>
  <si>
    <t>ALSAFI KAMAL</t>
  </si>
  <si>
    <t>KASSI AHMED</t>
  </si>
  <si>
    <t>BELHACHEMI OTHMANE</t>
  </si>
  <si>
    <t>KAITER RACHID</t>
  </si>
  <si>
    <t>KTRI Abdelkarim</t>
  </si>
  <si>
    <t>EL BAKRI REDOUANE</t>
  </si>
  <si>
    <t>JAMILI MOHAMED</t>
  </si>
  <si>
    <t>ENNAJOUI CHAKIR</t>
  </si>
  <si>
    <t>FARID  MOHAMMED</t>
  </si>
  <si>
    <t>FAIZ SAID</t>
  </si>
  <si>
    <t>WAKRIM MOHAMED</t>
  </si>
  <si>
    <t>TIJAHI ASMAA</t>
  </si>
  <si>
    <t>BAHROUNE MOHAMED</t>
  </si>
  <si>
    <t>ANWAR AZIZ</t>
  </si>
  <si>
    <t>ERREJIOUI  SAID</t>
  </si>
  <si>
    <t>OUAHID ADIL</t>
  </si>
  <si>
    <t>ERRADI ABDELWAHED</t>
  </si>
  <si>
    <t>AZLAG HASSAN</t>
  </si>
  <si>
    <t>OUAJHI YOUNESS</t>
  </si>
  <si>
    <t>HIRMANE FOUAD</t>
  </si>
  <si>
    <t>KARBAL BOUCHAIB</t>
  </si>
  <si>
    <t>GHOUFRAOUI MUSTAPHA</t>
  </si>
  <si>
    <t>AMIZ REDOUANE</t>
  </si>
  <si>
    <t>BOUABID JAWAD</t>
  </si>
  <si>
    <t>HOUAFI AHMED</t>
  </si>
  <si>
    <t>MAAGLI SAID</t>
  </si>
  <si>
    <t>TALEB Rachid</t>
  </si>
  <si>
    <t>BENNANNA DRISS</t>
  </si>
  <si>
    <t>SABIR NOUREDDINE</t>
  </si>
  <si>
    <t>MASSAKI ABDESSAMAD</t>
  </si>
  <si>
    <t>ESSAIDI MOHAMED</t>
  </si>
  <si>
    <t>MISSAOUI ABDELMAJID</t>
  </si>
  <si>
    <t>SAADOUNI SAID</t>
  </si>
  <si>
    <t>FETHERRAHIM BADR</t>
  </si>
  <si>
    <t>KARNBAH MOHAMED</t>
  </si>
  <si>
    <t>HAILI MOHAMED</t>
  </si>
  <si>
    <t>TABARANE  YOUNES</t>
  </si>
  <si>
    <t>ERRAJI ELMEHDI</t>
  </si>
  <si>
    <t>IJABA MOUNA</t>
  </si>
  <si>
    <t>MARBOUH MUSTAPHA</t>
  </si>
  <si>
    <t>EL AZAR  ABDELJALIL</t>
  </si>
  <si>
    <t>BACHRI HICHAM</t>
  </si>
  <si>
    <t>NABBAR ABID</t>
  </si>
  <si>
    <t>EL RHALLAB MOHAMED</t>
  </si>
  <si>
    <t>DENNI AZIZ</t>
  </si>
  <si>
    <t>ADDAHR AYOUB</t>
  </si>
  <si>
    <t>HADDOU Fatima Zahra</t>
  </si>
  <si>
    <t>SANID TAOUFIK</t>
  </si>
  <si>
    <t>LABNI MUSTAPHA</t>
  </si>
  <si>
    <t>AZOUZI AHMED</t>
  </si>
  <si>
    <t>SOFIANE MOURAD</t>
  </si>
  <si>
    <t>SOULMANI RACHID</t>
  </si>
  <si>
    <t>FELLAKI ABDELKARIM</t>
  </si>
  <si>
    <t>SOIR</t>
  </si>
  <si>
    <t>Groupe de Circuit</t>
  </si>
  <si>
    <t>GROUPE A</t>
  </si>
  <si>
    <t>GROUPE B</t>
  </si>
  <si>
    <t xml:space="preserve"> HAY MOLAY RCHID</t>
  </si>
  <si>
    <t xml:space="preserve"> SIDI MOUMEN</t>
  </si>
  <si>
    <t xml:space="preserve"> AZHAR</t>
  </si>
  <si>
    <t xml:space="preserve"> SIDI OTHMANE</t>
  </si>
  <si>
    <t>GROUPE C</t>
  </si>
  <si>
    <t>Atelier</t>
  </si>
  <si>
    <t>FADEL Imad</t>
  </si>
  <si>
    <t>FADEL SAMI</t>
  </si>
  <si>
    <t>SAIS TARIK</t>
  </si>
  <si>
    <t> SALMIA 2 RUE 14 IMM 10/POSTE SALMIA</t>
  </si>
  <si>
    <t>ANASSI</t>
  </si>
  <si>
    <t>AZHAR PHARMACIE SAKANI</t>
  </si>
  <si>
    <t>HAY MOHAMMEDI CAFE 7 AAYOUN</t>
  </si>
  <si>
    <t>DERB SULTAN BD MOHAMMED 6 RESIDENCE EL NASR</t>
  </si>
  <si>
    <t>HAY MOHAMMEDY HALAWIYAT ERRABI3</t>
  </si>
  <si>
    <t>N/A</t>
  </si>
  <si>
    <t>GROUPE E</t>
  </si>
  <si>
    <t>SIDI MOUMEN NOUR CITY 2</t>
  </si>
  <si>
    <t>GROUPE D</t>
  </si>
  <si>
    <t>DARWICH SAID</t>
  </si>
  <si>
    <t>HAY ELMASSIRA</t>
  </si>
  <si>
    <t>INTERIM QUALITE</t>
  </si>
  <si>
    <t>SKOURI ABDELAZIZ</t>
  </si>
  <si>
    <t>HAY ELMASSIRA 1 FACULTE DES LETTRES</t>
  </si>
  <si>
    <t>MOUDAKIR  SMAIN</t>
  </si>
  <si>
    <t>ORANGE MOHAMMED</t>
  </si>
  <si>
    <t>ANASSI BV ZEFZAF</t>
  </si>
  <si>
    <t>NORMAL</t>
  </si>
  <si>
    <t>ROCHE NOIR BV MOLAY SMAIL</t>
  </si>
  <si>
    <t xml:space="preserve">BOURNAZIL BV 9OWAT ALMOSA3IDA CAFE ZAYTOUNA </t>
  </si>
  <si>
    <t xml:space="preserve">AITBRAHIM SAID </t>
  </si>
  <si>
    <t>SOUAT MALIKA</t>
  </si>
  <si>
    <t>A COTE DU CINEMA ENNAJAH MOHMMEDIA</t>
  </si>
  <si>
    <t>BROGI MINA</t>
  </si>
  <si>
    <t>RUE PALESTINE A COTE BANQUE POPULAIRE MOHAMMEDIA</t>
  </si>
  <si>
    <t xml:space="preserve">MARHRAOUI SAADIA </t>
  </si>
  <si>
    <t>BD MOHAMED 6 ACOTE DE CAFE OULADE HAMASSE  MOHAMMEDI</t>
  </si>
  <si>
    <t xml:space="preserve">ARICHI SOUAD </t>
  </si>
  <si>
    <t xml:space="preserve">HOSNI KHADIJA </t>
  </si>
  <si>
    <t xml:space="preserve">RAFYA SAADIA </t>
  </si>
  <si>
    <t>TERMINUS BUS 33 SOUK ENNAMOUDAJA ANASSI</t>
  </si>
  <si>
    <t>HMIMSY FATIMA</t>
  </si>
  <si>
    <t xml:space="preserve">HABIBI MINA </t>
  </si>
  <si>
    <t xml:space="preserve">HASSI NAIMA </t>
  </si>
  <si>
    <t>HABACHI MOHAMED</t>
  </si>
  <si>
    <t>ABDELKAML YOUSSEF</t>
  </si>
  <si>
    <t>BIYANI AHEMAD</t>
  </si>
  <si>
    <t xml:space="preserve">SOUBAIR HANANE </t>
  </si>
  <si>
    <t>NABIL MOHAMED</t>
  </si>
  <si>
    <t>CHAFIQ SAFAA</t>
  </si>
  <si>
    <t>HATOULI OMAR</t>
  </si>
  <si>
    <t xml:space="preserve">HABACHI SOUFIANE </t>
  </si>
  <si>
    <t xml:space="preserve">HAMZA OULHADR </t>
  </si>
  <si>
    <t xml:space="preserve">AIT IDAR RACHID </t>
  </si>
  <si>
    <t>LAHMIDI ABDELHAMID</t>
  </si>
  <si>
    <t xml:space="preserve">JARNIJA ABDLAH </t>
  </si>
  <si>
    <t xml:space="preserve">YASSINE ABDLHADI </t>
  </si>
  <si>
    <t>ERRADOUANI KARIMA</t>
  </si>
  <si>
    <t>DAHR KHALID</t>
  </si>
  <si>
    <t>BOUKADOM MOHAMED</t>
  </si>
  <si>
    <t xml:space="preserve">FATHY MEHDI </t>
  </si>
  <si>
    <t xml:space="preserve">MAOUHOUB JIHANE </t>
  </si>
  <si>
    <t xml:space="preserve">SOUALI  KHALISA </t>
  </si>
  <si>
    <t xml:space="preserve">RTAIMAT HAMZA </t>
  </si>
  <si>
    <t>LAABID KABIRA</t>
  </si>
  <si>
    <t xml:space="preserve">HAY MOHMADI </t>
  </si>
  <si>
    <t>RES MADINATI TR 10 IMM 05 NR 34 BERNOUSSI</t>
  </si>
  <si>
    <t xml:space="preserve">ADLANI MOHAMED </t>
  </si>
  <si>
    <t>SIDI BERNOUSSI</t>
  </si>
  <si>
    <t>EZZOUBIR Akram</t>
  </si>
  <si>
    <t>BERNOUSSI</t>
  </si>
  <si>
    <t xml:space="preserve">SIDI MOUMEN </t>
  </si>
  <si>
    <t xml:space="preserve">LAHRICHI HAMZA </t>
  </si>
  <si>
    <t>ELHIYANI HAY FALLAH</t>
  </si>
  <si>
    <t>HAY L HABITAT BL 28 N 5 MOHMMADIA</t>
  </si>
  <si>
    <t xml:space="preserve">KHAMLICHI  AHEMAD </t>
  </si>
  <si>
    <t>MOUHAL SOUAD</t>
  </si>
  <si>
    <t>SIDI  MOUMEN SIDI BERNOUSSI</t>
  </si>
  <si>
    <t xml:space="preserve">ZITOUNI TALALI </t>
  </si>
  <si>
    <t xml:space="preserve">ELMAABADY MOHAMED </t>
  </si>
  <si>
    <t>MOUKHTAM NABIL</t>
  </si>
  <si>
    <t xml:space="preserve">EL AZHAR </t>
  </si>
  <si>
    <t>SEBATA BD</t>
  </si>
  <si>
    <t xml:space="preserve">/ BD MAGHRIB ARABI AZHAR </t>
  </si>
  <si>
    <r>
      <t>BOUKHAMI Abdessamad</t>
    </r>
    <r>
      <rPr>
        <sz val="11"/>
        <color rgb="FF555A5E"/>
        <rFont val="Tahoma"/>
        <family val="2"/>
      </rPr>
      <t> </t>
    </r>
  </si>
  <si>
    <t xml:space="preserve">BAYI HICHAM  </t>
  </si>
  <si>
    <t xml:space="preserve">LMERS ACHERAF </t>
  </si>
  <si>
    <t>GRAND SEINTURE SBAA AYOUN</t>
  </si>
  <si>
    <t>HAY QOUDS BERNOUSSI</t>
  </si>
  <si>
    <t>NASSIR Abdelali</t>
  </si>
  <si>
    <t>AL AZHAR 1 TR IMMOY APPT 47</t>
  </si>
  <si>
    <t>READ WALFA terminus bus 20</t>
  </si>
  <si>
    <t xml:space="preserve">AIN SEBAA </t>
  </si>
  <si>
    <t xml:space="preserve">AYADI MOSTAFA </t>
  </si>
  <si>
    <t>JAWHARA FARMACI AL ALAA</t>
  </si>
  <si>
    <t>AIN CHIFA 1 RUE 55 N° 119  CASA</t>
  </si>
  <si>
    <t>HAY MOHAMMADI AIN SBAA</t>
  </si>
  <si>
    <t>CHAMITI Salah Eddine</t>
  </si>
  <si>
    <t>HAY MOUHEMADI</t>
  </si>
  <si>
    <t>ABIR SIDI MOUMEN</t>
  </si>
  <si>
    <t>AL HAOUZIA) /Tel :0630131606</t>
  </si>
  <si>
    <t>HAY MOHAMADI</t>
  </si>
  <si>
    <t>SIDI MOUMANE</t>
  </si>
  <si>
    <t>DOUAR BIA RUE 14 N°2</t>
  </si>
  <si>
    <t xml:space="preserve">LKIHAL MEHDI </t>
  </si>
  <si>
    <t>BERNOUSSI HAY QODSS</t>
  </si>
  <si>
    <t>SIDI MOUMEN CHARAF</t>
  </si>
  <si>
    <t>AIN HARROUDA MOHAMMEDIA</t>
  </si>
  <si>
    <t>MORABIT SALAHDINE</t>
  </si>
  <si>
    <t>HAY MASSIRA 2 MOULAY RACHID</t>
  </si>
  <si>
    <t>OULFA</t>
  </si>
  <si>
    <t xml:space="preserve">TRAVAUX PUBLIC AL QODS SALLE DE FETE </t>
  </si>
  <si>
    <t>AIN HAROUDA</t>
  </si>
  <si>
    <t>OUMALELK MOUAD</t>
  </si>
  <si>
    <t>BOULEVARD HASSAN AL ALAOUI ( SOCIETE TOOL BOIS) </t>
  </si>
  <si>
    <t xml:space="preserve">hay lala meriem foryane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</si>
</sst>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8"/>
      <name val="Calibri"/>
      <family val="2"/>
      <scheme val="minor"/>
    </font>
    <font>
      <sz val="18"/>
      <color rgb="FFC00000"/>
      <name val="Arial Rounded MT Bold"/>
      <family val="2"/>
    </font>
    <font>
      <sz val="16"/>
      <color theme="1"/>
      <name val="Angsana New"/>
      <family val="1"/>
      <charset val="222"/>
    </font>
    <font>
      <b/>
      <sz val="22"/>
      <color rgb="FFFF0000"/>
      <name val="Calibri"/>
      <family val="2"/>
      <scheme val="minor"/>
    </font>
    <font>
      <sz val="16"/>
      <color rgb="FFC00000"/>
      <name val="Angsana New"/>
      <family val="1"/>
      <charset val="222"/>
    </font>
    <font>
      <sz val="16"/>
      <name val="Angsana New"/>
      <family val="1"/>
      <charset val="222"/>
    </font>
    <font>
      <b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24"/>
      <color theme="1"/>
      <name val="Times New Roman"/>
      <family val="1"/>
    </font>
    <font>
      <b/>
      <sz val="16"/>
      <color theme="4" tint="-0.249977111117893"/>
      <name val="Times New Roman"/>
      <family val="1"/>
    </font>
    <font>
      <b/>
      <sz val="4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FF0000"/>
      <name val="Times New Roman"/>
      <family val="1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color rgb="FF555A5E"/>
      <name val="Tahoma"/>
      <family val="2"/>
    </font>
    <font>
      <sz val="11"/>
      <color theme="1"/>
      <name val="Aptos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/>
    <xf numFmtId="0" fontId="3" fillId="8" borderId="1" xfId="0" applyFont="1" applyFill="1" applyBorder="1" applyAlignment="1">
      <alignment horizontal="center"/>
    </xf>
    <xf numFmtId="0" fontId="5" fillId="4" borderId="0" xfId="0" applyFont="1" applyFill="1"/>
    <xf numFmtId="0" fontId="0" fillId="0" borderId="7" xfId="0" applyBorder="1"/>
    <xf numFmtId="0" fontId="8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8" xfId="0" applyBorder="1"/>
    <xf numFmtId="0" fontId="0" fillId="0" borderId="10" xfId="0" applyBorder="1"/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13" xfId="0" applyBorder="1"/>
    <xf numFmtId="0" fontId="14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9" fillId="0" borderId="9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7" xfId="0" applyBorder="1"/>
    <xf numFmtId="0" fontId="0" fillId="0" borderId="16" xfId="0" applyBorder="1"/>
    <xf numFmtId="0" fontId="0" fillId="2" borderId="20" xfId="0" applyFill="1" applyBorder="1"/>
    <xf numFmtId="0" fontId="3" fillId="3" borderId="1" xfId="0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10" fontId="13" fillId="0" borderId="0" xfId="1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6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20" fillId="5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2" fillId="7" borderId="0" xfId="0" applyFont="1" applyFill="1" applyAlignment="1">
      <alignment horizontal="center" vertical="center"/>
    </xf>
    <xf numFmtId="0" fontId="20" fillId="10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13" borderId="0" xfId="0" applyFont="1" applyFill="1" applyAlignment="1">
      <alignment horizontal="center" vertical="center"/>
    </xf>
    <xf numFmtId="0" fontId="20" fillId="9" borderId="0" xfId="0" applyFont="1" applyFill="1" applyAlignment="1">
      <alignment vertical="center"/>
    </xf>
    <xf numFmtId="0" fontId="21" fillId="9" borderId="0" xfId="0" applyFont="1" applyFill="1" applyAlignment="1">
      <alignment horizontal="center" vertical="center"/>
    </xf>
    <xf numFmtId="0" fontId="22" fillId="11" borderId="0" xfId="0" applyFont="1" applyFill="1" applyAlignment="1">
      <alignment horizontal="center" vertical="center"/>
    </xf>
    <xf numFmtId="0" fontId="21" fillId="14" borderId="0" xfId="0" applyFont="1" applyFill="1" applyAlignment="1">
      <alignment horizontal="center" vertical="center"/>
    </xf>
    <xf numFmtId="0" fontId="4" fillId="15" borderId="0" xfId="0" applyFont="1" applyFill="1"/>
    <xf numFmtId="0" fontId="0" fillId="15" borderId="0" xfId="0" applyFill="1"/>
    <xf numFmtId="0" fontId="1" fillId="15" borderId="0" xfId="0" applyFont="1" applyFill="1"/>
    <xf numFmtId="0" fontId="10" fillId="15" borderId="0" xfId="0" applyFont="1" applyFill="1"/>
    <xf numFmtId="0" fontId="23" fillId="15" borderId="0" xfId="0" applyFont="1" applyFill="1"/>
    <xf numFmtId="0" fontId="0" fillId="2" borderId="0" xfId="0" applyFill="1"/>
    <xf numFmtId="0" fontId="4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14" xfId="0" applyFill="1" applyBorder="1"/>
    <xf numFmtId="0" fontId="0" fillId="2" borderId="14" xfId="0" applyFill="1" applyBorder="1" applyAlignment="1">
      <alignment horizontal="left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14" xfId="0" applyFill="1" applyBorder="1" applyAlignment="1">
      <alignment horizontal="left" vertical="center"/>
    </xf>
    <xf numFmtId="0" fontId="0" fillId="2" borderId="17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19" xfId="0" applyFill="1" applyBorder="1"/>
    <xf numFmtId="0" fontId="0" fillId="2" borderId="18" xfId="0" applyFill="1" applyBorder="1" applyAlignment="1">
      <alignment horizontal="left" vertical="center"/>
    </xf>
    <xf numFmtId="0" fontId="0" fillId="2" borderId="16" xfId="0" applyFill="1" applyBorder="1"/>
    <xf numFmtId="0" fontId="0" fillId="2" borderId="21" xfId="0" applyFill="1" applyBorder="1"/>
    <xf numFmtId="0" fontId="0" fillId="2" borderId="16" xfId="0" applyFill="1" applyBorder="1" applyAlignment="1">
      <alignment horizontal="left"/>
    </xf>
    <xf numFmtId="0" fontId="0" fillId="2" borderId="15" xfId="0" applyFill="1" applyBorder="1" applyAlignment="1">
      <alignment horizontal="left" vertical="center"/>
    </xf>
    <xf numFmtId="0" fontId="25" fillId="2" borderId="0" xfId="0" applyFont="1" applyFill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0" fillId="2" borderId="0" xfId="0" applyFont="1" applyFill="1"/>
    <xf numFmtId="0" fontId="15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</cellXfs>
  <cellStyles count="2">
    <cellStyle name="Normal" xfId="0" builtinId="0"/>
    <cellStyle name="Pourcentage" xfId="1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1" defaultTableStyle="TableStyleMedium9" defaultPivotStyle="PivotStyleLight16">
    <tableStyle name="Invisible" pivot="0" table="0" count="0" xr9:uid="{B59AEFC3-1D13-43A9-9292-B68FD9DFFE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1915026</xdr:colOff>
      <xdr:row>3</xdr:row>
      <xdr:rowOff>10026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EBC6D510-CCEC-4093-9196-63FC5E450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15026" cy="7018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2219325</xdr:colOff>
      <xdr:row>3</xdr:row>
      <xdr:rowOff>66675</xdr:rowOff>
    </xdr:to>
    <xdr:pic>
      <xdr:nvPicPr>
        <xdr:cNvPr id="2" name="Image 583">
          <a:extLst>
            <a:ext uri="{FF2B5EF4-FFF2-40B4-BE49-F238E27FC236}">
              <a16:creationId xmlns:a16="http://schemas.microsoft.com/office/drawing/2014/main" id="{ABA063CF-FD49-4024-A156-9A22B472E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193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55218</xdr:colOff>
      <xdr:row>3</xdr:row>
      <xdr:rowOff>41413</xdr:rowOff>
    </xdr:from>
    <xdr:to>
      <xdr:col>6</xdr:col>
      <xdr:colOff>1794566</xdr:colOff>
      <xdr:row>3</xdr:row>
      <xdr:rowOff>534918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EB653A-EF46-41F8-8013-DCE742A46F57}"/>
            </a:ext>
          </a:extLst>
        </xdr:cNvPr>
        <xdr:cNvSpPr/>
      </xdr:nvSpPr>
      <xdr:spPr>
        <a:xfrm>
          <a:off x="6360768" y="898663"/>
          <a:ext cx="1739348" cy="493505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Nombre de Bus</a:t>
          </a:r>
        </a:p>
      </xdr:txBody>
    </xdr:sp>
    <xdr:clientData/>
  </xdr:twoCellAnchor>
  <xdr:twoCellAnchor>
    <xdr:from>
      <xdr:col>3</xdr:col>
      <xdr:colOff>2760871</xdr:colOff>
      <xdr:row>7</xdr:row>
      <xdr:rowOff>13804</xdr:rowOff>
    </xdr:from>
    <xdr:to>
      <xdr:col>3</xdr:col>
      <xdr:colOff>3371856</xdr:colOff>
      <xdr:row>8</xdr:row>
      <xdr:rowOff>20552</xdr:rowOff>
    </xdr:to>
    <xdr:pic>
      <xdr:nvPicPr>
        <xdr:cNvPr id="3" name="Graphique 2" descr="Bus avec un remplissage uni">
          <a:extLst>
            <a:ext uri="{FF2B5EF4-FFF2-40B4-BE49-F238E27FC236}">
              <a16:creationId xmlns:a16="http://schemas.microsoft.com/office/drawing/2014/main" id="{FEC9FE0B-E8F3-4CC2-B67A-6F62AB768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51646" y="1833079"/>
          <a:ext cx="610985" cy="616348"/>
        </a:xfrm>
        <a:prstGeom prst="rect">
          <a:avLst/>
        </a:prstGeom>
      </xdr:spPr>
    </xdr:pic>
    <xdr:clientData/>
  </xdr:twoCellAnchor>
  <xdr:twoCellAnchor>
    <xdr:from>
      <xdr:col>8</xdr:col>
      <xdr:colOff>1877392</xdr:colOff>
      <xdr:row>7</xdr:row>
      <xdr:rowOff>13804</xdr:rowOff>
    </xdr:from>
    <xdr:to>
      <xdr:col>8</xdr:col>
      <xdr:colOff>2399615</xdr:colOff>
      <xdr:row>8</xdr:row>
      <xdr:rowOff>20552</xdr:rowOff>
    </xdr:to>
    <xdr:pic>
      <xdr:nvPicPr>
        <xdr:cNvPr id="4" name="Graphique 3" descr="Bus avec un remplissage uni">
          <a:extLst>
            <a:ext uri="{FF2B5EF4-FFF2-40B4-BE49-F238E27FC236}">
              <a16:creationId xmlns:a16="http://schemas.microsoft.com/office/drawing/2014/main" id="{B6CEBD4E-5941-4A8E-BFC2-B6F997DC1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45092" y="1833079"/>
          <a:ext cx="522223" cy="616348"/>
        </a:xfrm>
        <a:prstGeom prst="rect">
          <a:avLst/>
        </a:prstGeom>
      </xdr:spPr>
    </xdr:pic>
    <xdr:clientData/>
  </xdr:twoCellAnchor>
  <xdr:twoCellAnchor>
    <xdr:from>
      <xdr:col>13</xdr:col>
      <xdr:colOff>2153479</xdr:colOff>
      <xdr:row>7</xdr:row>
      <xdr:rowOff>27609</xdr:rowOff>
    </xdr:from>
    <xdr:to>
      <xdr:col>13</xdr:col>
      <xdr:colOff>2733260</xdr:colOff>
      <xdr:row>8</xdr:row>
      <xdr:rowOff>34357</xdr:rowOff>
    </xdr:to>
    <xdr:pic>
      <xdr:nvPicPr>
        <xdr:cNvPr id="6" name="Graphique 5" descr="Bus avec un remplissage uni">
          <a:extLst>
            <a:ext uri="{FF2B5EF4-FFF2-40B4-BE49-F238E27FC236}">
              <a16:creationId xmlns:a16="http://schemas.microsoft.com/office/drawing/2014/main" id="{ECE3179B-E97C-4787-8DA4-7DAFD6179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784379" y="1846884"/>
          <a:ext cx="579781" cy="616348"/>
        </a:xfrm>
        <a:prstGeom prst="rect">
          <a:avLst/>
        </a:prstGeom>
      </xdr:spPr>
    </xdr:pic>
    <xdr:clientData/>
  </xdr:twoCellAnchor>
  <xdr:twoCellAnchor>
    <xdr:from>
      <xdr:col>3</xdr:col>
      <xdr:colOff>2636631</xdr:colOff>
      <xdr:row>24</xdr:row>
      <xdr:rowOff>13804</xdr:rowOff>
    </xdr:from>
    <xdr:to>
      <xdr:col>3</xdr:col>
      <xdr:colOff>3247616</xdr:colOff>
      <xdr:row>25</xdr:row>
      <xdr:rowOff>0</xdr:rowOff>
    </xdr:to>
    <xdr:pic>
      <xdr:nvPicPr>
        <xdr:cNvPr id="7" name="Graphique 6" descr="Bus avec un remplissage uni">
          <a:extLst>
            <a:ext uri="{FF2B5EF4-FFF2-40B4-BE49-F238E27FC236}">
              <a16:creationId xmlns:a16="http://schemas.microsoft.com/office/drawing/2014/main" id="{5AB028FB-3CC3-4ECC-9BA5-D56F760C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27406" y="5243029"/>
          <a:ext cx="610985" cy="616348"/>
        </a:xfrm>
        <a:prstGeom prst="rect">
          <a:avLst/>
        </a:prstGeom>
      </xdr:spPr>
    </xdr:pic>
    <xdr:clientData/>
  </xdr:twoCellAnchor>
  <xdr:twoCellAnchor>
    <xdr:from>
      <xdr:col>8</xdr:col>
      <xdr:colOff>1684132</xdr:colOff>
      <xdr:row>24</xdr:row>
      <xdr:rowOff>13804</xdr:rowOff>
    </xdr:from>
    <xdr:to>
      <xdr:col>8</xdr:col>
      <xdr:colOff>2344399</xdr:colOff>
      <xdr:row>25</xdr:row>
      <xdr:rowOff>0</xdr:rowOff>
    </xdr:to>
    <xdr:pic>
      <xdr:nvPicPr>
        <xdr:cNvPr id="8" name="Graphique 7" descr="Bus avec un remplissage uni">
          <a:extLst>
            <a:ext uri="{FF2B5EF4-FFF2-40B4-BE49-F238E27FC236}">
              <a16:creationId xmlns:a16="http://schemas.microsoft.com/office/drawing/2014/main" id="{3EFC778F-404A-4628-AFBE-0D2BDF121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51832" y="5243029"/>
          <a:ext cx="660267" cy="616348"/>
        </a:xfrm>
        <a:prstGeom prst="rect">
          <a:avLst/>
        </a:prstGeom>
      </xdr:spPr>
    </xdr:pic>
    <xdr:clientData/>
  </xdr:twoCellAnchor>
  <xdr:twoCellAnchor>
    <xdr:from>
      <xdr:col>13</xdr:col>
      <xdr:colOff>2816088</xdr:colOff>
      <xdr:row>24</xdr:row>
      <xdr:rowOff>0</xdr:rowOff>
    </xdr:from>
    <xdr:to>
      <xdr:col>13</xdr:col>
      <xdr:colOff>3388973</xdr:colOff>
      <xdr:row>25</xdr:row>
      <xdr:rowOff>0</xdr:rowOff>
    </xdr:to>
    <xdr:pic>
      <xdr:nvPicPr>
        <xdr:cNvPr id="9" name="Graphique 8" descr="Bus avec un remplissage uni">
          <a:extLst>
            <a:ext uri="{FF2B5EF4-FFF2-40B4-BE49-F238E27FC236}">
              <a16:creationId xmlns:a16="http://schemas.microsoft.com/office/drawing/2014/main" id="{76947B50-A9A4-45C4-8221-96F035417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747936" y="6101522"/>
          <a:ext cx="572885" cy="607391"/>
        </a:xfrm>
        <a:prstGeom prst="rect">
          <a:avLst/>
        </a:prstGeom>
      </xdr:spPr>
    </xdr:pic>
    <xdr:clientData/>
  </xdr:twoCellAnchor>
  <xdr:twoCellAnchor>
    <xdr:from>
      <xdr:col>3</xdr:col>
      <xdr:colOff>2816088</xdr:colOff>
      <xdr:row>45</xdr:row>
      <xdr:rowOff>27609</xdr:rowOff>
    </xdr:from>
    <xdr:to>
      <xdr:col>3</xdr:col>
      <xdr:colOff>3427073</xdr:colOff>
      <xdr:row>46</xdr:row>
      <xdr:rowOff>0</xdr:rowOff>
    </xdr:to>
    <xdr:pic>
      <xdr:nvPicPr>
        <xdr:cNvPr id="10" name="Graphique 9" descr="Bus avec un remplissage uni">
          <a:extLst>
            <a:ext uri="{FF2B5EF4-FFF2-40B4-BE49-F238E27FC236}">
              <a16:creationId xmlns:a16="http://schemas.microsoft.com/office/drawing/2014/main" id="{A5705579-5EB3-4A63-8E2B-328D20D1F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6863" y="9895509"/>
          <a:ext cx="610985" cy="616348"/>
        </a:xfrm>
        <a:prstGeom prst="rect">
          <a:avLst/>
        </a:prstGeom>
      </xdr:spPr>
    </xdr:pic>
    <xdr:clientData/>
  </xdr:twoCellAnchor>
  <xdr:twoCellAnchor>
    <xdr:from>
      <xdr:col>8</xdr:col>
      <xdr:colOff>2415761</xdr:colOff>
      <xdr:row>45</xdr:row>
      <xdr:rowOff>27609</xdr:rowOff>
    </xdr:from>
    <xdr:to>
      <xdr:col>8</xdr:col>
      <xdr:colOff>2940326</xdr:colOff>
      <xdr:row>46</xdr:row>
      <xdr:rowOff>0</xdr:rowOff>
    </xdr:to>
    <xdr:pic>
      <xdr:nvPicPr>
        <xdr:cNvPr id="11" name="Graphique 10" descr="Bus avec un remplissage uni">
          <a:extLst>
            <a:ext uri="{FF2B5EF4-FFF2-40B4-BE49-F238E27FC236}">
              <a16:creationId xmlns:a16="http://schemas.microsoft.com/office/drawing/2014/main" id="{D81EF39A-E6C6-4FCB-83A9-261B2F102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683461" y="9895509"/>
          <a:ext cx="524565" cy="616348"/>
        </a:xfrm>
        <a:prstGeom prst="rect">
          <a:avLst/>
        </a:prstGeom>
      </xdr:spPr>
    </xdr:pic>
    <xdr:clientData/>
  </xdr:twoCellAnchor>
  <xdr:twoCellAnchor>
    <xdr:from>
      <xdr:col>13</xdr:col>
      <xdr:colOff>3340653</xdr:colOff>
      <xdr:row>45</xdr:row>
      <xdr:rowOff>41413</xdr:rowOff>
    </xdr:from>
    <xdr:to>
      <xdr:col>13</xdr:col>
      <xdr:colOff>3913538</xdr:colOff>
      <xdr:row>46</xdr:row>
      <xdr:rowOff>0</xdr:rowOff>
    </xdr:to>
    <xdr:pic>
      <xdr:nvPicPr>
        <xdr:cNvPr id="12" name="Graphique 11" descr="Bus avec un remplissage uni">
          <a:extLst>
            <a:ext uri="{FF2B5EF4-FFF2-40B4-BE49-F238E27FC236}">
              <a16:creationId xmlns:a16="http://schemas.microsoft.com/office/drawing/2014/main" id="{CF21C8F7-4232-4682-AC85-B9F2EDFAB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691088" y="11581848"/>
          <a:ext cx="572885" cy="6141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55218</xdr:colOff>
      <xdr:row>3</xdr:row>
      <xdr:rowOff>41413</xdr:rowOff>
    </xdr:from>
    <xdr:to>
      <xdr:col>6</xdr:col>
      <xdr:colOff>1794566</xdr:colOff>
      <xdr:row>3</xdr:row>
      <xdr:rowOff>534918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A7DC193-32BB-4363-A437-9461211FDCCA}"/>
            </a:ext>
          </a:extLst>
        </xdr:cNvPr>
        <xdr:cNvSpPr/>
      </xdr:nvSpPr>
      <xdr:spPr>
        <a:xfrm>
          <a:off x="6360768" y="898663"/>
          <a:ext cx="1739348" cy="493505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Nombre de Bus</a:t>
          </a:r>
        </a:p>
      </xdr:txBody>
    </xdr:sp>
    <xdr:clientData/>
  </xdr:twoCellAnchor>
  <xdr:twoCellAnchor>
    <xdr:from>
      <xdr:col>3</xdr:col>
      <xdr:colOff>2760871</xdr:colOff>
      <xdr:row>7</xdr:row>
      <xdr:rowOff>13804</xdr:rowOff>
    </xdr:from>
    <xdr:to>
      <xdr:col>3</xdr:col>
      <xdr:colOff>3371856</xdr:colOff>
      <xdr:row>8</xdr:row>
      <xdr:rowOff>20552</xdr:rowOff>
    </xdr:to>
    <xdr:pic>
      <xdr:nvPicPr>
        <xdr:cNvPr id="3" name="Graphique 2" descr="Bus avec un remplissage uni">
          <a:extLst>
            <a:ext uri="{FF2B5EF4-FFF2-40B4-BE49-F238E27FC236}">
              <a16:creationId xmlns:a16="http://schemas.microsoft.com/office/drawing/2014/main" id="{8D25EBF8-D2D6-4CB6-AE95-0841C5A5B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51646" y="1833079"/>
          <a:ext cx="610985" cy="616348"/>
        </a:xfrm>
        <a:prstGeom prst="rect">
          <a:avLst/>
        </a:prstGeom>
      </xdr:spPr>
    </xdr:pic>
    <xdr:clientData/>
  </xdr:twoCellAnchor>
  <xdr:twoCellAnchor>
    <xdr:from>
      <xdr:col>8</xdr:col>
      <xdr:colOff>2535737</xdr:colOff>
      <xdr:row>7</xdr:row>
      <xdr:rowOff>13804</xdr:rowOff>
    </xdr:from>
    <xdr:to>
      <xdr:col>8</xdr:col>
      <xdr:colOff>3057960</xdr:colOff>
      <xdr:row>8</xdr:row>
      <xdr:rowOff>20552</xdr:rowOff>
    </xdr:to>
    <xdr:pic>
      <xdr:nvPicPr>
        <xdr:cNvPr id="4" name="Graphique 3" descr="Bus avec un remplissage uni">
          <a:extLst>
            <a:ext uri="{FF2B5EF4-FFF2-40B4-BE49-F238E27FC236}">
              <a16:creationId xmlns:a16="http://schemas.microsoft.com/office/drawing/2014/main" id="{9654DAE2-3D6E-4FCB-A8B6-AABDB713B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16399" y="1834760"/>
          <a:ext cx="522223" cy="623071"/>
        </a:xfrm>
        <a:prstGeom prst="rect">
          <a:avLst/>
        </a:prstGeom>
      </xdr:spPr>
    </xdr:pic>
    <xdr:clientData/>
  </xdr:twoCellAnchor>
  <xdr:twoCellAnchor>
    <xdr:from>
      <xdr:col>13</xdr:col>
      <xdr:colOff>2043045</xdr:colOff>
      <xdr:row>7</xdr:row>
      <xdr:rowOff>13805</xdr:rowOff>
    </xdr:from>
    <xdr:to>
      <xdr:col>13</xdr:col>
      <xdr:colOff>2595217</xdr:colOff>
      <xdr:row>8</xdr:row>
      <xdr:rowOff>20553</xdr:rowOff>
    </xdr:to>
    <xdr:pic>
      <xdr:nvPicPr>
        <xdr:cNvPr id="5" name="Graphique 4" descr="Bus avec un remplissage uni">
          <a:extLst>
            <a:ext uri="{FF2B5EF4-FFF2-40B4-BE49-F238E27FC236}">
              <a16:creationId xmlns:a16="http://schemas.microsoft.com/office/drawing/2014/main" id="{83A455C6-01F8-4829-A4CD-0210F1A15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68570" y="1833080"/>
          <a:ext cx="552172" cy="616348"/>
        </a:xfrm>
        <a:prstGeom prst="rect">
          <a:avLst/>
        </a:prstGeom>
      </xdr:spPr>
    </xdr:pic>
    <xdr:clientData/>
  </xdr:twoCellAnchor>
  <xdr:twoCellAnchor>
    <xdr:from>
      <xdr:col>3</xdr:col>
      <xdr:colOff>2540001</xdr:colOff>
      <xdr:row>20</xdr:row>
      <xdr:rowOff>179456</xdr:rowOff>
    </xdr:from>
    <xdr:to>
      <xdr:col>3</xdr:col>
      <xdr:colOff>3200268</xdr:colOff>
      <xdr:row>21</xdr:row>
      <xdr:rowOff>600334</xdr:rowOff>
    </xdr:to>
    <xdr:pic>
      <xdr:nvPicPr>
        <xdr:cNvPr id="8" name="Graphique 7" descr="Bus avec un remplissage uni">
          <a:extLst>
            <a:ext uri="{FF2B5EF4-FFF2-40B4-BE49-F238E27FC236}">
              <a16:creationId xmlns:a16="http://schemas.microsoft.com/office/drawing/2014/main" id="{F1A67E90-AAF0-4ED5-A803-D052AD678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8153" y="5287065"/>
          <a:ext cx="660267" cy="614139"/>
        </a:xfrm>
        <a:prstGeom prst="rect">
          <a:avLst/>
        </a:prstGeom>
      </xdr:spPr>
    </xdr:pic>
    <xdr:clientData/>
  </xdr:twoCellAnchor>
  <xdr:twoCellAnchor>
    <xdr:from>
      <xdr:col>8</xdr:col>
      <xdr:colOff>2360544</xdr:colOff>
      <xdr:row>21</xdr:row>
      <xdr:rowOff>0</xdr:rowOff>
    </xdr:from>
    <xdr:to>
      <xdr:col>8</xdr:col>
      <xdr:colOff>2841907</xdr:colOff>
      <xdr:row>22</xdr:row>
      <xdr:rowOff>0</xdr:rowOff>
    </xdr:to>
    <xdr:pic>
      <xdr:nvPicPr>
        <xdr:cNvPr id="10" name="Graphique 9" descr="Bus avec un remplissage uni">
          <a:extLst>
            <a:ext uri="{FF2B5EF4-FFF2-40B4-BE49-F238E27FC236}">
              <a16:creationId xmlns:a16="http://schemas.microsoft.com/office/drawing/2014/main" id="{13DCA754-B2EC-40A5-9835-9E5A0F4CC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615544" y="5300870"/>
          <a:ext cx="481363" cy="614139"/>
        </a:xfrm>
        <a:prstGeom prst="rect">
          <a:avLst/>
        </a:prstGeom>
      </xdr:spPr>
    </xdr:pic>
    <xdr:clientData/>
  </xdr:twoCellAnchor>
  <xdr:twoCellAnchor>
    <xdr:from>
      <xdr:col>13</xdr:col>
      <xdr:colOff>2415761</xdr:colOff>
      <xdr:row>21</xdr:row>
      <xdr:rowOff>27609</xdr:rowOff>
    </xdr:from>
    <xdr:to>
      <xdr:col>13</xdr:col>
      <xdr:colOff>2940326</xdr:colOff>
      <xdr:row>22</xdr:row>
      <xdr:rowOff>0</xdr:rowOff>
    </xdr:to>
    <xdr:pic>
      <xdr:nvPicPr>
        <xdr:cNvPr id="11" name="Graphique 10" descr="Bus avec un remplissage uni">
          <a:extLst>
            <a:ext uri="{FF2B5EF4-FFF2-40B4-BE49-F238E27FC236}">
              <a16:creationId xmlns:a16="http://schemas.microsoft.com/office/drawing/2014/main" id="{FDA83C9B-F444-4E01-86BC-85A08FAAA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683461" y="9895509"/>
          <a:ext cx="524565" cy="616348"/>
        </a:xfrm>
        <a:prstGeom prst="rect">
          <a:avLst/>
        </a:prstGeom>
      </xdr:spPr>
    </xdr:pic>
    <xdr:clientData/>
  </xdr:twoCellAnchor>
  <xdr:twoCellAnchor>
    <xdr:from>
      <xdr:col>18</xdr:col>
      <xdr:colOff>2263914</xdr:colOff>
      <xdr:row>21</xdr:row>
      <xdr:rowOff>27609</xdr:rowOff>
    </xdr:from>
    <xdr:to>
      <xdr:col>18</xdr:col>
      <xdr:colOff>2836799</xdr:colOff>
      <xdr:row>22</xdr:row>
      <xdr:rowOff>0</xdr:rowOff>
    </xdr:to>
    <xdr:pic>
      <xdr:nvPicPr>
        <xdr:cNvPr id="12" name="Graphique 11" descr="Bus avec un remplissage uni">
          <a:extLst>
            <a:ext uri="{FF2B5EF4-FFF2-40B4-BE49-F238E27FC236}">
              <a16:creationId xmlns:a16="http://schemas.microsoft.com/office/drawing/2014/main" id="{0D1C0C84-876F-4A25-A840-B91A5C195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89439" y="9895509"/>
          <a:ext cx="572885" cy="6163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55218</xdr:colOff>
      <xdr:row>3</xdr:row>
      <xdr:rowOff>41413</xdr:rowOff>
    </xdr:from>
    <xdr:to>
      <xdr:col>6</xdr:col>
      <xdr:colOff>1794566</xdr:colOff>
      <xdr:row>3</xdr:row>
      <xdr:rowOff>534918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3A456E-E2F6-474E-B62F-4E5E260575D6}"/>
            </a:ext>
          </a:extLst>
        </xdr:cNvPr>
        <xdr:cNvSpPr/>
      </xdr:nvSpPr>
      <xdr:spPr>
        <a:xfrm>
          <a:off x="6360768" y="898663"/>
          <a:ext cx="1739348" cy="493505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Nombre de Bus</a:t>
          </a:r>
        </a:p>
      </xdr:txBody>
    </xdr:sp>
    <xdr:clientData/>
  </xdr:twoCellAnchor>
  <xdr:twoCellAnchor>
    <xdr:from>
      <xdr:col>3</xdr:col>
      <xdr:colOff>2760871</xdr:colOff>
      <xdr:row>7</xdr:row>
      <xdr:rowOff>13804</xdr:rowOff>
    </xdr:from>
    <xdr:to>
      <xdr:col>3</xdr:col>
      <xdr:colOff>3371856</xdr:colOff>
      <xdr:row>8</xdr:row>
      <xdr:rowOff>20552</xdr:rowOff>
    </xdr:to>
    <xdr:pic>
      <xdr:nvPicPr>
        <xdr:cNvPr id="3" name="Graphique 2" descr="Bus avec un remplissage uni">
          <a:extLst>
            <a:ext uri="{FF2B5EF4-FFF2-40B4-BE49-F238E27FC236}">
              <a16:creationId xmlns:a16="http://schemas.microsoft.com/office/drawing/2014/main" id="{1225968C-F26E-4CAC-9F79-00602DF66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51646" y="1833079"/>
          <a:ext cx="610985" cy="616348"/>
        </a:xfrm>
        <a:prstGeom prst="rect">
          <a:avLst/>
        </a:prstGeom>
      </xdr:spPr>
    </xdr:pic>
    <xdr:clientData/>
  </xdr:twoCellAnchor>
  <xdr:twoCellAnchor>
    <xdr:from>
      <xdr:col>8</xdr:col>
      <xdr:colOff>2999515</xdr:colOff>
      <xdr:row>7</xdr:row>
      <xdr:rowOff>39900</xdr:rowOff>
    </xdr:from>
    <xdr:to>
      <xdr:col>8</xdr:col>
      <xdr:colOff>3521738</xdr:colOff>
      <xdr:row>8</xdr:row>
      <xdr:rowOff>46648</xdr:rowOff>
    </xdr:to>
    <xdr:pic>
      <xdr:nvPicPr>
        <xdr:cNvPr id="4" name="Graphique 3" descr="Bus avec un remplissage uni">
          <a:extLst>
            <a:ext uri="{FF2B5EF4-FFF2-40B4-BE49-F238E27FC236}">
              <a16:creationId xmlns:a16="http://schemas.microsoft.com/office/drawing/2014/main" id="{EC7DEC3B-CC1A-46BA-B323-9BFFD94EE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84960" y="1879660"/>
          <a:ext cx="522223" cy="620002"/>
        </a:xfrm>
        <a:prstGeom prst="rect">
          <a:avLst/>
        </a:prstGeom>
      </xdr:spPr>
    </xdr:pic>
    <xdr:clientData/>
  </xdr:twoCellAnchor>
  <xdr:twoCellAnchor>
    <xdr:from>
      <xdr:col>13</xdr:col>
      <xdr:colOff>2153479</xdr:colOff>
      <xdr:row>7</xdr:row>
      <xdr:rowOff>27609</xdr:rowOff>
    </xdr:from>
    <xdr:to>
      <xdr:col>13</xdr:col>
      <xdr:colOff>2733260</xdr:colOff>
      <xdr:row>8</xdr:row>
      <xdr:rowOff>34357</xdr:rowOff>
    </xdr:to>
    <xdr:pic>
      <xdr:nvPicPr>
        <xdr:cNvPr id="6" name="Graphique 5" descr="Bus avec un remplissage uni">
          <a:extLst>
            <a:ext uri="{FF2B5EF4-FFF2-40B4-BE49-F238E27FC236}">
              <a16:creationId xmlns:a16="http://schemas.microsoft.com/office/drawing/2014/main" id="{7BBB7894-EF60-4101-8F72-F51A1C215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784379" y="1846884"/>
          <a:ext cx="579781" cy="616348"/>
        </a:xfrm>
        <a:prstGeom prst="rect">
          <a:avLst/>
        </a:prstGeom>
      </xdr:spPr>
    </xdr:pic>
    <xdr:clientData/>
  </xdr:twoCellAnchor>
  <xdr:twoCellAnchor>
    <xdr:from>
      <xdr:col>3</xdr:col>
      <xdr:colOff>2567611</xdr:colOff>
      <xdr:row>21</xdr:row>
      <xdr:rowOff>13804</xdr:rowOff>
    </xdr:from>
    <xdr:to>
      <xdr:col>3</xdr:col>
      <xdr:colOff>3227878</xdr:colOff>
      <xdr:row>22</xdr:row>
      <xdr:rowOff>20552</xdr:rowOff>
    </xdr:to>
    <xdr:pic>
      <xdr:nvPicPr>
        <xdr:cNvPr id="8" name="Graphique 7" descr="Bus avec un remplissage uni">
          <a:extLst>
            <a:ext uri="{FF2B5EF4-FFF2-40B4-BE49-F238E27FC236}">
              <a16:creationId xmlns:a16="http://schemas.microsoft.com/office/drawing/2014/main" id="{F7D49EAC-8FD1-4EAB-88A7-A0DCECDA2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55763" y="5314674"/>
          <a:ext cx="660267" cy="614139"/>
        </a:xfrm>
        <a:prstGeom prst="rect">
          <a:avLst/>
        </a:prstGeom>
      </xdr:spPr>
    </xdr:pic>
    <xdr:clientData/>
  </xdr:twoCellAnchor>
  <xdr:twoCellAnchor>
    <xdr:from>
      <xdr:col>8</xdr:col>
      <xdr:colOff>2828756</xdr:colOff>
      <xdr:row>21</xdr:row>
      <xdr:rowOff>41413</xdr:rowOff>
    </xdr:from>
    <xdr:to>
      <xdr:col>8</xdr:col>
      <xdr:colOff>3296315</xdr:colOff>
      <xdr:row>22</xdr:row>
      <xdr:rowOff>48161</xdr:rowOff>
    </xdr:to>
    <xdr:pic>
      <xdr:nvPicPr>
        <xdr:cNvPr id="10" name="Graphique 9" descr="Bus avec un remplissage uni">
          <a:extLst>
            <a:ext uri="{FF2B5EF4-FFF2-40B4-BE49-F238E27FC236}">
              <a16:creationId xmlns:a16="http://schemas.microsoft.com/office/drawing/2014/main" id="{24876B40-4F9E-48F0-B683-C77B93EA0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14201" y="5351927"/>
          <a:ext cx="467559" cy="6200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55218</xdr:colOff>
      <xdr:row>3</xdr:row>
      <xdr:rowOff>41413</xdr:rowOff>
    </xdr:from>
    <xdr:to>
      <xdr:col>6</xdr:col>
      <xdr:colOff>1794566</xdr:colOff>
      <xdr:row>3</xdr:row>
      <xdr:rowOff>534918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CECD06-8E0A-4706-8B2A-790C92698056}"/>
            </a:ext>
          </a:extLst>
        </xdr:cNvPr>
        <xdr:cNvSpPr/>
      </xdr:nvSpPr>
      <xdr:spPr>
        <a:xfrm>
          <a:off x="6941793" y="898663"/>
          <a:ext cx="1739348" cy="493505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Nombre de Bus</a:t>
          </a:r>
        </a:p>
      </xdr:txBody>
    </xdr:sp>
    <xdr:clientData/>
  </xdr:twoCellAnchor>
  <xdr:twoCellAnchor>
    <xdr:from>
      <xdr:col>3</xdr:col>
      <xdr:colOff>2760871</xdr:colOff>
      <xdr:row>7</xdr:row>
      <xdr:rowOff>13804</xdr:rowOff>
    </xdr:from>
    <xdr:to>
      <xdr:col>3</xdr:col>
      <xdr:colOff>3371856</xdr:colOff>
      <xdr:row>8</xdr:row>
      <xdr:rowOff>20552</xdr:rowOff>
    </xdr:to>
    <xdr:pic>
      <xdr:nvPicPr>
        <xdr:cNvPr id="3" name="Graphique 2" descr="Bus avec un remplissage uni">
          <a:extLst>
            <a:ext uri="{FF2B5EF4-FFF2-40B4-BE49-F238E27FC236}">
              <a16:creationId xmlns:a16="http://schemas.microsoft.com/office/drawing/2014/main" id="{9A1D122F-E5F4-4282-A9AD-AF30471EB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51646" y="1833079"/>
          <a:ext cx="610985" cy="616348"/>
        </a:xfrm>
        <a:prstGeom prst="rect">
          <a:avLst/>
        </a:prstGeom>
      </xdr:spPr>
    </xdr:pic>
    <xdr:clientData/>
  </xdr:twoCellAnchor>
  <xdr:twoCellAnchor>
    <xdr:from>
      <xdr:col>8</xdr:col>
      <xdr:colOff>1877392</xdr:colOff>
      <xdr:row>7</xdr:row>
      <xdr:rowOff>13804</xdr:rowOff>
    </xdr:from>
    <xdr:to>
      <xdr:col>8</xdr:col>
      <xdr:colOff>2399615</xdr:colOff>
      <xdr:row>8</xdr:row>
      <xdr:rowOff>20552</xdr:rowOff>
    </xdr:to>
    <xdr:pic>
      <xdr:nvPicPr>
        <xdr:cNvPr id="4" name="Graphique 3" descr="Bus avec un remplissage uni">
          <a:extLst>
            <a:ext uri="{FF2B5EF4-FFF2-40B4-BE49-F238E27FC236}">
              <a16:creationId xmlns:a16="http://schemas.microsoft.com/office/drawing/2014/main" id="{72107F78-5854-40BF-9A34-70683CD3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26117" y="1833079"/>
          <a:ext cx="522223" cy="616348"/>
        </a:xfrm>
        <a:prstGeom prst="rect">
          <a:avLst/>
        </a:prstGeom>
      </xdr:spPr>
    </xdr:pic>
    <xdr:clientData/>
  </xdr:twoCellAnchor>
  <xdr:twoCellAnchor>
    <xdr:from>
      <xdr:col>13</xdr:col>
      <xdr:colOff>2153479</xdr:colOff>
      <xdr:row>7</xdr:row>
      <xdr:rowOff>27609</xdr:rowOff>
    </xdr:from>
    <xdr:to>
      <xdr:col>13</xdr:col>
      <xdr:colOff>2733260</xdr:colOff>
      <xdr:row>8</xdr:row>
      <xdr:rowOff>34357</xdr:rowOff>
    </xdr:to>
    <xdr:pic>
      <xdr:nvPicPr>
        <xdr:cNvPr id="5" name="Graphique 4" descr="Bus avec un remplissage uni">
          <a:extLst>
            <a:ext uri="{FF2B5EF4-FFF2-40B4-BE49-F238E27FC236}">
              <a16:creationId xmlns:a16="http://schemas.microsoft.com/office/drawing/2014/main" id="{27928D4B-60FC-4DEE-8A56-297144DA4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74379" y="1846884"/>
          <a:ext cx="579781" cy="616348"/>
        </a:xfrm>
        <a:prstGeom prst="rect">
          <a:avLst/>
        </a:prstGeom>
      </xdr:spPr>
    </xdr:pic>
    <xdr:clientData/>
  </xdr:twoCellAnchor>
  <xdr:twoCellAnchor>
    <xdr:from>
      <xdr:col>3</xdr:col>
      <xdr:colOff>2636631</xdr:colOff>
      <xdr:row>24</xdr:row>
      <xdr:rowOff>13804</xdr:rowOff>
    </xdr:from>
    <xdr:to>
      <xdr:col>3</xdr:col>
      <xdr:colOff>3247616</xdr:colOff>
      <xdr:row>25</xdr:row>
      <xdr:rowOff>20552</xdr:rowOff>
    </xdr:to>
    <xdr:pic>
      <xdr:nvPicPr>
        <xdr:cNvPr id="6" name="Graphique 5" descr="Bus avec un remplissage uni">
          <a:extLst>
            <a:ext uri="{FF2B5EF4-FFF2-40B4-BE49-F238E27FC236}">
              <a16:creationId xmlns:a16="http://schemas.microsoft.com/office/drawing/2014/main" id="{9842FCD9-18BA-430A-9243-43AB74538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27406" y="5928829"/>
          <a:ext cx="610985" cy="616348"/>
        </a:xfrm>
        <a:prstGeom prst="rect">
          <a:avLst/>
        </a:prstGeom>
      </xdr:spPr>
    </xdr:pic>
    <xdr:clientData/>
  </xdr:twoCellAnchor>
  <xdr:twoCellAnchor>
    <xdr:from>
      <xdr:col>8</xdr:col>
      <xdr:colOff>1684132</xdr:colOff>
      <xdr:row>24</xdr:row>
      <xdr:rowOff>13804</xdr:rowOff>
    </xdr:from>
    <xdr:to>
      <xdr:col>8</xdr:col>
      <xdr:colOff>2344399</xdr:colOff>
      <xdr:row>25</xdr:row>
      <xdr:rowOff>20552</xdr:rowOff>
    </xdr:to>
    <xdr:pic>
      <xdr:nvPicPr>
        <xdr:cNvPr id="7" name="Graphique 6" descr="Bus avec un remplissage uni">
          <a:extLst>
            <a:ext uri="{FF2B5EF4-FFF2-40B4-BE49-F238E27FC236}">
              <a16:creationId xmlns:a16="http://schemas.microsoft.com/office/drawing/2014/main" id="{FDC3EEC4-8AB5-4BCF-B42A-1E365DC8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32857" y="5928829"/>
          <a:ext cx="660267" cy="616348"/>
        </a:xfrm>
        <a:prstGeom prst="rect">
          <a:avLst/>
        </a:prstGeom>
      </xdr:spPr>
    </xdr:pic>
    <xdr:clientData/>
  </xdr:twoCellAnchor>
  <xdr:twoCellAnchor>
    <xdr:from>
      <xdr:col>13</xdr:col>
      <xdr:colOff>2098262</xdr:colOff>
      <xdr:row>24</xdr:row>
      <xdr:rowOff>0</xdr:rowOff>
    </xdr:from>
    <xdr:to>
      <xdr:col>13</xdr:col>
      <xdr:colOff>2671147</xdr:colOff>
      <xdr:row>25</xdr:row>
      <xdr:rowOff>6748</xdr:rowOff>
    </xdr:to>
    <xdr:pic>
      <xdr:nvPicPr>
        <xdr:cNvPr id="8" name="Graphique 7" descr="Bus avec un remplissage uni">
          <a:extLst>
            <a:ext uri="{FF2B5EF4-FFF2-40B4-BE49-F238E27FC236}">
              <a16:creationId xmlns:a16="http://schemas.microsoft.com/office/drawing/2014/main" id="{A63DE923-9884-415E-8F4A-DAE90BF7E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19162" y="5915025"/>
          <a:ext cx="572885" cy="616348"/>
        </a:xfrm>
        <a:prstGeom prst="rect">
          <a:avLst/>
        </a:prstGeom>
      </xdr:spPr>
    </xdr:pic>
    <xdr:clientData/>
  </xdr:twoCellAnchor>
  <xdr:twoCellAnchor>
    <xdr:from>
      <xdr:col>3</xdr:col>
      <xdr:colOff>2816088</xdr:colOff>
      <xdr:row>43</xdr:row>
      <xdr:rowOff>27609</xdr:rowOff>
    </xdr:from>
    <xdr:to>
      <xdr:col>3</xdr:col>
      <xdr:colOff>3427073</xdr:colOff>
      <xdr:row>44</xdr:row>
      <xdr:rowOff>34357</xdr:rowOff>
    </xdr:to>
    <xdr:pic>
      <xdr:nvPicPr>
        <xdr:cNvPr id="9" name="Graphique 8" descr="Bus avec un remplissage uni">
          <a:extLst>
            <a:ext uri="{FF2B5EF4-FFF2-40B4-BE49-F238E27FC236}">
              <a16:creationId xmlns:a16="http://schemas.microsoft.com/office/drawing/2014/main" id="{F02A58B9-5F14-4670-8095-B156CA580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6863" y="10981359"/>
          <a:ext cx="610985" cy="616348"/>
        </a:xfrm>
        <a:prstGeom prst="rect">
          <a:avLst/>
        </a:prstGeom>
      </xdr:spPr>
    </xdr:pic>
    <xdr:clientData/>
  </xdr:twoCellAnchor>
  <xdr:twoCellAnchor>
    <xdr:from>
      <xdr:col>8</xdr:col>
      <xdr:colOff>2415761</xdr:colOff>
      <xdr:row>43</xdr:row>
      <xdr:rowOff>27609</xdr:rowOff>
    </xdr:from>
    <xdr:to>
      <xdr:col>8</xdr:col>
      <xdr:colOff>2940326</xdr:colOff>
      <xdr:row>44</xdr:row>
      <xdr:rowOff>34357</xdr:rowOff>
    </xdr:to>
    <xdr:pic>
      <xdr:nvPicPr>
        <xdr:cNvPr id="10" name="Graphique 9" descr="Bus avec un remplissage uni">
          <a:extLst>
            <a:ext uri="{FF2B5EF4-FFF2-40B4-BE49-F238E27FC236}">
              <a16:creationId xmlns:a16="http://schemas.microsoft.com/office/drawing/2014/main" id="{C0AF44F6-FBAE-4C9C-A3CB-3988151FE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64486" y="10981359"/>
          <a:ext cx="524565" cy="616348"/>
        </a:xfrm>
        <a:prstGeom prst="rect">
          <a:avLst/>
        </a:prstGeom>
      </xdr:spPr>
    </xdr:pic>
    <xdr:clientData/>
  </xdr:twoCellAnchor>
  <xdr:twoCellAnchor>
    <xdr:from>
      <xdr:col>13</xdr:col>
      <xdr:colOff>2263914</xdr:colOff>
      <xdr:row>43</xdr:row>
      <xdr:rowOff>27609</xdr:rowOff>
    </xdr:from>
    <xdr:to>
      <xdr:col>13</xdr:col>
      <xdr:colOff>2836799</xdr:colOff>
      <xdr:row>44</xdr:row>
      <xdr:rowOff>34357</xdr:rowOff>
    </xdr:to>
    <xdr:pic>
      <xdr:nvPicPr>
        <xdr:cNvPr id="11" name="Graphique 10" descr="Bus avec un remplissage uni">
          <a:extLst>
            <a:ext uri="{FF2B5EF4-FFF2-40B4-BE49-F238E27FC236}">
              <a16:creationId xmlns:a16="http://schemas.microsoft.com/office/drawing/2014/main" id="{08F1E391-8877-43EB-BECD-7B15F8995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84814" y="10981359"/>
          <a:ext cx="572885" cy="61634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9ADA-47A0-4F4F-B3E6-6EE217F4607F}">
  <dimension ref="A5:AJ128"/>
  <sheetViews>
    <sheetView tabSelected="1" topLeftCell="A49" zoomScale="95" zoomScaleNormal="95" workbookViewId="0">
      <selection activeCell="B76" sqref="B76"/>
    </sheetView>
  </sheetViews>
  <sheetFormatPr baseColWidth="10" defaultColWidth="57.5703125" defaultRowHeight="18" customHeight="1" x14ac:dyDescent="0.25"/>
  <cols>
    <col min="1" max="1" width="29" customWidth="1"/>
    <col min="2" max="2" width="58.85546875" customWidth="1"/>
    <col min="3" max="3" width="21.42578125" customWidth="1"/>
    <col min="4" max="4" width="21.42578125" style="5" customWidth="1"/>
    <col min="5" max="5" width="16.5703125" style="5" customWidth="1"/>
    <col min="6" max="6" width="10.28515625" hidden="1" customWidth="1"/>
  </cols>
  <sheetData>
    <row r="5" spans="1:36" ht="21" customHeight="1" x14ac:dyDescent="0.25">
      <c r="A5" s="39" t="s">
        <v>65</v>
      </c>
      <c r="B5" s="39" t="s">
        <v>14</v>
      </c>
      <c r="C5" s="39" t="s">
        <v>0</v>
      </c>
      <c r="D5" s="44" t="s">
        <v>62</v>
      </c>
      <c r="E5" s="44" t="s">
        <v>157</v>
      </c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</row>
    <row r="6" spans="1:36" s="65" customFormat="1" ht="18" customHeight="1" x14ac:dyDescent="0.45">
      <c r="A6" s="4" t="s">
        <v>139</v>
      </c>
      <c r="B6" s="4" t="s">
        <v>55</v>
      </c>
      <c r="C6" s="4" t="s">
        <v>60</v>
      </c>
      <c r="D6" s="72" t="s">
        <v>148</v>
      </c>
      <c r="E6" s="73" t="s">
        <v>66</v>
      </c>
      <c r="F6" s="70" t="s">
        <v>63</v>
      </c>
      <c r="G6" s="71"/>
      <c r="H6" s="71"/>
      <c r="I6" s="71"/>
    </row>
    <row r="7" spans="1:36" s="65" customFormat="1" ht="18" customHeight="1" x14ac:dyDescent="0.45">
      <c r="A7" s="77" t="s">
        <v>100</v>
      </c>
      <c r="B7" s="78" t="s">
        <v>33</v>
      </c>
      <c r="C7" s="4" t="s">
        <v>57</v>
      </c>
      <c r="D7" s="72" t="s">
        <v>148</v>
      </c>
      <c r="E7" s="73" t="s">
        <v>66</v>
      </c>
      <c r="F7" s="70" t="s">
        <v>148</v>
      </c>
      <c r="G7" s="71"/>
      <c r="H7" s="71"/>
      <c r="I7" s="71"/>
    </row>
    <row r="8" spans="1:36" s="65" customFormat="1" ht="18" customHeight="1" x14ac:dyDescent="0.45">
      <c r="A8" s="4" t="s">
        <v>158</v>
      </c>
      <c r="B8" s="78" t="s">
        <v>34</v>
      </c>
      <c r="C8" s="4" t="s">
        <v>57</v>
      </c>
      <c r="D8" s="72" t="s">
        <v>63</v>
      </c>
      <c r="E8" s="73" t="s">
        <v>66</v>
      </c>
      <c r="F8" s="70" t="s">
        <v>64</v>
      </c>
      <c r="G8" s="71"/>
      <c r="H8" s="71"/>
      <c r="I8" s="71"/>
    </row>
    <row r="9" spans="1:36" s="65" customFormat="1" ht="18" customHeight="1" x14ac:dyDescent="0.45">
      <c r="A9" s="4" t="s">
        <v>101</v>
      </c>
      <c r="B9" s="78" t="s">
        <v>33</v>
      </c>
      <c r="C9" s="4" t="s">
        <v>57</v>
      </c>
      <c r="D9" s="72" t="s">
        <v>148</v>
      </c>
      <c r="E9" s="73" t="s">
        <v>66</v>
      </c>
      <c r="F9" s="70" t="s">
        <v>167</v>
      </c>
      <c r="G9" s="71"/>
      <c r="H9" s="71"/>
      <c r="I9" s="71"/>
    </row>
    <row r="10" spans="1:36" s="65" customFormat="1" ht="18" customHeight="1" x14ac:dyDescent="0.45">
      <c r="A10" s="4" t="s">
        <v>145</v>
      </c>
      <c r="B10" s="78" t="s">
        <v>23</v>
      </c>
      <c r="C10" s="4" t="s">
        <v>26</v>
      </c>
      <c r="D10" s="72" t="s">
        <v>148</v>
      </c>
      <c r="E10" s="73" t="s">
        <v>66</v>
      </c>
      <c r="F10" s="70" t="s">
        <v>179</v>
      </c>
      <c r="G10" s="71"/>
      <c r="H10" s="71"/>
      <c r="I10" s="71"/>
    </row>
    <row r="11" spans="1:36" s="65" customFormat="1" ht="18" customHeight="1" x14ac:dyDescent="0.45">
      <c r="A11" s="4" t="s">
        <v>105</v>
      </c>
      <c r="B11" s="78" t="s">
        <v>35</v>
      </c>
      <c r="C11" s="4" t="s">
        <v>58</v>
      </c>
      <c r="D11" s="72" t="s">
        <v>63</v>
      </c>
      <c r="E11" s="73" t="s">
        <v>66</v>
      </c>
      <c r="F11" s="95"/>
      <c r="G11" s="71"/>
      <c r="H11" s="71"/>
      <c r="I11" s="71"/>
    </row>
    <row r="12" spans="1:36" s="65" customFormat="1" ht="18" customHeight="1" x14ac:dyDescent="0.45">
      <c r="A12" s="4" t="s">
        <v>129</v>
      </c>
      <c r="B12" s="78" t="s">
        <v>78</v>
      </c>
      <c r="C12" s="4" t="s">
        <v>61</v>
      </c>
      <c r="D12" s="72" t="s">
        <v>148</v>
      </c>
      <c r="E12" s="73" t="s">
        <v>66</v>
      </c>
      <c r="F12" s="95"/>
      <c r="G12" s="71"/>
      <c r="H12" s="71"/>
      <c r="I12" s="71"/>
    </row>
    <row r="13" spans="1:36" s="65" customFormat="1" ht="18" customHeight="1" x14ac:dyDescent="0.45">
      <c r="A13" s="4" t="s">
        <v>176</v>
      </c>
      <c r="B13" s="78" t="s">
        <v>13</v>
      </c>
      <c r="C13" s="4" t="s">
        <v>61</v>
      </c>
      <c r="D13" s="72" t="s">
        <v>63</v>
      </c>
      <c r="E13" s="73" t="s">
        <v>66</v>
      </c>
      <c r="F13" s="95"/>
      <c r="G13" s="71"/>
      <c r="H13" s="71"/>
      <c r="I13" s="71"/>
    </row>
    <row r="14" spans="1:36" s="65" customFormat="1" ht="18" customHeight="1" x14ac:dyDescent="0.45">
      <c r="A14" s="4" t="s">
        <v>83</v>
      </c>
      <c r="B14" s="78" t="s">
        <v>19</v>
      </c>
      <c r="C14" s="4" t="s">
        <v>56</v>
      </c>
      <c r="D14" s="72" t="s">
        <v>63</v>
      </c>
      <c r="E14" s="73" t="s">
        <v>66</v>
      </c>
      <c r="F14" s="95"/>
      <c r="G14" s="71"/>
      <c r="H14" s="71"/>
      <c r="I14" s="71"/>
    </row>
    <row r="15" spans="1:36" s="65" customFormat="1" ht="18" customHeight="1" x14ac:dyDescent="0.45">
      <c r="A15" s="4" t="s">
        <v>112</v>
      </c>
      <c r="B15" s="4" t="s">
        <v>4</v>
      </c>
      <c r="C15" s="4" t="s">
        <v>58</v>
      </c>
      <c r="D15" s="72" t="s">
        <v>63</v>
      </c>
      <c r="E15" s="73" t="s">
        <v>66</v>
      </c>
      <c r="F15" s="71"/>
      <c r="G15" s="71"/>
      <c r="H15" s="71"/>
      <c r="I15" s="71"/>
    </row>
    <row r="16" spans="1:36" s="65" customFormat="1" ht="18" customHeight="1" x14ac:dyDescent="0.45">
      <c r="A16" s="4" t="s">
        <v>85</v>
      </c>
      <c r="B16" s="78" t="s">
        <v>24</v>
      </c>
      <c r="C16" s="4" t="s">
        <v>26</v>
      </c>
      <c r="D16" s="72" t="s">
        <v>63</v>
      </c>
      <c r="E16" s="73" t="s">
        <v>66</v>
      </c>
      <c r="F16" s="71"/>
      <c r="G16" s="71"/>
      <c r="H16" s="71"/>
      <c r="I16" s="71"/>
      <c r="J16" s="68"/>
    </row>
    <row r="17" spans="1:12" s="65" customFormat="1" ht="18" customHeight="1" x14ac:dyDescent="0.45">
      <c r="A17" s="4" t="s">
        <v>131</v>
      </c>
      <c r="B17" s="4" t="s">
        <v>161</v>
      </c>
      <c r="C17" s="4" t="s">
        <v>60</v>
      </c>
      <c r="D17" s="72" t="s">
        <v>63</v>
      </c>
      <c r="E17" s="73" t="s">
        <v>66</v>
      </c>
      <c r="F17" s="71"/>
      <c r="G17" s="71"/>
      <c r="H17" s="71"/>
      <c r="I17" s="71"/>
    </row>
    <row r="18" spans="1:12" s="65" customFormat="1" ht="18" customHeight="1" x14ac:dyDescent="0.45">
      <c r="A18" s="4" t="s">
        <v>113</v>
      </c>
      <c r="B18" s="78" t="s">
        <v>39</v>
      </c>
      <c r="C18" s="4" t="s">
        <v>162</v>
      </c>
      <c r="D18" s="72" t="s">
        <v>63</v>
      </c>
      <c r="E18" s="73" t="s">
        <v>66</v>
      </c>
      <c r="F18" s="71"/>
      <c r="G18" s="71"/>
      <c r="H18" s="71"/>
      <c r="I18" s="71"/>
    </row>
    <row r="19" spans="1:12" s="65" customFormat="1" ht="18" customHeight="1" x14ac:dyDescent="0.45">
      <c r="A19" s="4" t="s">
        <v>86</v>
      </c>
      <c r="B19" s="78" t="s">
        <v>77</v>
      </c>
      <c r="C19" s="4" t="s">
        <v>26</v>
      </c>
      <c r="D19" s="72" t="s">
        <v>148</v>
      </c>
      <c r="E19" s="73" t="s">
        <v>66</v>
      </c>
      <c r="F19" s="96"/>
      <c r="G19" s="96"/>
      <c r="H19" s="96"/>
      <c r="I19" s="96"/>
      <c r="J19" s="67"/>
      <c r="K19" s="67"/>
      <c r="L19" s="67"/>
    </row>
    <row r="20" spans="1:12" s="65" customFormat="1" ht="18" customHeight="1" x14ac:dyDescent="0.45">
      <c r="A20" s="4" t="s">
        <v>143</v>
      </c>
      <c r="B20" s="78" t="s">
        <v>20</v>
      </c>
      <c r="C20" s="4" t="s">
        <v>61</v>
      </c>
      <c r="D20" s="72" t="s">
        <v>148</v>
      </c>
      <c r="E20" s="73" t="s">
        <v>66</v>
      </c>
      <c r="F20" s="96"/>
      <c r="G20" s="96"/>
      <c r="H20" s="96"/>
      <c r="I20" s="96"/>
      <c r="J20" s="67"/>
      <c r="K20" s="67"/>
      <c r="L20" s="67"/>
    </row>
    <row r="21" spans="1:12" s="65" customFormat="1" ht="18" customHeight="1" x14ac:dyDescent="0.45">
      <c r="A21" s="4" t="s">
        <v>133</v>
      </c>
      <c r="B21" s="78" t="s">
        <v>50</v>
      </c>
      <c r="C21" s="4" t="s">
        <v>60</v>
      </c>
      <c r="D21" s="72" t="s">
        <v>148</v>
      </c>
      <c r="E21" s="73" t="s">
        <v>66</v>
      </c>
      <c r="F21" s="96"/>
      <c r="G21" s="96"/>
      <c r="H21" s="96"/>
      <c r="I21" s="96"/>
      <c r="J21" s="67"/>
      <c r="K21" s="67"/>
      <c r="L21" s="67"/>
    </row>
    <row r="22" spans="1:12" s="69" customFormat="1" ht="18" customHeight="1" x14ac:dyDescent="0.45">
      <c r="A22" s="4" t="s">
        <v>110</v>
      </c>
      <c r="B22" s="4" t="s">
        <v>163</v>
      </c>
      <c r="C22" s="4" t="s">
        <v>58</v>
      </c>
      <c r="D22" s="4" t="s">
        <v>63</v>
      </c>
      <c r="E22" s="4" t="s">
        <v>66</v>
      </c>
      <c r="F22" s="97"/>
      <c r="G22" s="97"/>
      <c r="H22" s="97"/>
      <c r="I22" s="97"/>
      <c r="J22" s="68"/>
      <c r="K22" s="68"/>
      <c r="L22" s="68"/>
    </row>
    <row r="23" spans="1:12" s="65" customFormat="1" ht="18" customHeight="1" x14ac:dyDescent="0.45">
      <c r="A23" s="4" t="s">
        <v>89</v>
      </c>
      <c r="B23" s="78" t="s">
        <v>77</v>
      </c>
      <c r="C23" s="4" t="s">
        <v>26</v>
      </c>
      <c r="D23" s="72" t="s">
        <v>63</v>
      </c>
      <c r="E23" s="73" t="s">
        <v>66</v>
      </c>
      <c r="F23" s="96"/>
      <c r="G23" s="96"/>
      <c r="H23" s="96"/>
      <c r="I23" s="96"/>
      <c r="J23" s="67"/>
      <c r="K23" s="67"/>
      <c r="L23" s="67"/>
    </row>
    <row r="24" spans="1:12" s="65" customFormat="1" ht="18" customHeight="1" x14ac:dyDescent="0.45">
      <c r="A24" s="4" t="s">
        <v>102</v>
      </c>
      <c r="B24" s="78" t="s">
        <v>33</v>
      </c>
      <c r="C24" s="4" t="s">
        <v>57</v>
      </c>
      <c r="D24" s="72" t="s">
        <v>63</v>
      </c>
      <c r="E24" s="73" t="s">
        <v>66</v>
      </c>
      <c r="F24" s="71"/>
      <c r="G24" s="71"/>
      <c r="H24" s="71"/>
      <c r="I24" s="71"/>
    </row>
    <row r="25" spans="1:12" s="65" customFormat="1" ht="18" customHeight="1" thickBot="1" x14ac:dyDescent="0.5">
      <c r="A25" s="74" t="s">
        <v>99</v>
      </c>
      <c r="B25" s="74" t="s">
        <v>32</v>
      </c>
      <c r="C25" s="74" t="s">
        <v>57</v>
      </c>
      <c r="D25" s="75" t="s">
        <v>63</v>
      </c>
      <c r="E25" s="79" t="s">
        <v>66</v>
      </c>
      <c r="F25" s="71"/>
      <c r="G25" s="71"/>
      <c r="H25" s="71"/>
      <c r="I25" s="71"/>
    </row>
    <row r="26" spans="1:12" s="65" customFormat="1" ht="18" customHeight="1" thickTop="1" x14ac:dyDescent="0.45">
      <c r="A26" s="80" t="s">
        <v>140</v>
      </c>
      <c r="B26" s="81" t="s">
        <v>16</v>
      </c>
      <c r="C26" s="82" t="s">
        <v>61</v>
      </c>
      <c r="D26" s="83" t="s">
        <v>148</v>
      </c>
      <c r="E26" s="76" t="s">
        <v>67</v>
      </c>
      <c r="F26" s="71"/>
      <c r="G26" s="71"/>
      <c r="H26" s="71"/>
      <c r="I26" s="71"/>
    </row>
    <row r="27" spans="1:12" s="65" customFormat="1" ht="18" customHeight="1" x14ac:dyDescent="0.45">
      <c r="A27" s="4" t="s">
        <v>90</v>
      </c>
      <c r="B27" s="78" t="s">
        <v>25</v>
      </c>
      <c r="C27" s="4" t="s">
        <v>26</v>
      </c>
      <c r="D27" s="72" t="s">
        <v>148</v>
      </c>
      <c r="E27" s="4" t="s">
        <v>67</v>
      </c>
      <c r="F27" s="71"/>
      <c r="G27" s="71"/>
      <c r="H27" s="71"/>
      <c r="I27" s="71"/>
    </row>
    <row r="28" spans="1:12" s="65" customFormat="1" ht="18" customHeight="1" x14ac:dyDescent="0.45">
      <c r="A28" s="4" t="s">
        <v>120</v>
      </c>
      <c r="B28" s="78" t="s">
        <v>42</v>
      </c>
      <c r="C28" s="4" t="s">
        <v>59</v>
      </c>
      <c r="D28" s="72" t="s">
        <v>148</v>
      </c>
      <c r="E28" s="4" t="s">
        <v>67</v>
      </c>
      <c r="F28" s="71"/>
      <c r="G28" s="71"/>
      <c r="H28" s="71"/>
      <c r="I28" s="71"/>
    </row>
    <row r="29" spans="1:12" s="65" customFormat="1" ht="18" customHeight="1" x14ac:dyDescent="0.45">
      <c r="A29" s="4" t="s">
        <v>93</v>
      </c>
      <c r="B29" s="4" t="s">
        <v>28</v>
      </c>
      <c r="C29" s="4" t="s">
        <v>57</v>
      </c>
      <c r="D29" s="72" t="s">
        <v>63</v>
      </c>
      <c r="E29" s="4" t="s">
        <v>67</v>
      </c>
      <c r="F29" s="71"/>
      <c r="G29" s="71"/>
      <c r="H29" s="71"/>
      <c r="I29" s="71"/>
    </row>
    <row r="30" spans="1:12" s="65" customFormat="1" ht="18" customHeight="1" x14ac:dyDescent="0.45">
      <c r="A30" s="4" t="s">
        <v>121</v>
      </c>
      <c r="B30" s="78" t="s">
        <v>43</v>
      </c>
      <c r="C30" s="4" t="s">
        <v>59</v>
      </c>
      <c r="D30" s="72" t="s">
        <v>63</v>
      </c>
      <c r="E30" s="4" t="s">
        <v>67</v>
      </c>
      <c r="F30" s="71"/>
      <c r="G30" s="71"/>
      <c r="H30" s="71"/>
      <c r="I30" s="71"/>
    </row>
    <row r="31" spans="1:12" s="65" customFormat="1" ht="18" customHeight="1" x14ac:dyDescent="0.45">
      <c r="A31" s="4" t="s">
        <v>87</v>
      </c>
      <c r="B31" s="78" t="s">
        <v>5</v>
      </c>
      <c r="C31" s="4" t="s">
        <v>58</v>
      </c>
      <c r="D31" s="72" t="s">
        <v>148</v>
      </c>
      <c r="E31" s="4" t="s">
        <v>67</v>
      </c>
      <c r="F31" s="71"/>
      <c r="G31" s="71"/>
      <c r="H31" s="71"/>
      <c r="I31" s="71"/>
    </row>
    <row r="32" spans="1:12" s="65" customFormat="1" ht="18" customHeight="1" x14ac:dyDescent="0.45">
      <c r="A32" s="4" t="s">
        <v>147</v>
      </c>
      <c r="B32" s="78" t="s">
        <v>6</v>
      </c>
      <c r="C32" s="4" t="s">
        <v>162</v>
      </c>
      <c r="D32" s="72" t="s">
        <v>63</v>
      </c>
      <c r="E32" s="4" t="s">
        <v>67</v>
      </c>
      <c r="F32" s="71"/>
      <c r="G32" s="71"/>
      <c r="H32" s="71"/>
      <c r="I32" s="71"/>
    </row>
    <row r="33" spans="1:36" s="65" customFormat="1" ht="18" customHeight="1" x14ac:dyDescent="0.45">
      <c r="A33" s="4" t="s">
        <v>142</v>
      </c>
      <c r="B33" s="4" t="s">
        <v>7</v>
      </c>
      <c r="C33" s="4" t="s">
        <v>61</v>
      </c>
      <c r="D33" s="72" t="s">
        <v>167</v>
      </c>
      <c r="E33" s="4" t="s">
        <v>67</v>
      </c>
      <c r="F33" s="71"/>
      <c r="G33" s="71"/>
      <c r="H33" s="71"/>
      <c r="I33" s="71"/>
    </row>
    <row r="34" spans="1:36" s="65" customFormat="1" ht="18" customHeight="1" x14ac:dyDescent="0.45">
      <c r="A34" s="4" t="s">
        <v>136</v>
      </c>
      <c r="B34" s="78" t="s">
        <v>53</v>
      </c>
      <c r="C34" s="4" t="s">
        <v>60</v>
      </c>
      <c r="D34" s="72" t="s">
        <v>63</v>
      </c>
      <c r="E34" s="4" t="s">
        <v>67</v>
      </c>
      <c r="F34" s="71"/>
      <c r="G34" s="71"/>
      <c r="H34" s="71"/>
      <c r="I34" s="71"/>
    </row>
    <row r="35" spans="1:36" s="65" customFormat="1" ht="18" customHeight="1" x14ac:dyDescent="0.45">
      <c r="A35" s="4" t="s">
        <v>103</v>
      </c>
      <c r="B35" s="78" t="s">
        <v>8</v>
      </c>
      <c r="C35" s="4" t="s">
        <v>57</v>
      </c>
      <c r="D35" s="72" t="s">
        <v>148</v>
      </c>
      <c r="E35" s="4" t="s">
        <v>67</v>
      </c>
      <c r="F35" s="71"/>
      <c r="G35" s="71"/>
      <c r="H35" s="71"/>
      <c r="I35" s="71"/>
    </row>
    <row r="36" spans="1:36" s="65" customFormat="1" ht="18" customHeight="1" x14ac:dyDescent="0.45">
      <c r="A36" s="4" t="s">
        <v>122</v>
      </c>
      <c r="B36" s="78" t="s">
        <v>44</v>
      </c>
      <c r="C36" s="4" t="s">
        <v>59</v>
      </c>
      <c r="D36" s="72" t="s">
        <v>63</v>
      </c>
      <c r="E36" s="4" t="s">
        <v>67</v>
      </c>
      <c r="F36" s="71"/>
      <c r="G36" s="71"/>
      <c r="H36" s="71"/>
      <c r="I36" s="71"/>
    </row>
    <row r="37" spans="1:36" s="65" customFormat="1" ht="18" customHeight="1" thickBot="1" x14ac:dyDescent="0.5">
      <c r="A37" s="74" t="s">
        <v>82</v>
      </c>
      <c r="B37" s="43" t="s">
        <v>18</v>
      </c>
      <c r="C37" s="74" t="s">
        <v>61</v>
      </c>
      <c r="D37" s="75" t="s">
        <v>148</v>
      </c>
      <c r="E37" s="74" t="s">
        <v>67</v>
      </c>
      <c r="F37" s="71"/>
      <c r="G37" s="71"/>
      <c r="H37" s="71"/>
      <c r="I37" s="71"/>
    </row>
    <row r="38" spans="1:36" s="65" customFormat="1" ht="18" customHeight="1" thickTop="1" x14ac:dyDescent="0.45">
      <c r="A38" s="82" t="s">
        <v>117</v>
      </c>
      <c r="B38" s="82" t="s">
        <v>10</v>
      </c>
      <c r="C38" s="82" t="s">
        <v>10</v>
      </c>
      <c r="D38" s="83" t="s">
        <v>63</v>
      </c>
      <c r="E38" s="82" t="s">
        <v>74</v>
      </c>
      <c r="F38" s="71"/>
      <c r="G38" s="71"/>
      <c r="H38" s="71"/>
      <c r="I38" s="71"/>
    </row>
    <row r="39" spans="1:36" s="65" customFormat="1" ht="18" customHeight="1" x14ac:dyDescent="0.45">
      <c r="A39" s="4" t="s">
        <v>130</v>
      </c>
      <c r="B39" s="78" t="s">
        <v>164</v>
      </c>
      <c r="C39" s="4" t="s">
        <v>61</v>
      </c>
      <c r="D39" s="72" t="s">
        <v>63</v>
      </c>
      <c r="E39" s="4" t="s">
        <v>74</v>
      </c>
      <c r="F39" s="71"/>
      <c r="G39" s="71"/>
      <c r="H39" s="71"/>
      <c r="I39" s="71"/>
    </row>
    <row r="40" spans="1:36" s="65" customFormat="1" ht="18" customHeight="1" x14ac:dyDescent="0.45">
      <c r="A40" s="4" t="s">
        <v>114</v>
      </c>
      <c r="B40" s="78" t="s">
        <v>40</v>
      </c>
      <c r="C40" s="4" t="s">
        <v>58</v>
      </c>
      <c r="D40" s="72" t="s">
        <v>63</v>
      </c>
      <c r="E40" s="4" t="s">
        <v>74</v>
      </c>
      <c r="F40" s="71"/>
      <c r="G40" s="71"/>
      <c r="H40" s="71"/>
      <c r="I40" s="71"/>
    </row>
    <row r="41" spans="1:36" s="65" customFormat="1" ht="18" customHeight="1" x14ac:dyDescent="0.45">
      <c r="A41" s="4" t="s">
        <v>107</v>
      </c>
      <c r="B41" s="78" t="s">
        <v>5</v>
      </c>
      <c r="C41" s="4" t="s">
        <v>58</v>
      </c>
      <c r="D41" s="72" t="s">
        <v>63</v>
      </c>
      <c r="E41" s="4" t="s">
        <v>74</v>
      </c>
      <c r="F41" s="71"/>
      <c r="G41" s="71"/>
      <c r="H41" s="71"/>
      <c r="I41" s="71"/>
    </row>
    <row r="42" spans="1:36" s="65" customFormat="1" ht="18" customHeight="1" thickBot="1" x14ac:dyDescent="0.5">
      <c r="A42" s="74" t="s">
        <v>124</v>
      </c>
      <c r="B42" s="43" t="s">
        <v>46</v>
      </c>
      <c r="C42" s="74" t="s">
        <v>59</v>
      </c>
      <c r="D42" s="75" t="s">
        <v>167</v>
      </c>
      <c r="E42" s="74" t="s">
        <v>74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</row>
    <row r="43" spans="1:36" s="65" customFormat="1" ht="18" customHeight="1" thickTop="1" x14ac:dyDescent="0.45">
      <c r="A43" s="80" t="s">
        <v>144</v>
      </c>
      <c r="B43" s="84" t="s">
        <v>22</v>
      </c>
      <c r="C43" s="82" t="s">
        <v>61</v>
      </c>
      <c r="D43" s="83" t="s">
        <v>63</v>
      </c>
      <c r="E43" s="76" t="s">
        <v>75</v>
      </c>
      <c r="F43" s="71"/>
      <c r="G43" s="71"/>
      <c r="H43" s="71"/>
      <c r="I43" s="71"/>
    </row>
    <row r="44" spans="1:36" s="65" customFormat="1" ht="18" customHeight="1" x14ac:dyDescent="0.45">
      <c r="A44" s="4" t="s">
        <v>91</v>
      </c>
      <c r="B44" s="78" t="s">
        <v>27</v>
      </c>
      <c r="C44" s="4" t="s">
        <v>26</v>
      </c>
      <c r="D44" s="72" t="s">
        <v>63</v>
      </c>
      <c r="E44" s="4" t="s">
        <v>75</v>
      </c>
      <c r="F44" s="71"/>
      <c r="G44" s="71"/>
      <c r="H44" s="71"/>
      <c r="I44" s="71"/>
    </row>
    <row r="45" spans="1:36" s="65" customFormat="1" ht="18" customHeight="1" x14ac:dyDescent="0.45">
      <c r="A45" s="4" t="s">
        <v>111</v>
      </c>
      <c r="B45" s="78" t="s">
        <v>9</v>
      </c>
      <c r="C45" s="4" t="s">
        <v>162</v>
      </c>
      <c r="D45" s="72" t="s">
        <v>148</v>
      </c>
      <c r="E45" s="4" t="s">
        <v>75</v>
      </c>
      <c r="F45" s="71"/>
      <c r="G45" s="71"/>
      <c r="H45" s="71"/>
      <c r="I45" s="71"/>
    </row>
    <row r="46" spans="1:36" s="65" customFormat="1" ht="18" customHeight="1" x14ac:dyDescent="0.45">
      <c r="A46" s="4" t="s">
        <v>79</v>
      </c>
      <c r="B46" s="78" t="s">
        <v>165</v>
      </c>
      <c r="C46" s="4" t="s">
        <v>56</v>
      </c>
      <c r="D46" s="72" t="s">
        <v>148</v>
      </c>
      <c r="E46" s="4" t="s">
        <v>75</v>
      </c>
      <c r="F46" s="71"/>
      <c r="G46" s="71"/>
      <c r="H46" s="71"/>
      <c r="I46" s="71"/>
    </row>
    <row r="47" spans="1:36" s="65" customFormat="1" ht="18" customHeight="1" x14ac:dyDescent="0.45">
      <c r="A47" s="4" t="s">
        <v>134</v>
      </c>
      <c r="B47" s="78" t="s">
        <v>51</v>
      </c>
      <c r="C47" s="4" t="s">
        <v>60</v>
      </c>
      <c r="D47" s="72" t="s">
        <v>148</v>
      </c>
      <c r="E47" s="4" t="s">
        <v>75</v>
      </c>
      <c r="F47" s="71"/>
      <c r="G47" s="71"/>
      <c r="H47" s="71"/>
      <c r="I47" s="71"/>
    </row>
    <row r="48" spans="1:36" s="65" customFormat="1" ht="18" customHeight="1" x14ac:dyDescent="0.45">
      <c r="A48" s="4" t="s">
        <v>98</v>
      </c>
      <c r="B48" s="78" t="s">
        <v>31</v>
      </c>
      <c r="C48" s="4" t="s">
        <v>56</v>
      </c>
      <c r="D48" s="72" t="s">
        <v>63</v>
      </c>
      <c r="E48" s="4" t="s">
        <v>75</v>
      </c>
      <c r="F48" s="71"/>
      <c r="G48" s="71"/>
      <c r="H48" s="71"/>
      <c r="I48" s="71"/>
    </row>
    <row r="49" spans="1:36" s="65" customFormat="1" ht="18" customHeight="1" thickBot="1" x14ac:dyDescent="0.5">
      <c r="A49" s="74" t="s">
        <v>109</v>
      </c>
      <c r="B49" s="43" t="s">
        <v>38</v>
      </c>
      <c r="C49" s="74" t="s">
        <v>58</v>
      </c>
      <c r="D49" s="75" t="s">
        <v>167</v>
      </c>
      <c r="E49" s="4" t="s">
        <v>75</v>
      </c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</row>
    <row r="50" spans="1:36" s="65" customFormat="1" ht="18" customHeight="1" thickTop="1" x14ac:dyDescent="0.45">
      <c r="A50" s="82" t="s">
        <v>80</v>
      </c>
      <c r="B50" s="84" t="s">
        <v>15</v>
      </c>
      <c r="C50" s="82" t="s">
        <v>56</v>
      </c>
      <c r="D50" s="83" t="s">
        <v>63</v>
      </c>
      <c r="E50" s="85" t="s">
        <v>68</v>
      </c>
      <c r="F50" s="71"/>
      <c r="G50" s="71"/>
      <c r="H50" s="71"/>
      <c r="I50" s="71"/>
    </row>
    <row r="51" spans="1:36" s="65" customFormat="1" ht="18" customHeight="1" x14ac:dyDescent="0.45">
      <c r="A51" s="4" t="s">
        <v>116</v>
      </c>
      <c r="B51" s="4" t="s">
        <v>10</v>
      </c>
      <c r="C51" s="4" t="s">
        <v>10</v>
      </c>
      <c r="D51" s="72" t="s">
        <v>63</v>
      </c>
      <c r="E51" s="4" t="s">
        <v>68</v>
      </c>
      <c r="F51" s="71"/>
      <c r="G51" s="71"/>
      <c r="H51" s="71"/>
      <c r="I51" s="71"/>
    </row>
    <row r="52" spans="1:36" s="65" customFormat="1" ht="18" customHeight="1" thickBot="1" x14ac:dyDescent="0.5">
      <c r="A52" s="74" t="s">
        <v>95</v>
      </c>
      <c r="B52" s="43" t="s">
        <v>29</v>
      </c>
      <c r="C52" s="74" t="s">
        <v>56</v>
      </c>
      <c r="D52" s="75" t="s">
        <v>63</v>
      </c>
      <c r="E52" s="74" t="s">
        <v>68</v>
      </c>
      <c r="F52" s="71"/>
      <c r="G52" s="71"/>
      <c r="H52" s="71"/>
      <c r="I52" s="71"/>
    </row>
    <row r="53" spans="1:36" s="65" customFormat="1" ht="18" customHeight="1" thickTop="1" thickBot="1" x14ac:dyDescent="0.5">
      <c r="A53" s="86" t="s">
        <v>125</v>
      </c>
      <c r="B53" s="87" t="s">
        <v>11</v>
      </c>
      <c r="C53" s="86" t="s">
        <v>59</v>
      </c>
      <c r="D53" s="88" t="s">
        <v>63</v>
      </c>
      <c r="E53" s="89" t="s">
        <v>70</v>
      </c>
      <c r="F53" s="71"/>
      <c r="G53" s="71"/>
      <c r="H53" s="71"/>
      <c r="I53" s="71"/>
    </row>
    <row r="54" spans="1:36" s="65" customFormat="1" ht="18" customHeight="1" thickTop="1" x14ac:dyDescent="0.45">
      <c r="A54" s="82" t="s">
        <v>81</v>
      </c>
      <c r="B54" s="84" t="s">
        <v>17</v>
      </c>
      <c r="C54" s="82" t="s">
        <v>56</v>
      </c>
      <c r="D54" s="83" t="s">
        <v>63</v>
      </c>
      <c r="E54" s="85" t="s">
        <v>69</v>
      </c>
      <c r="F54" s="71"/>
      <c r="G54" s="71"/>
      <c r="H54" s="71"/>
      <c r="I54" s="71"/>
    </row>
    <row r="55" spans="1:36" s="65" customFormat="1" ht="18" customHeight="1" x14ac:dyDescent="0.45">
      <c r="A55" s="4" t="s">
        <v>159</v>
      </c>
      <c r="B55" s="4" t="s">
        <v>37</v>
      </c>
      <c r="C55" s="4" t="s">
        <v>58</v>
      </c>
      <c r="D55" s="72" t="s">
        <v>148</v>
      </c>
      <c r="E55" s="4" t="s">
        <v>69</v>
      </c>
      <c r="F55" s="71"/>
      <c r="G55" s="71"/>
      <c r="H55" s="71"/>
      <c r="I55" s="71"/>
    </row>
    <row r="56" spans="1:36" s="65" customFormat="1" ht="18" customHeight="1" x14ac:dyDescent="0.45">
      <c r="A56" s="4" t="s">
        <v>118</v>
      </c>
      <c r="B56" s="4" t="s">
        <v>10</v>
      </c>
      <c r="C56" s="4" t="s">
        <v>10</v>
      </c>
      <c r="D56" s="72" t="s">
        <v>63</v>
      </c>
      <c r="E56" s="4" t="s">
        <v>69</v>
      </c>
      <c r="F56" s="71"/>
      <c r="G56" s="71"/>
      <c r="H56" s="71"/>
      <c r="I56" s="71"/>
    </row>
    <row r="57" spans="1:36" s="65" customFormat="1" ht="18" customHeight="1" x14ac:dyDescent="0.45">
      <c r="A57" s="4" t="s">
        <v>92</v>
      </c>
      <c r="B57" s="4" t="s">
        <v>27</v>
      </c>
      <c r="C57" s="4" t="s">
        <v>26</v>
      </c>
      <c r="D57" s="72" t="s">
        <v>148</v>
      </c>
      <c r="E57" s="4" t="s">
        <v>69</v>
      </c>
      <c r="F57" s="71"/>
      <c r="G57" s="71"/>
      <c r="H57" s="71"/>
      <c r="I57" s="71"/>
    </row>
    <row r="58" spans="1:36" s="65" customFormat="1" ht="18" customHeight="1" x14ac:dyDescent="0.45">
      <c r="A58" s="4" t="s">
        <v>115</v>
      </c>
      <c r="B58" s="4" t="s">
        <v>10</v>
      </c>
      <c r="C58" s="4" t="s">
        <v>10</v>
      </c>
      <c r="D58" s="72" t="s">
        <v>63</v>
      </c>
      <c r="E58" s="4" t="s">
        <v>69</v>
      </c>
      <c r="F58" s="71"/>
      <c r="G58" s="71"/>
      <c r="H58" s="71"/>
      <c r="I58" s="71"/>
    </row>
    <row r="59" spans="1:36" s="65" customFormat="1" ht="18" customHeight="1" x14ac:dyDescent="0.45">
      <c r="A59" s="4" t="s">
        <v>94</v>
      </c>
      <c r="B59" s="4" t="s">
        <v>28</v>
      </c>
      <c r="C59" s="4" t="s">
        <v>57</v>
      </c>
      <c r="D59" s="72" t="s">
        <v>63</v>
      </c>
      <c r="E59" s="4" t="s">
        <v>69</v>
      </c>
      <c r="F59" s="71"/>
      <c r="G59" s="71"/>
      <c r="H59" s="71"/>
      <c r="I59" s="71"/>
    </row>
    <row r="60" spans="1:36" s="65" customFormat="1" ht="18" customHeight="1" x14ac:dyDescent="0.45">
      <c r="A60" s="4" t="s">
        <v>119</v>
      </c>
      <c r="B60" s="4" t="s">
        <v>41</v>
      </c>
      <c r="C60" s="4" t="s">
        <v>10</v>
      </c>
      <c r="D60" s="72" t="s">
        <v>148</v>
      </c>
      <c r="E60" s="4" t="s">
        <v>69</v>
      </c>
      <c r="F60" s="71"/>
      <c r="G60" s="71"/>
      <c r="H60" s="71"/>
      <c r="I60" s="71"/>
    </row>
    <row r="61" spans="1:36" s="65" customFormat="1" ht="18" customHeight="1" thickBot="1" x14ac:dyDescent="0.5">
      <c r="A61" s="74" t="s">
        <v>146</v>
      </c>
      <c r="B61" s="74" t="s">
        <v>169</v>
      </c>
      <c r="C61" s="74" t="s">
        <v>26</v>
      </c>
      <c r="D61" s="75" t="s">
        <v>167</v>
      </c>
      <c r="E61" s="4" t="s">
        <v>69</v>
      </c>
      <c r="F61" s="71"/>
      <c r="G61" s="71"/>
      <c r="H61" s="71"/>
      <c r="I61" s="71"/>
    </row>
    <row r="62" spans="1:36" s="65" customFormat="1" ht="18" customHeight="1" thickTop="1" thickBot="1" x14ac:dyDescent="0.5">
      <c r="A62" s="74" t="s">
        <v>141</v>
      </c>
      <c r="B62" s="74" t="s">
        <v>166</v>
      </c>
      <c r="C62" s="74" t="s">
        <v>61</v>
      </c>
      <c r="D62" s="74" t="s">
        <v>148</v>
      </c>
      <c r="E62" s="74" t="s">
        <v>71</v>
      </c>
      <c r="F62" s="71"/>
      <c r="G62" s="71"/>
      <c r="H62" s="71"/>
      <c r="I62" s="71"/>
    </row>
    <row r="63" spans="1:36" s="65" customFormat="1" ht="18" customHeight="1" thickTop="1" thickBot="1" x14ac:dyDescent="0.5">
      <c r="A63" s="74" t="s">
        <v>106</v>
      </c>
      <c r="B63" s="74" t="s">
        <v>36</v>
      </c>
      <c r="C63" s="74" t="s">
        <v>58</v>
      </c>
      <c r="D63" s="74" t="s">
        <v>63</v>
      </c>
      <c r="E63" s="74" t="s">
        <v>71</v>
      </c>
      <c r="F63" s="71"/>
      <c r="G63" s="71"/>
      <c r="H63" s="71"/>
      <c r="I63" s="71"/>
    </row>
    <row r="64" spans="1:36" s="65" customFormat="1" ht="18" customHeight="1" thickTop="1" x14ac:dyDescent="0.45">
      <c r="A64" s="80" t="s">
        <v>127</v>
      </c>
      <c r="B64" s="80" t="s">
        <v>181</v>
      </c>
      <c r="C64" s="82" t="s">
        <v>59</v>
      </c>
      <c r="D64" s="83" t="s">
        <v>148</v>
      </c>
      <c r="E64" s="83" t="s">
        <v>72</v>
      </c>
      <c r="F64" s="71"/>
      <c r="G64" s="71"/>
      <c r="H64" s="71"/>
      <c r="I64" s="71"/>
    </row>
    <row r="65" spans="1:9" s="65" customFormat="1" ht="18" customHeight="1" x14ac:dyDescent="0.45">
      <c r="A65" s="4" t="s">
        <v>96</v>
      </c>
      <c r="B65" s="4" t="s">
        <v>30</v>
      </c>
      <c r="C65" s="4" t="s">
        <v>56</v>
      </c>
      <c r="D65" s="72" t="s">
        <v>167</v>
      </c>
      <c r="E65" s="72" t="s">
        <v>72</v>
      </c>
      <c r="F65" s="71"/>
      <c r="G65" s="71"/>
      <c r="H65" s="71"/>
      <c r="I65" s="71"/>
    </row>
    <row r="66" spans="1:9" s="65" customFormat="1" ht="18" customHeight="1" x14ac:dyDescent="0.45">
      <c r="A66" s="4" t="s">
        <v>137</v>
      </c>
      <c r="B66" s="78" t="s">
        <v>54</v>
      </c>
      <c r="C66" s="4" t="s">
        <v>60</v>
      </c>
      <c r="D66" s="72" t="s">
        <v>148</v>
      </c>
      <c r="E66" s="72" t="s">
        <v>72</v>
      </c>
      <c r="F66" s="71"/>
      <c r="G66" s="71"/>
      <c r="H66" s="71"/>
      <c r="I66" s="71"/>
    </row>
    <row r="67" spans="1:9" s="65" customFormat="1" ht="18" customHeight="1" thickBot="1" x14ac:dyDescent="0.5">
      <c r="A67" s="74" t="s">
        <v>108</v>
      </c>
      <c r="B67" s="90" t="s">
        <v>263</v>
      </c>
      <c r="C67" s="74" t="s">
        <v>58</v>
      </c>
      <c r="D67" s="75" t="s">
        <v>63</v>
      </c>
      <c r="E67" s="72" t="s">
        <v>72</v>
      </c>
      <c r="F67" s="71"/>
      <c r="G67" s="71"/>
      <c r="H67" s="71"/>
      <c r="I67" s="71"/>
    </row>
    <row r="68" spans="1:9" s="65" customFormat="1" ht="18" customHeight="1" thickTop="1" x14ac:dyDescent="0.45">
      <c r="A68" s="80" t="s">
        <v>84</v>
      </c>
      <c r="B68" s="80" t="s">
        <v>21</v>
      </c>
      <c r="C68" s="82" t="s">
        <v>59</v>
      </c>
      <c r="D68" s="83" t="s">
        <v>63</v>
      </c>
      <c r="E68" s="85" t="s">
        <v>73</v>
      </c>
      <c r="F68" s="71"/>
      <c r="G68" s="71"/>
      <c r="H68" s="71"/>
      <c r="I68" s="71"/>
    </row>
    <row r="69" spans="1:9" s="65" customFormat="1" ht="18" customHeight="1" x14ac:dyDescent="0.45">
      <c r="A69" s="4" t="s">
        <v>135</v>
      </c>
      <c r="B69" s="4" t="s">
        <v>52</v>
      </c>
      <c r="C69" s="4" t="s">
        <v>60</v>
      </c>
      <c r="D69" s="72" t="s">
        <v>63</v>
      </c>
      <c r="E69" s="72" t="s">
        <v>73</v>
      </c>
      <c r="F69" s="71"/>
      <c r="G69" s="71"/>
      <c r="H69" s="71"/>
      <c r="I69" s="71"/>
    </row>
    <row r="70" spans="1:9" s="65" customFormat="1" ht="18" customHeight="1" x14ac:dyDescent="0.45">
      <c r="A70" s="4" t="s">
        <v>104</v>
      </c>
      <c r="B70" s="4" t="s">
        <v>12</v>
      </c>
      <c r="C70" s="4" t="s">
        <v>57</v>
      </c>
      <c r="D70" s="72" t="s">
        <v>148</v>
      </c>
      <c r="E70" s="72" t="s">
        <v>73</v>
      </c>
      <c r="F70" s="71"/>
      <c r="G70" s="71"/>
      <c r="H70" s="71"/>
      <c r="I70" s="71"/>
    </row>
    <row r="71" spans="1:9" s="65" customFormat="1" ht="18" customHeight="1" x14ac:dyDescent="0.45">
      <c r="A71" s="4" t="s">
        <v>123</v>
      </c>
      <c r="B71" s="4" t="s">
        <v>45</v>
      </c>
      <c r="C71" s="4" t="s">
        <v>59</v>
      </c>
      <c r="D71" s="72" t="s">
        <v>148</v>
      </c>
      <c r="E71" s="72" t="s">
        <v>73</v>
      </c>
      <c r="F71" s="71"/>
      <c r="G71" s="71"/>
      <c r="H71" s="71"/>
      <c r="I71" s="71"/>
    </row>
    <row r="72" spans="1:9" s="65" customFormat="1" ht="18" customHeight="1" x14ac:dyDescent="0.45">
      <c r="A72" s="4" t="s">
        <v>132</v>
      </c>
      <c r="B72" s="4" t="s">
        <v>49</v>
      </c>
      <c r="C72" s="4" t="s">
        <v>59</v>
      </c>
      <c r="D72" s="72" t="s">
        <v>63</v>
      </c>
      <c r="E72" s="72" t="s">
        <v>73</v>
      </c>
      <c r="F72" s="71"/>
      <c r="G72" s="71"/>
      <c r="H72" s="71"/>
      <c r="I72" s="71"/>
    </row>
    <row r="73" spans="1:9" s="65" customFormat="1" ht="18" customHeight="1" x14ac:dyDescent="0.45">
      <c r="A73" s="4" t="s">
        <v>126</v>
      </c>
      <c r="B73" s="4" t="s">
        <v>47</v>
      </c>
      <c r="C73" s="4" t="s">
        <v>60</v>
      </c>
      <c r="D73" s="72" t="s">
        <v>148</v>
      </c>
      <c r="E73" s="72" t="s">
        <v>73</v>
      </c>
      <c r="F73" s="71"/>
      <c r="G73" s="71"/>
      <c r="H73" s="71"/>
      <c r="I73" s="71"/>
    </row>
    <row r="74" spans="1:9" s="65" customFormat="1" ht="18" customHeight="1" thickBot="1" x14ac:dyDescent="0.5">
      <c r="A74" s="74" t="s">
        <v>128</v>
      </c>
      <c r="B74" s="74" t="s">
        <v>48</v>
      </c>
      <c r="C74" s="74" t="s">
        <v>59</v>
      </c>
      <c r="D74" s="75" t="s">
        <v>148</v>
      </c>
      <c r="E74" s="75" t="s">
        <v>73</v>
      </c>
      <c r="F74" s="71"/>
      <c r="G74" s="71"/>
      <c r="H74" s="71"/>
      <c r="I74" s="71"/>
    </row>
    <row r="75" spans="1:9" s="66" customFormat="1" ht="18" customHeight="1" thickTop="1" x14ac:dyDescent="0.25">
      <c r="A75" s="80" t="s">
        <v>88</v>
      </c>
      <c r="B75" s="80" t="s">
        <v>77</v>
      </c>
      <c r="C75" s="82" t="s">
        <v>26</v>
      </c>
      <c r="D75" s="83" t="s">
        <v>148</v>
      </c>
      <c r="E75" s="76" t="s">
        <v>76</v>
      </c>
      <c r="F75" s="70"/>
      <c r="G75" s="70"/>
      <c r="H75" s="70"/>
      <c r="I75" s="70"/>
    </row>
    <row r="76" spans="1:9" s="66" customFormat="1" ht="18" customHeight="1" thickBot="1" x14ac:dyDescent="0.3">
      <c r="A76" s="4" t="s">
        <v>97</v>
      </c>
      <c r="B76" s="4" t="s">
        <v>180</v>
      </c>
      <c r="C76" s="4" t="s">
        <v>61</v>
      </c>
      <c r="D76" s="72" t="s">
        <v>167</v>
      </c>
      <c r="E76" s="72" t="s">
        <v>76</v>
      </c>
      <c r="F76" s="70"/>
      <c r="G76" s="70"/>
      <c r="H76" s="70"/>
      <c r="I76" s="70"/>
    </row>
    <row r="77" spans="1:9" s="66" customFormat="1" ht="18" customHeight="1" thickTop="1" x14ac:dyDescent="0.25">
      <c r="A77" s="91" t="s">
        <v>160</v>
      </c>
      <c r="B77" s="91" t="s">
        <v>77</v>
      </c>
      <c r="C77" s="91" t="s">
        <v>26</v>
      </c>
      <c r="D77" s="92" t="s">
        <v>63</v>
      </c>
      <c r="E77" s="85" t="s">
        <v>76</v>
      </c>
      <c r="F77" s="70"/>
      <c r="G77" s="70"/>
      <c r="H77" s="70"/>
      <c r="I77" s="70"/>
    </row>
    <row r="78" spans="1:9" s="66" customFormat="1" ht="18" customHeight="1" x14ac:dyDescent="0.25">
      <c r="A78" s="4" t="s">
        <v>171</v>
      </c>
      <c r="B78" s="4" t="s">
        <v>172</v>
      </c>
      <c r="C78" s="4" t="s">
        <v>60</v>
      </c>
      <c r="D78" s="72" t="s">
        <v>63</v>
      </c>
      <c r="E78" s="72" t="s">
        <v>173</v>
      </c>
      <c r="F78" s="70"/>
      <c r="G78" s="70"/>
      <c r="H78" s="70"/>
      <c r="I78" s="70"/>
    </row>
    <row r="79" spans="1:9" s="66" customFormat="1" ht="18" customHeight="1" x14ac:dyDescent="0.25">
      <c r="A79" s="4" t="s">
        <v>174</v>
      </c>
      <c r="B79" s="4" t="s">
        <v>175</v>
      </c>
      <c r="C79" s="4" t="s">
        <v>60</v>
      </c>
      <c r="D79" s="72" t="s">
        <v>148</v>
      </c>
      <c r="E79" s="72" t="s">
        <v>173</v>
      </c>
      <c r="F79" s="70"/>
      <c r="G79" s="70"/>
      <c r="H79" s="70"/>
      <c r="I79" s="70"/>
    </row>
    <row r="80" spans="1:9" s="66" customFormat="1" ht="18" customHeight="1" x14ac:dyDescent="0.25">
      <c r="A80" s="4" t="s">
        <v>177</v>
      </c>
      <c r="B80" s="4" t="s">
        <v>178</v>
      </c>
      <c r="C80" s="4" t="s">
        <v>162</v>
      </c>
      <c r="D80" s="72" t="s">
        <v>148</v>
      </c>
      <c r="E80" s="72" t="s">
        <v>73</v>
      </c>
      <c r="F80" s="70"/>
      <c r="G80" s="70"/>
      <c r="H80" s="70"/>
      <c r="I80" s="70"/>
    </row>
    <row r="81" spans="1:36" ht="18" customHeight="1" x14ac:dyDescent="0.25">
      <c r="A81" s="4" t="s">
        <v>182</v>
      </c>
      <c r="B81" s="4" t="s">
        <v>10</v>
      </c>
      <c r="C81" s="4" t="s">
        <v>10</v>
      </c>
      <c r="D81" s="72" t="s">
        <v>63</v>
      </c>
      <c r="E81" s="72" t="s">
        <v>173</v>
      </c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</row>
    <row r="82" spans="1:36" ht="18" customHeight="1" x14ac:dyDescent="0.25">
      <c r="A82" s="4" t="s">
        <v>183</v>
      </c>
      <c r="B82" s="4" t="s">
        <v>184</v>
      </c>
      <c r="C82" s="4" t="s">
        <v>10</v>
      </c>
      <c r="D82" s="72" t="s">
        <v>63</v>
      </c>
      <c r="E82" s="72" t="s">
        <v>173</v>
      </c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</row>
    <row r="83" spans="1:36" ht="18" customHeight="1" x14ac:dyDescent="0.25">
      <c r="A83" s="4" t="s">
        <v>185</v>
      </c>
      <c r="B83" s="4" t="s">
        <v>186</v>
      </c>
      <c r="C83" s="4" t="s">
        <v>10</v>
      </c>
      <c r="D83" s="72" t="s">
        <v>63</v>
      </c>
      <c r="E83" s="72" t="s">
        <v>173</v>
      </c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</row>
    <row r="84" spans="1:36" ht="18" customHeight="1" x14ac:dyDescent="0.25">
      <c r="A84" s="4" t="s">
        <v>187</v>
      </c>
      <c r="B84" s="4" t="s">
        <v>188</v>
      </c>
      <c r="C84" s="4" t="s">
        <v>10</v>
      </c>
      <c r="D84" s="72" t="s">
        <v>63</v>
      </c>
      <c r="E84" s="72" t="s">
        <v>173</v>
      </c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</row>
    <row r="85" spans="1:36" ht="18" customHeight="1" x14ac:dyDescent="0.25">
      <c r="A85" s="4" t="s">
        <v>189</v>
      </c>
      <c r="B85" s="4" t="s">
        <v>10</v>
      </c>
      <c r="C85" s="4" t="s">
        <v>10</v>
      </c>
      <c r="D85" s="72" t="s">
        <v>63</v>
      </c>
      <c r="E85" s="72" t="s">
        <v>173</v>
      </c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</row>
    <row r="86" spans="1:36" ht="18" customHeight="1" x14ac:dyDescent="0.25">
      <c r="A86" s="4" t="s">
        <v>190</v>
      </c>
      <c r="B86" s="4" t="s">
        <v>10</v>
      </c>
      <c r="C86" s="4" t="s">
        <v>10</v>
      </c>
      <c r="D86" s="72" t="s">
        <v>63</v>
      </c>
      <c r="E86" s="72" t="s">
        <v>173</v>
      </c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</row>
    <row r="87" spans="1:36" s="66" customFormat="1" ht="18" customHeight="1" x14ac:dyDescent="0.25">
      <c r="A87" s="4" t="s">
        <v>191</v>
      </c>
      <c r="B87" s="4" t="s">
        <v>192</v>
      </c>
      <c r="C87" s="4" t="s">
        <v>162</v>
      </c>
      <c r="D87" s="72" t="s">
        <v>63</v>
      </c>
      <c r="E87" s="72" t="s">
        <v>173</v>
      </c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</row>
    <row r="88" spans="1:36" ht="18" customHeight="1" x14ac:dyDescent="0.25">
      <c r="A88" s="4" t="s">
        <v>193</v>
      </c>
      <c r="B88" s="4" t="s">
        <v>10</v>
      </c>
      <c r="C88" s="4" t="s">
        <v>10</v>
      </c>
      <c r="D88" s="72" t="s">
        <v>63</v>
      </c>
      <c r="E88" s="72" t="s">
        <v>173</v>
      </c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</row>
    <row r="89" spans="1:36" ht="18" customHeight="1" x14ac:dyDescent="0.25">
      <c r="A89" s="4" t="s">
        <v>194</v>
      </c>
      <c r="B89" s="4" t="s">
        <v>10</v>
      </c>
      <c r="C89" s="4" t="s">
        <v>10</v>
      </c>
      <c r="D89" s="72" t="s">
        <v>63</v>
      </c>
      <c r="E89" s="72" t="s">
        <v>173</v>
      </c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</row>
    <row r="90" spans="1:36" ht="18" customHeight="1" x14ac:dyDescent="0.25">
      <c r="A90" s="4" t="s">
        <v>195</v>
      </c>
      <c r="B90" s="4" t="s">
        <v>10</v>
      </c>
      <c r="C90" s="4" t="s">
        <v>10</v>
      </c>
      <c r="D90" s="72" t="s">
        <v>63</v>
      </c>
      <c r="E90" s="72" t="s">
        <v>173</v>
      </c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</row>
    <row r="91" spans="1:36" s="66" customFormat="1" ht="18" customHeight="1" x14ac:dyDescent="0.25">
      <c r="A91" s="4" t="s">
        <v>196</v>
      </c>
      <c r="B91" s="4" t="s">
        <v>26</v>
      </c>
      <c r="C91" s="4" t="s">
        <v>26</v>
      </c>
      <c r="D91" s="72" t="s">
        <v>167</v>
      </c>
      <c r="E91" s="73" t="s">
        <v>66</v>
      </c>
      <c r="F91" s="70"/>
      <c r="G91" s="70"/>
      <c r="H91" s="70"/>
      <c r="I91" s="70"/>
    </row>
    <row r="92" spans="1:36" s="66" customFormat="1" ht="18" customHeight="1" x14ac:dyDescent="0.25">
      <c r="A92" s="4" t="s">
        <v>212</v>
      </c>
      <c r="B92" s="4" t="s">
        <v>264</v>
      </c>
      <c r="C92" s="4" t="s">
        <v>10</v>
      </c>
      <c r="D92" s="72" t="s">
        <v>167</v>
      </c>
      <c r="E92" s="4" t="s">
        <v>69</v>
      </c>
      <c r="F92" s="70"/>
      <c r="G92" s="70"/>
      <c r="H92" s="70"/>
      <c r="I92" s="70"/>
    </row>
    <row r="93" spans="1:36" s="66" customFormat="1" ht="18" customHeight="1" x14ac:dyDescent="0.25">
      <c r="A93" s="4" t="s">
        <v>213</v>
      </c>
      <c r="B93" s="4" t="s">
        <v>233</v>
      </c>
      <c r="C93" s="4" t="s">
        <v>58</v>
      </c>
      <c r="D93" s="72" t="s">
        <v>167</v>
      </c>
      <c r="E93" s="4" t="s">
        <v>67</v>
      </c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</row>
    <row r="94" spans="1:36" s="66" customFormat="1" ht="18" customHeight="1" x14ac:dyDescent="0.25">
      <c r="A94" s="4" t="s">
        <v>214</v>
      </c>
      <c r="B94" s="4" t="s">
        <v>234</v>
      </c>
      <c r="C94" s="4" t="s">
        <v>59</v>
      </c>
      <c r="D94" s="72" t="s">
        <v>167</v>
      </c>
      <c r="E94" s="4" t="s">
        <v>69</v>
      </c>
      <c r="F94" s="70"/>
      <c r="G94" s="70"/>
      <c r="H94" s="70"/>
      <c r="I94" s="70"/>
    </row>
    <row r="95" spans="1:36" s="66" customFormat="1" ht="18" customHeight="1" x14ac:dyDescent="0.25">
      <c r="A95" s="4" t="s">
        <v>236</v>
      </c>
      <c r="B95" s="4" t="s">
        <v>235</v>
      </c>
      <c r="C95" s="4" t="s">
        <v>58</v>
      </c>
      <c r="D95" s="72" t="s">
        <v>167</v>
      </c>
      <c r="E95" s="4" t="s">
        <v>69</v>
      </c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</row>
    <row r="96" spans="1:36" s="66" customFormat="1" ht="18" customHeight="1" x14ac:dyDescent="0.25">
      <c r="A96" s="4" t="s">
        <v>215</v>
      </c>
      <c r="B96" s="4" t="s">
        <v>239</v>
      </c>
      <c r="C96" s="4" t="s">
        <v>61</v>
      </c>
      <c r="D96" s="72" t="s">
        <v>167</v>
      </c>
      <c r="E96" s="4" t="s">
        <v>69</v>
      </c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</row>
    <row r="97" spans="1:36" s="66" customFormat="1" ht="18" customHeight="1" x14ac:dyDescent="0.25">
      <c r="A97" s="4" t="s">
        <v>237</v>
      </c>
      <c r="B97" s="4" t="s">
        <v>240</v>
      </c>
      <c r="C97" s="4" t="s">
        <v>58</v>
      </c>
      <c r="D97" s="72" t="s">
        <v>167</v>
      </c>
      <c r="E97" s="4" t="s">
        <v>69</v>
      </c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</row>
    <row r="98" spans="1:36" s="66" customFormat="1" ht="18" customHeight="1" x14ac:dyDescent="0.25">
      <c r="A98" s="4" t="s">
        <v>238</v>
      </c>
      <c r="B98" s="4" t="s">
        <v>222</v>
      </c>
      <c r="C98" s="4" t="s">
        <v>58</v>
      </c>
      <c r="D98" s="72" t="s">
        <v>167</v>
      </c>
      <c r="E98" s="76" t="s">
        <v>75</v>
      </c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</row>
    <row r="99" spans="1:36" s="66" customFormat="1" ht="18" customHeight="1" x14ac:dyDescent="0.25">
      <c r="A99" s="4" t="s">
        <v>241</v>
      </c>
      <c r="B99" s="4" t="s">
        <v>242</v>
      </c>
      <c r="C99" s="4" t="s">
        <v>58</v>
      </c>
      <c r="D99" s="72" t="s">
        <v>167</v>
      </c>
      <c r="E99" s="4" t="s">
        <v>69</v>
      </c>
      <c r="F99" s="70"/>
      <c r="G99" s="70"/>
      <c r="H99" s="70"/>
      <c r="I99" s="70"/>
    </row>
    <row r="100" spans="1:36" s="66" customFormat="1" ht="18" customHeight="1" x14ac:dyDescent="0.25">
      <c r="A100" s="4" t="s">
        <v>202</v>
      </c>
      <c r="B100" s="4" t="s">
        <v>26</v>
      </c>
      <c r="C100" s="4" t="s">
        <v>26</v>
      </c>
      <c r="D100" s="72" t="s">
        <v>167</v>
      </c>
      <c r="E100" s="76" t="s">
        <v>75</v>
      </c>
      <c r="F100" s="70"/>
      <c r="G100" s="70"/>
      <c r="H100" s="70"/>
      <c r="I100" s="70"/>
    </row>
    <row r="101" spans="1:36" s="66" customFormat="1" ht="18" customHeight="1" x14ac:dyDescent="0.25">
      <c r="A101" s="4" t="s">
        <v>197</v>
      </c>
      <c r="B101" s="4" t="s">
        <v>255</v>
      </c>
      <c r="C101" s="4"/>
      <c r="D101" s="72" t="s">
        <v>167</v>
      </c>
      <c r="E101" s="73" t="s">
        <v>66</v>
      </c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</row>
    <row r="102" spans="1:36" s="66" customFormat="1" ht="18" customHeight="1" thickBot="1" x14ac:dyDescent="0.3">
      <c r="A102" s="4" t="s">
        <v>198</v>
      </c>
      <c r="B102" s="4" t="s">
        <v>252</v>
      </c>
      <c r="C102" s="4" t="s">
        <v>59</v>
      </c>
      <c r="D102" s="72" t="s">
        <v>167</v>
      </c>
      <c r="E102" s="4" t="s">
        <v>69</v>
      </c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</row>
    <row r="103" spans="1:36" s="66" customFormat="1" ht="18" customHeight="1" thickTop="1" thickBot="1" x14ac:dyDescent="0.3">
      <c r="A103" s="4" t="s">
        <v>199</v>
      </c>
      <c r="B103" s="4" t="s">
        <v>244</v>
      </c>
      <c r="C103" s="4" t="s">
        <v>61</v>
      </c>
      <c r="D103" s="72" t="s">
        <v>63</v>
      </c>
      <c r="E103" s="85" t="s">
        <v>68</v>
      </c>
      <c r="F103" s="70"/>
      <c r="G103" s="70"/>
      <c r="H103" s="70"/>
      <c r="I103" s="70"/>
    </row>
    <row r="104" spans="1:36" s="66" customFormat="1" ht="18" customHeight="1" thickTop="1" thickBot="1" x14ac:dyDescent="0.3">
      <c r="A104" s="4" t="s">
        <v>200</v>
      </c>
      <c r="B104" s="4" t="s">
        <v>223</v>
      </c>
      <c r="C104" s="4" t="s">
        <v>26</v>
      </c>
      <c r="D104" s="72" t="s">
        <v>167</v>
      </c>
      <c r="E104" s="85" t="s">
        <v>68</v>
      </c>
      <c r="F104" s="70"/>
      <c r="G104" s="70"/>
      <c r="H104" s="70"/>
      <c r="I104" s="70"/>
    </row>
    <row r="105" spans="1:36" s="66" customFormat="1" ht="18" customHeight="1" thickTop="1" thickBot="1" x14ac:dyDescent="0.3">
      <c r="A105" s="4" t="s">
        <v>201</v>
      </c>
      <c r="B105" s="4" t="s">
        <v>248</v>
      </c>
      <c r="C105" s="4" t="s">
        <v>61</v>
      </c>
      <c r="D105" s="72" t="s">
        <v>167</v>
      </c>
      <c r="E105" s="85" t="s">
        <v>68</v>
      </c>
      <c r="F105" s="70"/>
      <c r="G105" s="70"/>
      <c r="H105" s="70"/>
      <c r="I105" s="70"/>
    </row>
    <row r="106" spans="1:36" s="66" customFormat="1" ht="18" customHeight="1" thickTop="1" x14ac:dyDescent="0.25">
      <c r="A106" s="4" t="s">
        <v>245</v>
      </c>
      <c r="B106" s="4" t="s">
        <v>243</v>
      </c>
      <c r="C106" s="4" t="s">
        <v>57</v>
      </c>
      <c r="D106" s="72" t="s">
        <v>148</v>
      </c>
      <c r="E106" s="85" t="s">
        <v>68</v>
      </c>
      <c r="F106" s="70"/>
      <c r="G106" s="70"/>
      <c r="H106" s="70"/>
      <c r="I106" s="70"/>
    </row>
    <row r="107" spans="1:36" s="66" customFormat="1" ht="18" customHeight="1" x14ac:dyDescent="0.25">
      <c r="A107" s="4" t="s">
        <v>216</v>
      </c>
      <c r="B107" s="4" t="s">
        <v>217</v>
      </c>
      <c r="C107" s="4" t="s">
        <v>61</v>
      </c>
      <c r="D107" s="72" t="s">
        <v>167</v>
      </c>
      <c r="E107" s="76" t="s">
        <v>75</v>
      </c>
      <c r="F107" s="70"/>
      <c r="G107" s="70"/>
      <c r="H107" s="70"/>
      <c r="I107" s="70"/>
    </row>
    <row r="108" spans="1:36" s="66" customFormat="1" ht="18" customHeight="1" x14ac:dyDescent="0.25">
      <c r="A108" s="4" t="s">
        <v>203</v>
      </c>
      <c r="B108" s="4" t="s">
        <v>258</v>
      </c>
      <c r="C108" s="4" t="s">
        <v>26</v>
      </c>
      <c r="D108" s="72" t="s">
        <v>167</v>
      </c>
      <c r="E108" s="4" t="s">
        <v>67</v>
      </c>
      <c r="F108" s="70"/>
      <c r="G108" s="70"/>
      <c r="H108" s="70"/>
      <c r="I108" s="70"/>
    </row>
    <row r="109" spans="1:36" s="66" customFormat="1" ht="18" customHeight="1" x14ac:dyDescent="0.25">
      <c r="A109" s="4" t="s">
        <v>204</v>
      </c>
      <c r="B109" s="4" t="s">
        <v>180</v>
      </c>
      <c r="C109" s="4" t="s">
        <v>61</v>
      </c>
      <c r="D109" s="72" t="s">
        <v>167</v>
      </c>
      <c r="E109" s="93" t="s">
        <v>75</v>
      </c>
      <c r="F109" s="70"/>
      <c r="G109" s="70"/>
      <c r="H109" s="70"/>
      <c r="I109" s="70"/>
    </row>
    <row r="110" spans="1:36" s="66" customFormat="1" ht="18" customHeight="1" x14ac:dyDescent="0.25">
      <c r="A110" s="4" t="s">
        <v>205</v>
      </c>
      <c r="B110" s="4" t="s">
        <v>218</v>
      </c>
      <c r="C110" s="4" t="s">
        <v>58</v>
      </c>
      <c r="D110" s="72" t="s">
        <v>167</v>
      </c>
      <c r="E110" s="93" t="s">
        <v>75</v>
      </c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</row>
    <row r="111" spans="1:36" s="66" customFormat="1" ht="18" customHeight="1" x14ac:dyDescent="0.25">
      <c r="A111" s="4" t="s">
        <v>227</v>
      </c>
      <c r="B111" s="4" t="s">
        <v>226</v>
      </c>
      <c r="C111" s="4" t="s">
        <v>10</v>
      </c>
      <c r="D111" s="72" t="s">
        <v>167</v>
      </c>
      <c r="E111" s="93" t="s">
        <v>75</v>
      </c>
      <c r="F111" s="70"/>
      <c r="G111" s="70"/>
      <c r="H111" s="70"/>
      <c r="I111" s="70"/>
    </row>
    <row r="112" spans="1:36" s="66" customFormat="1" ht="18" customHeight="1" x14ac:dyDescent="0.25">
      <c r="A112" s="4" t="s">
        <v>206</v>
      </c>
      <c r="B112" s="4" t="s">
        <v>251</v>
      </c>
      <c r="C112" s="4" t="s">
        <v>26</v>
      </c>
      <c r="D112" s="72" t="s">
        <v>63</v>
      </c>
      <c r="E112" s="4" t="s">
        <v>74</v>
      </c>
      <c r="F112" s="70"/>
      <c r="G112" s="70"/>
      <c r="H112" s="70"/>
      <c r="I112" s="70"/>
    </row>
    <row r="113" spans="1:36" s="66" customFormat="1" ht="18" customHeight="1" x14ac:dyDescent="0.25">
      <c r="A113" s="4" t="s">
        <v>249</v>
      </c>
      <c r="B113" s="4" t="s">
        <v>250</v>
      </c>
      <c r="C113" s="4" t="s">
        <v>61</v>
      </c>
      <c r="D113" s="72" t="s">
        <v>148</v>
      </c>
      <c r="E113" s="82" t="s">
        <v>74</v>
      </c>
      <c r="F113" s="70"/>
      <c r="G113" s="70"/>
      <c r="H113" s="70"/>
      <c r="I113" s="70"/>
    </row>
    <row r="114" spans="1:36" s="66" customFormat="1" ht="18" customHeight="1" x14ac:dyDescent="0.25">
      <c r="A114" s="4" t="s">
        <v>207</v>
      </c>
      <c r="B114" s="4" t="s">
        <v>267</v>
      </c>
      <c r="C114" s="4" t="s">
        <v>59</v>
      </c>
      <c r="D114" s="72" t="s">
        <v>167</v>
      </c>
      <c r="E114" s="82" t="s">
        <v>74</v>
      </c>
      <c r="F114" s="70"/>
      <c r="G114" s="70"/>
      <c r="H114" s="70"/>
      <c r="I114" s="70"/>
    </row>
    <row r="115" spans="1:36" s="66" customFormat="1" ht="18" customHeight="1" x14ac:dyDescent="0.25">
      <c r="A115" s="4" t="s">
        <v>208</v>
      </c>
      <c r="B115" s="70" t="s">
        <v>266</v>
      </c>
      <c r="C115" s="4" t="s">
        <v>59</v>
      </c>
      <c r="D115" s="72" t="s">
        <v>167</v>
      </c>
      <c r="E115" s="82" t="s">
        <v>74</v>
      </c>
      <c r="F115" s="70"/>
      <c r="G115" s="70"/>
      <c r="H115" s="70"/>
      <c r="I115" s="70"/>
    </row>
    <row r="116" spans="1:36" s="66" customFormat="1" ht="18" customHeight="1" x14ac:dyDescent="0.25">
      <c r="A116" s="4" t="s">
        <v>209</v>
      </c>
      <c r="B116" s="4" t="s">
        <v>253</v>
      </c>
      <c r="C116" s="4" t="s">
        <v>61</v>
      </c>
      <c r="D116" s="72" t="s">
        <v>63</v>
      </c>
      <c r="E116" s="82" t="s">
        <v>74</v>
      </c>
      <c r="F116" s="70"/>
      <c r="G116" s="70"/>
      <c r="H116" s="70"/>
      <c r="I116" s="70"/>
    </row>
    <row r="117" spans="1:36" s="66" customFormat="1" ht="18" customHeight="1" x14ac:dyDescent="0.25">
      <c r="A117" s="4" t="s">
        <v>210</v>
      </c>
      <c r="B117" s="4" t="s">
        <v>162</v>
      </c>
      <c r="C117" s="4" t="s">
        <v>162</v>
      </c>
      <c r="D117" s="72" t="s">
        <v>167</v>
      </c>
      <c r="E117" s="82" t="s">
        <v>74</v>
      </c>
      <c r="F117" s="70"/>
      <c r="G117" s="70"/>
      <c r="H117" s="70"/>
      <c r="I117" s="70"/>
    </row>
    <row r="118" spans="1:36" s="66" customFormat="1" ht="18" customHeight="1" x14ac:dyDescent="0.25">
      <c r="A118" s="4" t="s">
        <v>211</v>
      </c>
      <c r="B118" s="4" t="s">
        <v>254</v>
      </c>
      <c r="C118" s="4" t="s">
        <v>26</v>
      </c>
      <c r="D118" s="72" t="s">
        <v>63</v>
      </c>
      <c r="E118" s="82" t="s">
        <v>74</v>
      </c>
      <c r="F118" s="70"/>
      <c r="G118" s="70"/>
      <c r="H118" s="70"/>
      <c r="I118" s="70"/>
    </row>
    <row r="119" spans="1:36" s="66" customFormat="1" ht="18" customHeight="1" x14ac:dyDescent="0.25">
      <c r="A119" s="4" t="s">
        <v>219</v>
      </c>
      <c r="B119" s="4" t="s">
        <v>220</v>
      </c>
      <c r="C119" s="4" t="s">
        <v>58</v>
      </c>
      <c r="D119" s="72" t="s">
        <v>167</v>
      </c>
      <c r="E119" s="93" t="s">
        <v>75</v>
      </c>
      <c r="F119" s="70"/>
      <c r="G119" s="70"/>
      <c r="H119" s="70"/>
      <c r="I119" s="70"/>
    </row>
    <row r="120" spans="1:36" s="66" customFormat="1" ht="18" customHeight="1" x14ac:dyDescent="0.25">
      <c r="A120" s="4" t="s">
        <v>221</v>
      </c>
      <c r="B120" s="4" t="s">
        <v>222</v>
      </c>
      <c r="C120" s="4" t="s">
        <v>58</v>
      </c>
      <c r="D120" s="72" t="s">
        <v>167</v>
      </c>
      <c r="E120" s="93" t="s">
        <v>75</v>
      </c>
      <c r="F120" s="70"/>
      <c r="G120" s="70"/>
      <c r="H120" s="70"/>
      <c r="I120" s="70"/>
    </row>
    <row r="121" spans="1:36" s="66" customFormat="1" ht="18" customHeight="1" x14ac:dyDescent="0.25">
      <c r="A121" s="4" t="s">
        <v>224</v>
      </c>
      <c r="B121" s="4" t="s">
        <v>225</v>
      </c>
      <c r="C121" s="4" t="s">
        <v>60</v>
      </c>
      <c r="D121" s="72" t="s">
        <v>148</v>
      </c>
      <c r="E121" s="93" t="s">
        <v>75</v>
      </c>
      <c r="F121" s="70"/>
      <c r="G121" s="70"/>
      <c r="H121" s="70"/>
      <c r="I121" s="70"/>
    </row>
    <row r="122" spans="1:36" s="66" customFormat="1" ht="18" customHeight="1" x14ac:dyDescent="0.25">
      <c r="A122" s="4" t="s">
        <v>228</v>
      </c>
      <c r="B122" s="4" t="s">
        <v>229</v>
      </c>
      <c r="C122" s="4" t="s">
        <v>26</v>
      </c>
      <c r="D122" s="72" t="s">
        <v>167</v>
      </c>
      <c r="E122" s="93" t="s">
        <v>75</v>
      </c>
      <c r="F122" s="70"/>
      <c r="G122" s="70"/>
      <c r="H122" s="70"/>
      <c r="I122" s="70"/>
    </row>
    <row r="123" spans="1:36" s="66" customFormat="1" ht="18" customHeight="1" thickBot="1" x14ac:dyDescent="0.3">
      <c r="A123" s="94" t="s">
        <v>230</v>
      </c>
      <c r="B123" s="94" t="s">
        <v>262</v>
      </c>
      <c r="C123" s="4" t="s">
        <v>57</v>
      </c>
      <c r="D123" s="72" t="s">
        <v>167</v>
      </c>
      <c r="E123" s="75" t="s">
        <v>73</v>
      </c>
      <c r="F123" s="70"/>
      <c r="G123" s="70"/>
      <c r="H123" s="70"/>
      <c r="I123" s="70"/>
    </row>
    <row r="124" spans="1:36" s="66" customFormat="1" ht="18" customHeight="1" thickTop="1" thickBot="1" x14ac:dyDescent="0.3">
      <c r="A124" s="4" t="s">
        <v>231</v>
      </c>
      <c r="B124" s="4" t="s">
        <v>246</v>
      </c>
      <c r="C124" s="4" t="s">
        <v>26</v>
      </c>
      <c r="D124" s="72" t="s">
        <v>167</v>
      </c>
      <c r="E124" s="75" t="s">
        <v>73</v>
      </c>
      <c r="F124" s="70"/>
      <c r="G124" s="70"/>
      <c r="H124" s="70"/>
      <c r="I124" s="70"/>
    </row>
    <row r="125" spans="1:36" s="66" customFormat="1" ht="18" customHeight="1" thickTop="1" x14ac:dyDescent="0.25">
      <c r="A125" s="4" t="s">
        <v>232</v>
      </c>
      <c r="B125" s="4" t="s">
        <v>247</v>
      </c>
      <c r="C125" s="4" t="s">
        <v>56</v>
      </c>
      <c r="D125" s="72" t="s">
        <v>167</v>
      </c>
      <c r="E125" s="4" t="s">
        <v>67</v>
      </c>
      <c r="F125" s="70"/>
      <c r="G125" s="70"/>
      <c r="H125" s="70"/>
      <c r="I125" s="70"/>
    </row>
    <row r="126" spans="1:36" s="66" customFormat="1" ht="18" customHeight="1" x14ac:dyDescent="0.25">
      <c r="A126" s="4" t="s">
        <v>256</v>
      </c>
      <c r="B126" s="4" t="s">
        <v>257</v>
      </c>
      <c r="C126" s="4" t="s">
        <v>58</v>
      </c>
      <c r="D126" s="72" t="s">
        <v>167</v>
      </c>
      <c r="E126" s="72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</row>
    <row r="127" spans="1:36" s="66" customFormat="1" ht="18" customHeight="1" x14ac:dyDescent="0.25">
      <c r="A127" s="4" t="s">
        <v>265</v>
      </c>
      <c r="B127" s="4" t="s">
        <v>259</v>
      </c>
      <c r="C127" s="4" t="s">
        <v>10</v>
      </c>
      <c r="D127" s="72"/>
      <c r="E127" s="72"/>
      <c r="F127" s="70"/>
      <c r="G127" s="70"/>
      <c r="H127" s="70"/>
      <c r="I127" s="70"/>
    </row>
    <row r="128" spans="1:36" s="66" customFormat="1" ht="18" customHeight="1" x14ac:dyDescent="0.25">
      <c r="A128" s="4" t="s">
        <v>260</v>
      </c>
      <c r="B128" s="4" t="s">
        <v>261</v>
      </c>
      <c r="C128" s="4" t="s">
        <v>60</v>
      </c>
      <c r="D128" s="72" t="s">
        <v>167</v>
      </c>
      <c r="E128" s="72"/>
      <c r="F128" s="70"/>
      <c r="G128" s="70"/>
      <c r="H128" s="70"/>
      <c r="I128" s="70"/>
    </row>
  </sheetData>
  <autoFilter ref="A5:E128" xr:uid="{5D119ADA-47A0-4F4F-B3E6-6EE217F4607F}"/>
  <dataValidations count="1">
    <dataValidation type="list" allowBlank="1" showInputMessage="1" showErrorMessage="1" sqref="D6:D128" xr:uid="{68184933-3F06-476D-AC70-8315A99D1B95}">
      <formula1>EQUIPE4</formula1>
    </dataValidation>
  </dataValidation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DB3E-F52C-478B-873E-DE2F34CD51CB}">
  <dimension ref="A1:M82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50.7109375" style="1" customWidth="1"/>
    <col min="2" max="2" width="53.85546875" customWidth="1"/>
    <col min="3" max="3" width="50.140625" customWidth="1"/>
    <col min="4" max="4" width="10.42578125" customWidth="1"/>
    <col min="13" max="13" width="8" hidden="1" customWidth="1"/>
  </cols>
  <sheetData>
    <row r="1" spans="1:13" x14ac:dyDescent="0.25">
      <c r="M1">
        <v>1</v>
      </c>
    </row>
    <row r="2" spans="1:13" x14ac:dyDescent="0.25">
      <c r="M2">
        <v>2</v>
      </c>
    </row>
    <row r="3" spans="1:13" ht="18" customHeight="1" x14ac:dyDescent="0.35">
      <c r="B3" s="25"/>
      <c r="D3" s="11">
        <v>22</v>
      </c>
      <c r="M3">
        <v>3</v>
      </c>
    </row>
    <row r="4" spans="1:13" x14ac:dyDescent="0.25">
      <c r="M4">
        <v>5</v>
      </c>
    </row>
    <row r="5" spans="1:13" ht="45.75" customHeight="1" x14ac:dyDescent="0.25">
      <c r="A5" s="13" t="s">
        <v>63</v>
      </c>
      <c r="B5" s="13" t="s">
        <v>148</v>
      </c>
      <c r="C5" s="13" t="s">
        <v>64</v>
      </c>
      <c r="M5">
        <v>6</v>
      </c>
    </row>
    <row r="6" spans="1:13" x14ac:dyDescent="0.25">
      <c r="A6" s="12" t="str" cm="1">
        <f t="array" ref="A6:A58">+_xlfn._xlws.FILTER('Employés  '!A:A,'Employés  '!D:D="MATIN")</f>
        <v>FADEL Imad</v>
      </c>
      <c r="B6" s="12" t="str" cm="1">
        <f t="array" ref="B6:B38">+_xlfn._xlws.FILTER('Employés  '!A:A,'Employés  '!D:D="SOIR")</f>
        <v>DENNI AZIZ</v>
      </c>
      <c r="C6" s="12" t="e" cm="1" vm="1">
        <f t="array" ref="C6">_xlfn._xlws.FILTER('Employés  '!A:A,'Employés  '!D:D="NUIT")</f>
        <v>#VALUE!</v>
      </c>
      <c r="M6">
        <v>7</v>
      </c>
    </row>
    <row r="7" spans="1:13" x14ac:dyDescent="0.25">
      <c r="A7" t="str">
        <v>WAKRIM MOHAMED</v>
      </c>
      <c r="B7" t="str">
        <v>EL BAKRI REDOUANE</v>
      </c>
      <c r="M7">
        <v>8</v>
      </c>
    </row>
    <row r="8" spans="1:13" x14ac:dyDescent="0.25">
      <c r="A8" t="str">
        <v>MOUDAKIR  SMAIN</v>
      </c>
      <c r="B8" t="str">
        <v>JAMILI MOHAMED</v>
      </c>
      <c r="M8">
        <v>9</v>
      </c>
    </row>
    <row r="9" spans="1:13" x14ac:dyDescent="0.25">
      <c r="A9" t="str">
        <v>FEROUAL ABDELALI</v>
      </c>
      <c r="B9" t="str">
        <v>SOFIANE MOURAD</v>
      </c>
      <c r="M9">
        <v>10</v>
      </c>
    </row>
    <row r="10" spans="1:13" x14ac:dyDescent="0.25">
      <c r="A10" t="str">
        <v>AZLAG HASSAN</v>
      </c>
      <c r="B10" t="str">
        <v>KARNBAH MOHAMED</v>
      </c>
      <c r="M10">
        <v>11</v>
      </c>
    </row>
    <row r="11" spans="1:13" x14ac:dyDescent="0.25">
      <c r="A11" t="str">
        <v>NASSOUR  ABDELILAH</v>
      </c>
      <c r="B11" t="str">
        <v>ELHANSALI ABDERRAZAK</v>
      </c>
      <c r="M11">
        <v>12</v>
      </c>
    </row>
    <row r="12" spans="1:13" x14ac:dyDescent="0.25">
      <c r="A12" t="str">
        <v>TABARANE  YOUNES</v>
      </c>
      <c r="B12" t="str">
        <v>LABNI MUSTAPHA</v>
      </c>
      <c r="M12">
        <v>13</v>
      </c>
    </row>
    <row r="13" spans="1:13" x14ac:dyDescent="0.25">
      <c r="A13" t="str">
        <v>OUAJHI YOUNESS</v>
      </c>
      <c r="B13" t="str">
        <v>IJABA MOUNA</v>
      </c>
      <c r="M13">
        <v>14</v>
      </c>
    </row>
    <row r="14" spans="1:13" x14ac:dyDescent="0.25">
      <c r="A14" t="str">
        <v>OUAHID ADIL</v>
      </c>
      <c r="B14" t="str">
        <v>ADDAHR AYOUB</v>
      </c>
      <c r="M14">
        <v>15</v>
      </c>
    </row>
    <row r="15" spans="1:13" x14ac:dyDescent="0.25">
      <c r="A15" t="str">
        <v>SAIS BRAHIM</v>
      </c>
      <c r="B15" t="str">
        <v>EZZINE ABDELALI</v>
      </c>
      <c r="M15">
        <v>16</v>
      </c>
    </row>
    <row r="16" spans="1:13" x14ac:dyDescent="0.25">
      <c r="A16" t="str">
        <v>ENNAJOUI CHAKIR</v>
      </c>
      <c r="B16" t="str">
        <v>MAAGLI SAID</v>
      </c>
      <c r="M16">
        <v>17</v>
      </c>
    </row>
    <row r="17" spans="1:13" x14ac:dyDescent="0.25">
      <c r="A17" t="str">
        <v>KTRI Abdelkarim</v>
      </c>
      <c r="B17" t="str">
        <v>NADI TARIK</v>
      </c>
      <c r="M17">
        <v>18</v>
      </c>
    </row>
    <row r="18" spans="1:13" x14ac:dyDescent="0.25">
      <c r="A18" t="str">
        <v>JAWAD ABDERRAHIM</v>
      </c>
      <c r="B18" t="str">
        <v>FARID  MOHAMMED</v>
      </c>
      <c r="M18">
        <v>19</v>
      </c>
    </row>
    <row r="19" spans="1:13" x14ac:dyDescent="0.25">
      <c r="A19" t="str">
        <v>TALEB Rachid</v>
      </c>
      <c r="B19" t="str">
        <v>AOUZANE Hamid</v>
      </c>
      <c r="M19">
        <v>20</v>
      </c>
    </row>
    <row r="20" spans="1:13" x14ac:dyDescent="0.25">
      <c r="A20" t="str">
        <v>FELLAKI ABDELKARIM</v>
      </c>
      <c r="B20" t="str">
        <v>ERRADI ABDELWAHED</v>
      </c>
      <c r="M20">
        <v>21</v>
      </c>
    </row>
    <row r="21" spans="1:13" ht="15" customHeight="1" x14ac:dyDescent="0.25">
      <c r="A21" t="str">
        <v>BACHRI HICHAM</v>
      </c>
      <c r="B21" t="str">
        <v>ESSOLAMI HASSAN</v>
      </c>
      <c r="M21">
        <v>22</v>
      </c>
    </row>
    <row r="22" spans="1:13" x14ac:dyDescent="0.25">
      <c r="A22" t="str">
        <v>BENNANNA DRISS</v>
      </c>
      <c r="B22" t="str">
        <v>MARBOUH MUSTAPHA</v>
      </c>
      <c r="M22">
        <v>23</v>
      </c>
    </row>
    <row r="23" spans="1:13" x14ac:dyDescent="0.25">
      <c r="A23" t="str">
        <v>AMIZ REDOUANE</v>
      </c>
      <c r="B23" t="str">
        <v>FADEL SAMI</v>
      </c>
      <c r="M23">
        <v>24</v>
      </c>
    </row>
    <row r="24" spans="1:13" x14ac:dyDescent="0.25">
      <c r="A24" t="str">
        <v>HAILI MOHAMED</v>
      </c>
      <c r="B24" t="str">
        <v>SAHRANI MOHAMED</v>
      </c>
      <c r="M24">
        <v>25</v>
      </c>
    </row>
    <row r="25" spans="1:13" x14ac:dyDescent="0.25">
      <c r="A25" t="str">
        <v>HIRMANE FOUAD</v>
      </c>
      <c r="B25" t="str">
        <v>HOUAFI AHMED</v>
      </c>
      <c r="M25">
        <v>26</v>
      </c>
    </row>
    <row r="26" spans="1:13" x14ac:dyDescent="0.25">
      <c r="A26" t="str">
        <v>BAHROUNE MOHAMED</v>
      </c>
      <c r="B26" t="str">
        <v>HADDOU Fatima Zahra</v>
      </c>
      <c r="M26">
        <v>27</v>
      </c>
    </row>
    <row r="27" spans="1:13" x14ac:dyDescent="0.25">
      <c r="A27" t="str">
        <v>AZOUZI AHMED</v>
      </c>
      <c r="B27" t="str">
        <v>SAADOUNI SAID</v>
      </c>
      <c r="M27">
        <v>28</v>
      </c>
    </row>
    <row r="28" spans="1:13" x14ac:dyDescent="0.25">
      <c r="A28" t="str">
        <v>KOBBI AHMED</v>
      </c>
      <c r="B28" t="str">
        <v>NABBAR ABID</v>
      </c>
      <c r="M28">
        <v>29</v>
      </c>
    </row>
    <row r="29" spans="1:13" x14ac:dyDescent="0.25">
      <c r="A29" t="str">
        <v>KAITER RACHID</v>
      </c>
      <c r="B29" t="str">
        <v>FAIZ SAID</v>
      </c>
      <c r="M29">
        <v>30</v>
      </c>
    </row>
    <row r="30" spans="1:13" x14ac:dyDescent="0.25">
      <c r="A30" t="str">
        <v>JMOUHI MOHAMED</v>
      </c>
      <c r="B30" t="str">
        <v>SABIR NOUREDDINE</v>
      </c>
      <c r="M30">
        <v>31</v>
      </c>
    </row>
    <row r="31" spans="1:13" x14ac:dyDescent="0.25">
      <c r="A31" t="str">
        <v>GHOUFRAOUI MUSTAPHA</v>
      </c>
      <c r="B31" t="str">
        <v>MISSAOUI ABDELMAJID</v>
      </c>
      <c r="M31">
        <v>32</v>
      </c>
    </row>
    <row r="32" spans="1:13" x14ac:dyDescent="0.25">
      <c r="A32" t="str">
        <v>ALSAFI KAMAL</v>
      </c>
      <c r="B32" t="str">
        <v>FETHERRAHIM BADR</v>
      </c>
      <c r="M32">
        <v>33</v>
      </c>
    </row>
    <row r="33" spans="1:13" x14ac:dyDescent="0.25">
      <c r="A33" t="str">
        <v>ESSAIDI MOHAMED</v>
      </c>
      <c r="B33" t="str">
        <v>MAHMAH AYOUB</v>
      </c>
      <c r="M33">
        <v>34</v>
      </c>
    </row>
    <row r="34" spans="1:13" x14ac:dyDescent="0.25">
      <c r="A34" t="str">
        <v>FADEL ABDELLATIF</v>
      </c>
      <c r="B34" t="str">
        <v>SKOURI ABDELAZIZ</v>
      </c>
      <c r="M34">
        <v>35</v>
      </c>
    </row>
    <row r="35" spans="1:13" x14ac:dyDescent="0.25">
      <c r="A35" t="str">
        <v>BOUABID JAWAD</v>
      </c>
      <c r="B35" t="str">
        <v>ORANGE MOHAMMED</v>
      </c>
      <c r="M35">
        <v>36</v>
      </c>
    </row>
    <row r="36" spans="1:13" ht="15" customHeight="1" x14ac:dyDescent="0.25">
      <c r="A36" t="str">
        <v>KARBAL BOUCHAIB</v>
      </c>
      <c r="B36" t="str">
        <v xml:space="preserve">AYADI MOSTAFA </v>
      </c>
      <c r="M36">
        <v>37</v>
      </c>
    </row>
    <row r="37" spans="1:13" x14ac:dyDescent="0.25">
      <c r="A37" t="str">
        <v>BELYAKOUT AZIZ</v>
      </c>
      <c r="B37" t="str">
        <v>CHAMITI Salah Eddine</v>
      </c>
      <c r="M37">
        <v>38</v>
      </c>
    </row>
    <row r="38" spans="1:13" x14ac:dyDescent="0.25">
      <c r="A38" t="str">
        <v>TIJAHI ASMAA</v>
      </c>
      <c r="B38" t="str">
        <v xml:space="preserve">LAHRICHI HAMZA </v>
      </c>
      <c r="M38">
        <v>39</v>
      </c>
    </row>
    <row r="39" spans="1:13" x14ac:dyDescent="0.25">
      <c r="A39" t="str">
        <v>ANWAR AZIZ</v>
      </c>
      <c r="M39">
        <v>40</v>
      </c>
    </row>
    <row r="40" spans="1:13" x14ac:dyDescent="0.25">
      <c r="A40" t="str">
        <v>RJAFALLAH LARBI</v>
      </c>
      <c r="M40">
        <v>41</v>
      </c>
    </row>
    <row r="41" spans="1:13" x14ac:dyDescent="0.25">
      <c r="A41" t="str">
        <v>EL AZAR  ABDELJALIL</v>
      </c>
      <c r="M41">
        <v>42</v>
      </c>
    </row>
    <row r="42" spans="1:13" x14ac:dyDescent="0.25">
      <c r="A42" t="str">
        <v>ERRAJI ELMEHDI</v>
      </c>
      <c r="M42">
        <v>43</v>
      </c>
    </row>
    <row r="43" spans="1:13" ht="17.25" customHeight="1" x14ac:dyDescent="0.25">
      <c r="A43" t="str">
        <v>SAIS TARIK</v>
      </c>
      <c r="M43">
        <v>45</v>
      </c>
    </row>
    <row r="44" spans="1:13" ht="16.5" customHeight="1" x14ac:dyDescent="0.25">
      <c r="A44" t="str">
        <v>DARWICH SAID</v>
      </c>
      <c r="M44">
        <v>46</v>
      </c>
    </row>
    <row r="45" spans="1:13" ht="16.5" customHeight="1" x14ac:dyDescent="0.25">
      <c r="A45" t="str">
        <v xml:space="preserve">AITBRAHIM SAID </v>
      </c>
      <c r="M45">
        <v>47</v>
      </c>
    </row>
    <row r="46" spans="1:13" ht="16.5" customHeight="1" x14ac:dyDescent="0.25">
      <c r="A46" t="str">
        <v>SOUAT MALIKA</v>
      </c>
      <c r="M46">
        <v>48</v>
      </c>
    </row>
    <row r="47" spans="1:13" ht="16.5" customHeight="1" x14ac:dyDescent="0.25">
      <c r="A47" t="str">
        <v>BROGI MINA</v>
      </c>
      <c r="M47">
        <v>49</v>
      </c>
    </row>
    <row r="48" spans="1:13" ht="16.5" customHeight="1" x14ac:dyDescent="0.25">
      <c r="A48" t="str">
        <v xml:space="preserve">MARHRAOUI SAADIA </v>
      </c>
      <c r="M48">
        <v>50</v>
      </c>
    </row>
    <row r="49" spans="1:13" ht="16.5" customHeight="1" x14ac:dyDescent="0.25">
      <c r="A49" t="str">
        <v xml:space="preserve">ARICHI SOUAD </v>
      </c>
      <c r="M49">
        <v>51</v>
      </c>
    </row>
    <row r="50" spans="1:13" ht="16.5" customHeight="1" x14ac:dyDescent="0.25">
      <c r="A50" t="str">
        <v xml:space="preserve">HOSNI KHADIJA </v>
      </c>
      <c r="M50">
        <v>52</v>
      </c>
    </row>
    <row r="51" spans="1:13" x14ac:dyDescent="0.25">
      <c r="A51" t="str">
        <v xml:space="preserve">RAFYA SAADIA </v>
      </c>
    </row>
    <row r="52" spans="1:13" x14ac:dyDescent="0.25">
      <c r="A52" t="str">
        <v>HMIMSY FATIMA</v>
      </c>
    </row>
    <row r="53" spans="1:13" x14ac:dyDescent="0.25">
      <c r="A53" t="str">
        <v xml:space="preserve">HABIBI MINA </v>
      </c>
    </row>
    <row r="54" spans="1:13" x14ac:dyDescent="0.25">
      <c r="A54" t="str">
        <v xml:space="preserve">HASSI NAIMA </v>
      </c>
    </row>
    <row r="55" spans="1:13" x14ac:dyDescent="0.25">
      <c r="A55" t="str">
        <v xml:space="preserve">SOUBAIR HANANE </v>
      </c>
    </row>
    <row r="56" spans="1:13" x14ac:dyDescent="0.25">
      <c r="A56" t="str">
        <v>LAHMIDI ABDELHAMID</v>
      </c>
    </row>
    <row r="57" spans="1:13" x14ac:dyDescent="0.25">
      <c r="A57" t="str">
        <v>ERRADOUANI KARIMA</v>
      </c>
    </row>
    <row r="58" spans="1:13" x14ac:dyDescent="0.25">
      <c r="A58" t="str">
        <v>BOUKADOM MOHAMED</v>
      </c>
    </row>
    <row r="59" spans="1:13" x14ac:dyDescent="0.25">
      <c r="A59"/>
    </row>
    <row r="60" spans="1:13" x14ac:dyDescent="0.25">
      <c r="A60"/>
    </row>
    <row r="61" spans="1:13" x14ac:dyDescent="0.25">
      <c r="A61"/>
    </row>
    <row r="62" spans="1:13" x14ac:dyDescent="0.25">
      <c r="A62"/>
    </row>
    <row r="63" spans="1:13" x14ac:dyDescent="0.25">
      <c r="A63"/>
    </row>
    <row r="64" spans="1:13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 s="5"/>
    </row>
  </sheetData>
  <phoneticPr fontId="7" type="noConversion"/>
  <dataValidations count="3">
    <dataValidation type="list" allowBlank="1" showInputMessage="1" showErrorMessage="1" sqref="C3" xr:uid="{2C15692D-7501-4AEB-9DC0-643790F1B856}">
      <formula1>EQUIPE2</formula1>
    </dataValidation>
    <dataValidation type="list" allowBlank="1" showInputMessage="1" showErrorMessage="1" sqref="E6" xr:uid="{C04825AA-F760-456A-AC1D-7A8C663558DE}">
      <formula1>EQUIPE</formula1>
    </dataValidation>
    <dataValidation type="list" allowBlank="1" showInputMessage="1" showErrorMessage="1" sqref="D3" xr:uid="{E5C43909-07BD-4C08-9C2A-A49189FFB9DA}">
      <formula1>WEEK</formula1>
    </dataValidation>
  </dataValidation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7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17.28515625" style="3" customWidth="1"/>
    <col min="2" max="2" width="10.42578125" customWidth="1"/>
    <col min="3" max="3" width="18.85546875" customWidth="1"/>
    <col min="4" max="5" width="11.42578125" customWidth="1"/>
    <col min="6" max="6" width="11.140625" customWidth="1"/>
    <col min="8" max="8" width="9.7109375" customWidth="1"/>
    <col min="9" max="9" width="17.85546875" customWidth="1"/>
  </cols>
  <sheetData>
    <row r="1" spans="1:15" ht="23.25" x14ac:dyDescent="0.35">
      <c r="A1" s="10" t="s">
        <v>0</v>
      </c>
      <c r="B1" s="10" t="s">
        <v>1</v>
      </c>
      <c r="C1" s="10" t="s">
        <v>2</v>
      </c>
      <c r="D1" s="10" t="s">
        <v>3</v>
      </c>
      <c r="E1" s="51"/>
    </row>
    <row r="2" spans="1:15" x14ac:dyDescent="0.25">
      <c r="A2" s="3" t="s">
        <v>56</v>
      </c>
      <c r="B2" s="3" t="s">
        <v>63</v>
      </c>
      <c r="C2" s="2">
        <f>COUNTIFS('Employés  '!C:C,A2,'Employés  '!D:D,B2)</f>
        <v>5</v>
      </c>
      <c r="D2" s="2">
        <f>ROUNDUP(C2 /15, 0)</f>
        <v>1</v>
      </c>
      <c r="E2" t="str">
        <f>IF(B2="MATIN", IF(C2&gt;14,"⚠️","✓"), "")</f>
        <v>✓</v>
      </c>
    </row>
    <row r="3" spans="1:15" x14ac:dyDescent="0.25">
      <c r="A3" s="3" t="s">
        <v>56</v>
      </c>
      <c r="B3" s="3" t="s">
        <v>148</v>
      </c>
      <c r="C3" s="2">
        <f>COUNTIFS('Employés  '!C:C,A3,'Employés  '!D:D,B3)</f>
        <v>1</v>
      </c>
      <c r="D3" s="2">
        <f t="shared" ref="D3:D24" si="0">ROUNDUP(C3 /15, 0)</f>
        <v>1</v>
      </c>
      <c r="E3" t="str">
        <f>IF(B3="SOIR", IF(C3&gt;14,"⚠️","✓"), "")</f>
        <v>✓</v>
      </c>
    </row>
    <row r="4" spans="1:15" x14ac:dyDescent="0.25">
      <c r="A4" s="3" t="s">
        <v>56</v>
      </c>
      <c r="B4" s="3" t="s">
        <v>64</v>
      </c>
      <c r="C4" s="2">
        <f>COUNTIFS('Employés  '!C:C,A4,'Employés  '!D:D,B4)</f>
        <v>0</v>
      </c>
      <c r="D4" s="2">
        <f t="shared" si="0"/>
        <v>0</v>
      </c>
      <c r="E4" t="str">
        <f>IF(B4="NUIT", IF(C4&gt;14,"⚠️","✓"), "")</f>
        <v>✓</v>
      </c>
    </row>
    <row r="5" spans="1:15" x14ac:dyDescent="0.25">
      <c r="A5" s="3" t="s">
        <v>26</v>
      </c>
      <c r="B5" s="3" t="s">
        <v>63</v>
      </c>
      <c r="C5" s="2">
        <f>COUNTIFS('Employés  '!C:C,A5,'Employés  '!D:D,B5)</f>
        <v>6</v>
      </c>
      <c r="D5" s="2">
        <f t="shared" si="0"/>
        <v>1</v>
      </c>
      <c r="E5" t="str">
        <f>IF(B5="MATIN", IF(C5&gt;14,"⚠️","✓"), "")</f>
        <v>✓</v>
      </c>
    </row>
    <row r="6" spans="1:15" x14ac:dyDescent="0.25">
      <c r="A6" s="3" t="s">
        <v>26</v>
      </c>
      <c r="B6" s="3" t="s">
        <v>148</v>
      </c>
      <c r="C6" s="2">
        <f>COUNTIFS('Employés  '!C:C,A6,'Employés  '!D:D,B6)</f>
        <v>5</v>
      </c>
      <c r="D6" s="2">
        <f t="shared" si="0"/>
        <v>1</v>
      </c>
      <c r="E6" t="str">
        <f>IF(B6="SOIR", IF(C6&gt;14,"⚠️","✓"), "")</f>
        <v>✓</v>
      </c>
    </row>
    <row r="7" spans="1:15" x14ac:dyDescent="0.25">
      <c r="A7" s="3" t="s">
        <v>26</v>
      </c>
      <c r="B7" s="3" t="s">
        <v>64</v>
      </c>
      <c r="C7" s="1">
        <f>COUNTIFS('Employés  '!C:C,A7,'Employés  '!D:D,B7)+COUNTIFS('Employés  '!C:C,A23,'Employés  '!D:D,B7)+COUNTIFS('Employés  '!C:C,A26,'Employés  '!D:D,B7)</f>
        <v>0</v>
      </c>
      <c r="D7" s="2">
        <f t="shared" si="0"/>
        <v>0</v>
      </c>
      <c r="E7" t="str">
        <f>IF(B7="NUIT", IF(C7&gt;14,"⚠️","✓"), "")</f>
        <v>✓</v>
      </c>
    </row>
    <row r="8" spans="1:15" x14ac:dyDescent="0.25">
      <c r="A8" s="3" t="s">
        <v>57</v>
      </c>
      <c r="B8" s="3" t="s">
        <v>63</v>
      </c>
      <c r="C8" s="2">
        <f>COUNTIFS('Employés  '!C:C,A8,'Employés  '!D:D,B8)</f>
        <v>5</v>
      </c>
      <c r="D8" s="2">
        <f t="shared" si="0"/>
        <v>1</v>
      </c>
      <c r="E8" t="str">
        <f>IF(B8="MATIN", IF(C8&gt;14,"⚠️","✓"), "")</f>
        <v>✓</v>
      </c>
    </row>
    <row r="9" spans="1:15" ht="18.75" x14ac:dyDescent="0.25">
      <c r="A9" s="3" t="s">
        <v>57</v>
      </c>
      <c r="B9" s="3" t="s">
        <v>148</v>
      </c>
      <c r="C9" s="2">
        <f>COUNTIFS('Employés  '!C:C,A9,'Employés  '!D:D,B9)</f>
        <v>5</v>
      </c>
      <c r="D9" s="2">
        <f t="shared" si="0"/>
        <v>1</v>
      </c>
      <c r="E9" t="str">
        <f>IF(B9="SOIR", IF(C9&gt;14,"⚠️","✓"), "")</f>
        <v>✓</v>
      </c>
      <c r="G9" s="50"/>
      <c r="K9" s="50"/>
      <c r="O9" s="50"/>
    </row>
    <row r="10" spans="1:15" x14ac:dyDescent="0.25">
      <c r="A10" s="3" t="s">
        <v>57</v>
      </c>
      <c r="B10" s="3" t="s">
        <v>64</v>
      </c>
      <c r="C10" s="2">
        <f>COUNTIFS('Employés  '!C:C,A10,'Employés  '!D:D,B10)</f>
        <v>0</v>
      </c>
      <c r="D10" s="2">
        <f t="shared" si="0"/>
        <v>0</v>
      </c>
      <c r="E10" t="str">
        <f>IF(B10="NUIT", IF(C10&gt;14,"⚠️","✓"), "")</f>
        <v>✓</v>
      </c>
    </row>
    <row r="11" spans="1:15" x14ac:dyDescent="0.25">
      <c r="A11" s="3" t="s">
        <v>58</v>
      </c>
      <c r="B11" s="3" t="s">
        <v>63</v>
      </c>
      <c r="C11" s="2">
        <f>COUNTIFS('Employés  '!C:C,A11,'Employés  '!D:D,B11)</f>
        <v>7</v>
      </c>
      <c r="D11" s="2">
        <f t="shared" si="0"/>
        <v>1</v>
      </c>
      <c r="E11" t="str">
        <f>IF(B11="MATIN", IF(C11&gt;14,"⚠️","✓"), "")</f>
        <v>✓</v>
      </c>
    </row>
    <row r="12" spans="1:15" x14ac:dyDescent="0.25">
      <c r="A12" s="3" t="s">
        <v>58</v>
      </c>
      <c r="B12" s="3" t="s">
        <v>148</v>
      </c>
      <c r="C12" s="2"/>
      <c r="D12" s="2"/>
    </row>
    <row r="13" spans="1:15" x14ac:dyDescent="0.25">
      <c r="A13" s="3" t="s">
        <v>58</v>
      </c>
      <c r="B13" s="3" t="s">
        <v>64</v>
      </c>
      <c r="C13" s="2"/>
      <c r="D13" s="2"/>
    </row>
    <row r="14" spans="1:15" x14ac:dyDescent="0.25">
      <c r="A14" s="4" t="s">
        <v>162</v>
      </c>
      <c r="B14" s="3" t="s">
        <v>63</v>
      </c>
      <c r="C14" s="2">
        <f>COUNTIFS('Employés  '!C:C,A14,'Employés  '!D:D,B14)</f>
        <v>3</v>
      </c>
      <c r="D14" s="2">
        <f t="shared" si="0"/>
        <v>1</v>
      </c>
      <c r="E14" t="str">
        <f>IF(B14="MATIN", IF(C14&gt;14,"⚠️","✓"), "")</f>
        <v>✓</v>
      </c>
    </row>
    <row r="15" spans="1:15" x14ac:dyDescent="0.25">
      <c r="A15" s="4" t="s">
        <v>162</v>
      </c>
      <c r="B15" s="3" t="s">
        <v>148</v>
      </c>
      <c r="C15" s="2">
        <f>COUNTIFS('Employés  '!C:C,A11,'Employés  '!D:D,B15)+COUNTIFS('Employés  '!C:C,A15,'Employés  '!D:D,B15)</f>
        <v>4</v>
      </c>
      <c r="D15" s="2">
        <f t="shared" si="0"/>
        <v>1</v>
      </c>
      <c r="E15" t="str">
        <f>IF(B15="SOIR", IF(C15&gt;14,"⚠️","✓"), "")</f>
        <v>✓</v>
      </c>
    </row>
    <row r="16" spans="1:15" x14ac:dyDescent="0.25">
      <c r="A16" s="4" t="s">
        <v>162</v>
      </c>
      <c r="B16" s="3" t="s">
        <v>64</v>
      </c>
      <c r="C16" s="2">
        <f>COUNTIFS('Employés  '!C:C,A16,'Employés  '!D:D,B16)</f>
        <v>0</v>
      </c>
      <c r="D16" s="2">
        <f t="shared" si="0"/>
        <v>0</v>
      </c>
      <c r="E16" t="str">
        <f>IF(B16="NUIT", IF(C16&gt;14,"⚠️","✓"), "")</f>
        <v>✓</v>
      </c>
    </row>
    <row r="17" spans="1:5" x14ac:dyDescent="0.25">
      <c r="A17" s="3" t="s">
        <v>10</v>
      </c>
      <c r="B17" s="3" t="s">
        <v>63</v>
      </c>
      <c r="C17" s="2">
        <f>COUNTIFS('Employés  '!C:C,A17,'Employés  '!D:D,B17)</f>
        <v>13</v>
      </c>
      <c r="D17" s="2">
        <f>ROUNDUP(C17 /20, 0)</f>
        <v>1</v>
      </c>
      <c r="E17" t="str">
        <f>IF(B17="MATIN", IF(C17&gt;20,"⚠️","✓"), "")</f>
        <v>✓</v>
      </c>
    </row>
    <row r="18" spans="1:5" x14ac:dyDescent="0.25">
      <c r="A18" s="3" t="s">
        <v>10</v>
      </c>
      <c r="B18" s="3" t="s">
        <v>148</v>
      </c>
      <c r="C18" s="2">
        <f>COUNTIFS('Employés  '!C:C,A18,'Employés  '!D:D,B18)</f>
        <v>1</v>
      </c>
      <c r="D18" s="2">
        <f t="shared" ref="D18:D19" si="1">ROUNDUP(C18 /20, 0)</f>
        <v>1</v>
      </c>
      <c r="E18" t="str">
        <f>IF(B18="SOIR", IF(C18&gt;14,"⚠️","✓"), "")</f>
        <v>✓</v>
      </c>
    </row>
    <row r="19" spans="1:5" x14ac:dyDescent="0.25">
      <c r="A19" s="3" t="s">
        <v>10</v>
      </c>
      <c r="B19" s="3" t="s">
        <v>64</v>
      </c>
      <c r="C19" s="2">
        <f>COUNTIFS('Employés  '!C:C,A19,'Employés  '!D:D,B19)</f>
        <v>0</v>
      </c>
      <c r="D19" s="2">
        <f t="shared" si="1"/>
        <v>0</v>
      </c>
      <c r="E19" t="str">
        <f>IF(B19="NUIT", IF(C19&gt;14,"⚠️","✓"), "")</f>
        <v>✓</v>
      </c>
    </row>
    <row r="20" spans="1:5" x14ac:dyDescent="0.25">
      <c r="A20" s="3" t="s">
        <v>59</v>
      </c>
      <c r="B20" s="3" t="s">
        <v>63</v>
      </c>
      <c r="C20" s="2">
        <f>COUNTIFS('Employés  '!C:C,A20,'Employés  '!D:D,B20)</f>
        <v>5</v>
      </c>
      <c r="D20" s="2">
        <f t="shared" si="0"/>
        <v>1</v>
      </c>
      <c r="E20" t="str">
        <f>IF(B20="MATIN", IF(C20&gt;14,"⚠️","✓"), "")</f>
        <v>✓</v>
      </c>
    </row>
    <row r="21" spans="1:5" x14ac:dyDescent="0.25">
      <c r="A21" s="3" t="s">
        <v>59</v>
      </c>
      <c r="B21" s="3" t="s">
        <v>148</v>
      </c>
      <c r="C21" s="2">
        <f>COUNTIFS('Employés  '!C:C,A21,'Employés  '!D:D,B21)</f>
        <v>4</v>
      </c>
      <c r="D21" s="2">
        <f t="shared" si="0"/>
        <v>1</v>
      </c>
      <c r="E21" t="str">
        <f>IF(B21="SOIR", IF(C21&gt;14,"⚠️","✓"), "")</f>
        <v>✓</v>
      </c>
    </row>
    <row r="22" spans="1:5" x14ac:dyDescent="0.25">
      <c r="A22" s="3" t="s">
        <v>59</v>
      </c>
      <c r="B22" s="3" t="s">
        <v>64</v>
      </c>
      <c r="C22" s="2">
        <f>COUNTIFS('Employés  '!C:C,A22,'Employés  '!D:D,B22)</f>
        <v>0</v>
      </c>
      <c r="D22" s="2">
        <f t="shared" si="0"/>
        <v>0</v>
      </c>
      <c r="E22" t="str">
        <f>IF(B22="NUIT", IF(C22&gt;14,"⚠️","✓"), "")</f>
        <v>✓</v>
      </c>
    </row>
    <row r="23" spans="1:5" x14ac:dyDescent="0.25">
      <c r="A23" s="3" t="s">
        <v>60</v>
      </c>
      <c r="B23" s="3" t="s">
        <v>63</v>
      </c>
      <c r="C23" s="2">
        <f>COUNTIFS('Employés  '!C:C,A23,'Employés  '!D:D,B23)</f>
        <v>4</v>
      </c>
      <c r="D23" s="2">
        <f t="shared" si="0"/>
        <v>1</v>
      </c>
      <c r="E23" t="str">
        <f>IF(B23="MATIN", IF(C23&gt;14,"⚠️","✓"), "")</f>
        <v>✓</v>
      </c>
    </row>
    <row r="24" spans="1:5" x14ac:dyDescent="0.25">
      <c r="A24" s="3" t="s">
        <v>60</v>
      </c>
      <c r="B24" s="3" t="s">
        <v>148</v>
      </c>
      <c r="C24" s="2">
        <f>COUNTIFS('Employés  '!C:C,A24,'Employés  '!D:D,B24)</f>
        <v>7</v>
      </c>
      <c r="D24" s="2">
        <f t="shared" si="0"/>
        <v>1</v>
      </c>
      <c r="E24" t="str">
        <f>IF(B24="SOIR", IF(C24&gt;14,"⚠️","✓"), "")</f>
        <v>✓</v>
      </c>
    </row>
    <row r="25" spans="1:5" x14ac:dyDescent="0.25">
      <c r="A25" s="3" t="s">
        <v>60</v>
      </c>
      <c r="B25" s="3" t="s">
        <v>64</v>
      </c>
      <c r="C25" s="2">
        <f>COUNTIFS('Employés  '!C:C,A25,'Employés  '!D:D,B25)</f>
        <v>0</v>
      </c>
      <c r="D25" s="2">
        <f t="shared" ref="D25:D28" si="2">ROUNDUP(C25 /15, 0)</f>
        <v>0</v>
      </c>
    </row>
    <row r="26" spans="1:5" x14ac:dyDescent="0.25">
      <c r="A26" s="3" t="s">
        <v>61</v>
      </c>
      <c r="B26" s="3" t="s">
        <v>63</v>
      </c>
      <c r="C26" s="2">
        <f>COUNTIFS('Employés  '!C:C,A26,'Employés  '!D:D,B26)</f>
        <v>5</v>
      </c>
      <c r="D26" s="2">
        <f t="shared" si="2"/>
        <v>1</v>
      </c>
      <c r="E26" t="str">
        <f>IF(B26="MATIN", IF(C26&gt;14,"⚠️","✓"), "")</f>
        <v>✓</v>
      </c>
    </row>
    <row r="27" spans="1:5" x14ac:dyDescent="0.25">
      <c r="A27" s="3" t="s">
        <v>61</v>
      </c>
      <c r="B27" s="3" t="s">
        <v>148</v>
      </c>
      <c r="C27" s="2">
        <f>COUNTIFS('Employés  '!C:C,A27,'Employés  '!D:D,B27)</f>
        <v>6</v>
      </c>
      <c r="D27" s="2">
        <f t="shared" si="2"/>
        <v>1</v>
      </c>
      <c r="E27" t="str">
        <f>IF(B27="SOIR", IF(C27&gt;14,"⚠️","✓"), "")</f>
        <v>✓</v>
      </c>
    </row>
    <row r="28" spans="1:5" x14ac:dyDescent="0.25">
      <c r="A28" s="3" t="s">
        <v>61</v>
      </c>
      <c r="B28" s="3" t="s">
        <v>64</v>
      </c>
      <c r="C28" s="2">
        <f>COUNTIFS('Employés  '!C:C,A28,'Employés  '!D:D,B28)</f>
        <v>0</v>
      </c>
      <c r="D28" s="2">
        <f t="shared" si="2"/>
        <v>0</v>
      </c>
    </row>
    <row r="29" spans="1:5" x14ac:dyDescent="0.25">
      <c r="A29"/>
    </row>
    <row r="30" spans="1:5" x14ac:dyDescent="0.25">
      <c r="A30"/>
    </row>
    <row r="31" spans="1:5" x14ac:dyDescent="0.25">
      <c r="A31"/>
    </row>
    <row r="32" spans="1:5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</sheetData>
  <autoFilter ref="A1:D27" xr:uid="{00000000-0001-0000-0200-000000000000}"/>
  <conditionalFormatting sqref="E2:E27">
    <cfRule type="expression" dxfId="1" priority="1">
      <formula>$C$2&gt;14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7D2D-2D57-4211-B3E5-4A5F0A22B2B7}">
  <dimension ref="A1:E739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17.28515625" style="3" customWidth="1"/>
    <col min="2" max="2" width="10.42578125" customWidth="1"/>
    <col min="3" max="3" width="18.85546875" customWidth="1"/>
    <col min="4" max="5" width="11.42578125" customWidth="1"/>
    <col min="6" max="6" width="11.140625" customWidth="1"/>
    <col min="8" max="8" width="9.7109375" customWidth="1"/>
    <col min="9" max="9" width="17.85546875" customWidth="1"/>
  </cols>
  <sheetData>
    <row r="1" spans="1:5" ht="23.25" x14ac:dyDescent="0.35">
      <c r="A1" s="10" t="s">
        <v>0</v>
      </c>
      <c r="B1" s="10" t="s">
        <v>1</v>
      </c>
      <c r="C1" s="10" t="s">
        <v>2</v>
      </c>
      <c r="D1" s="10" t="s">
        <v>3</v>
      </c>
      <c r="E1" s="51"/>
    </row>
    <row r="2" spans="1:5" x14ac:dyDescent="0.25">
      <c r="A2" s="3" t="s">
        <v>56</v>
      </c>
      <c r="B2" s="3" t="s">
        <v>179</v>
      </c>
      <c r="C2" s="2">
        <f>COUNTIFS('Employés  '!C:C,A2,'Employés  '!D:D,B2)</f>
        <v>0</v>
      </c>
      <c r="D2" s="2">
        <f>ROUNDUP(C2 /15, 0)</f>
        <v>0</v>
      </c>
      <c r="E2" t="str">
        <f>IF(B2="NORMAL", IF(C2&gt;14,"⚠️","✓"), "")</f>
        <v>✓</v>
      </c>
    </row>
    <row r="3" spans="1:5" x14ac:dyDescent="0.25">
      <c r="A3" s="3" t="s">
        <v>26</v>
      </c>
      <c r="B3" s="3" t="s">
        <v>179</v>
      </c>
      <c r="C3" s="1">
        <f>COUNTIFS('Employés  '!C:C,A3,'Employés  '!D:D,B3)+COUNTIFS('Employés  '!C:C,#REF!,'Employés  '!D:D,B3)+COUNTIFS('Employés  '!C:C,A10,'Employés  '!D:D,B3)</f>
        <v>0</v>
      </c>
      <c r="D3" s="2">
        <f t="shared" ref="D3:D10" si="0">ROUNDUP(C3 /15, 0)</f>
        <v>0</v>
      </c>
      <c r="E3" t="str">
        <f t="shared" ref="E3:E10" si="1">IF(B3="NORMAL", IF(C3&gt;14,"⚠️","✓"), "")</f>
        <v>✓</v>
      </c>
    </row>
    <row r="4" spans="1:5" x14ac:dyDescent="0.25">
      <c r="A4" s="3" t="s">
        <v>57</v>
      </c>
      <c r="B4" s="3" t="s">
        <v>179</v>
      </c>
      <c r="C4" s="2">
        <f>COUNTIFS('Employés  '!C:C,A4,'Employés  '!D:D,B4)</f>
        <v>0</v>
      </c>
      <c r="D4" s="2">
        <f t="shared" si="0"/>
        <v>0</v>
      </c>
      <c r="E4" t="str">
        <f t="shared" si="1"/>
        <v>✓</v>
      </c>
    </row>
    <row r="5" spans="1:5" x14ac:dyDescent="0.25">
      <c r="A5" s="3" t="s">
        <v>58</v>
      </c>
      <c r="B5" s="3" t="s">
        <v>179</v>
      </c>
      <c r="C5" s="2">
        <f>COUNTIFS('Employés  '!C:C,A5,'Employés  '!D:D,B5)</f>
        <v>0</v>
      </c>
      <c r="D5" s="2">
        <f t="shared" ref="D5" si="2">ROUNDUP(C5 /15, 0)</f>
        <v>0</v>
      </c>
      <c r="E5" t="str">
        <f t="shared" si="1"/>
        <v>✓</v>
      </c>
    </row>
    <row r="6" spans="1:5" x14ac:dyDescent="0.25">
      <c r="A6" s="4" t="s">
        <v>162</v>
      </c>
      <c r="B6" s="3" t="s">
        <v>179</v>
      </c>
      <c r="C6" s="2">
        <f>COUNTIFS('Employés  '!C:C,A6,'Employés  '!D:D,B6)</f>
        <v>0</v>
      </c>
      <c r="D6" s="2">
        <f t="shared" si="0"/>
        <v>0</v>
      </c>
      <c r="E6" t="str">
        <f t="shared" si="1"/>
        <v>✓</v>
      </c>
    </row>
    <row r="7" spans="1:5" x14ac:dyDescent="0.25">
      <c r="A7" s="3" t="s">
        <v>10</v>
      </c>
      <c r="B7" s="3" t="s">
        <v>179</v>
      </c>
      <c r="C7" s="2">
        <f>COUNTIFS('Employés  '!C:C,A7,'Employés  '!D:D,B7)</f>
        <v>0</v>
      </c>
      <c r="D7" s="2">
        <f t="shared" ref="D7" si="3">ROUNDUP(C7 /20, 0)</f>
        <v>0</v>
      </c>
      <c r="E7" t="str">
        <f t="shared" si="1"/>
        <v>✓</v>
      </c>
    </row>
    <row r="8" spans="1:5" x14ac:dyDescent="0.25">
      <c r="A8" s="3" t="s">
        <v>59</v>
      </c>
      <c r="B8" s="3" t="s">
        <v>179</v>
      </c>
      <c r="C8" s="2">
        <f>COUNTIFS('Employés  '!C:C,A8,'Employés  '!D:D,B8)</f>
        <v>0</v>
      </c>
      <c r="D8" s="2">
        <f t="shared" si="0"/>
        <v>0</v>
      </c>
      <c r="E8" t="str">
        <f t="shared" si="1"/>
        <v>✓</v>
      </c>
    </row>
    <row r="9" spans="1:5" x14ac:dyDescent="0.25">
      <c r="A9" s="3" t="s">
        <v>60</v>
      </c>
      <c r="B9" s="3" t="s">
        <v>179</v>
      </c>
      <c r="C9" s="2">
        <f>COUNTIFS('Employés  '!C:C,A9,'Employés  '!D:D,B9)</f>
        <v>0</v>
      </c>
      <c r="D9" s="2">
        <f t="shared" si="0"/>
        <v>0</v>
      </c>
      <c r="E9" t="str">
        <f t="shared" si="1"/>
        <v>✓</v>
      </c>
    </row>
    <row r="10" spans="1:5" x14ac:dyDescent="0.25">
      <c r="A10" s="3" t="s">
        <v>61</v>
      </c>
      <c r="B10" s="3" t="s">
        <v>179</v>
      </c>
      <c r="C10" s="2">
        <f>COUNTIFS('Employés  '!C:C,A10,'Employés  '!D:D,B10)</f>
        <v>0</v>
      </c>
      <c r="D10" s="2">
        <f t="shared" si="0"/>
        <v>0</v>
      </c>
      <c r="E10" t="str">
        <f t="shared" si="1"/>
        <v>✓</v>
      </c>
    </row>
    <row r="11" spans="1:5" x14ac:dyDescent="0.25">
      <c r="A11"/>
    </row>
    <row r="12" spans="1:5" x14ac:dyDescent="0.25">
      <c r="A12"/>
    </row>
    <row r="13" spans="1:5" x14ac:dyDescent="0.25">
      <c r="A13"/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</sheetData>
  <autoFilter ref="A1:D10" xr:uid="{00000000-0001-0000-0200-000000000000}"/>
  <conditionalFormatting sqref="E2:E10">
    <cfRule type="expression" dxfId="0" priority="1">
      <formula>$C$2&gt;14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8930-0324-40E7-94F0-22E1C74125E0}">
  <sheetPr>
    <tabColor rgb="FFC00000"/>
  </sheetPr>
  <dimension ref="A2:O66"/>
  <sheetViews>
    <sheetView showGridLines="0" topLeftCell="A13" zoomScale="69" zoomScaleNormal="69" workbookViewId="0">
      <selection activeCell="E47" sqref="E47"/>
    </sheetView>
  </sheetViews>
  <sheetFormatPr baseColWidth="10" defaultRowHeight="15" x14ac:dyDescent="0.25"/>
  <cols>
    <col min="1" max="1" width="8.5703125" customWidth="1"/>
    <col min="2" max="2" width="26.140625" customWidth="1"/>
    <col min="3" max="3" width="1.140625" customWidth="1"/>
    <col min="4" max="4" width="57" customWidth="1"/>
    <col min="5" max="5" width="29.28515625" customWidth="1"/>
    <col min="6" max="6" width="2.140625" customWidth="1"/>
    <col min="7" max="7" width="27.7109375" customWidth="1"/>
    <col min="8" max="8" width="1.7109375" customWidth="1"/>
    <col min="9" max="9" width="51.7109375" customWidth="1"/>
    <col min="10" max="10" width="20.7109375" customWidth="1"/>
    <col min="11" max="11" width="2.140625" customWidth="1"/>
    <col min="12" max="12" width="39.28515625" customWidth="1"/>
    <col min="13" max="13" width="1.7109375" customWidth="1"/>
    <col min="14" max="14" width="68.5703125" customWidth="1"/>
    <col min="15" max="15" width="20.85546875" customWidth="1"/>
    <col min="16" max="16" width="1.7109375" customWidth="1"/>
    <col min="17" max="17" width="24.7109375" customWidth="1"/>
    <col min="18" max="18" width="1.7109375" customWidth="1"/>
    <col min="19" max="19" width="47" customWidth="1"/>
    <col min="20" max="20" width="1.7109375" customWidth="1"/>
    <col min="21" max="21" width="29.28515625" customWidth="1"/>
    <col min="22" max="22" width="1.7109375" customWidth="1"/>
    <col min="23" max="23" width="27.7109375" customWidth="1"/>
    <col min="24" max="24" width="1.7109375" customWidth="1"/>
    <col min="25" max="25" width="31.28515625" customWidth="1"/>
    <col min="26" max="26" width="2" customWidth="1"/>
    <col min="27" max="27" width="31.28515625" customWidth="1"/>
  </cols>
  <sheetData>
    <row r="2" spans="1:15" ht="37.5" customHeight="1" x14ac:dyDescent="0.25">
      <c r="B2" s="48">
        <f ca="1">_xlfn.ISOWEEKNUM(TODAY())</f>
        <v>28</v>
      </c>
      <c r="D2" s="45" t="str">
        <f ca="1">"Semaine " &amp; B2 +1 &amp; " : du " &amp; TEXT(DATE(2025,1,1) - MOD(WEEKDAY(DATE(2025,1,1),2)-1,7) + (B2)*7, "jj/mm/aaaa") &amp; " au " &amp; TEXT(DATE(2025,1,1) - MOD(WEEKDAY(DATE(2025,1,1),2)-1,7) + (B2)*7 + 5, "jj/mm/aaaa")</f>
        <v>Semaine 29 : du 14/07/2025 au 19/07/2025</v>
      </c>
    </row>
    <row r="4" spans="1:15" ht="44.25" customHeight="1" x14ac:dyDescent="0.25">
      <c r="G4" s="29"/>
      <c r="I4" s="46">
        <f>SUMIF(Résultat!B:B,"MATIN",Résultat!D:D)</f>
        <v>9</v>
      </c>
      <c r="J4" s="46"/>
      <c r="L4" s="47"/>
    </row>
    <row r="5" spans="1:15" ht="8.25" customHeight="1" x14ac:dyDescent="0.25"/>
    <row r="6" spans="1:15" ht="8.25" customHeight="1" x14ac:dyDescent="0.25"/>
    <row r="7" spans="1:15" ht="15" customHeight="1" x14ac:dyDescent="0.25">
      <c r="A7" s="14"/>
    </row>
    <row r="8" spans="1:15" ht="48" customHeight="1" x14ac:dyDescent="0.25">
      <c r="A8" s="14"/>
      <c r="B8" s="112" t="s">
        <v>56</v>
      </c>
      <c r="C8" s="113"/>
      <c r="D8" s="113"/>
      <c r="E8" s="52" t="str">
        <f>+Résultat!E2</f>
        <v>✓</v>
      </c>
      <c r="G8" s="114" t="s">
        <v>26</v>
      </c>
      <c r="H8" s="115"/>
      <c r="I8" s="115"/>
      <c r="J8" s="54" t="str">
        <f>+Résultat!E5</f>
        <v>✓</v>
      </c>
      <c r="L8" s="98" t="s">
        <v>57</v>
      </c>
      <c r="M8" s="99"/>
      <c r="N8" s="99"/>
      <c r="O8" s="61" t="str">
        <f>+Résultat!E8</f>
        <v>✓</v>
      </c>
    </row>
    <row r="9" spans="1:15" ht="22.5" customHeight="1" thickBot="1" x14ac:dyDescent="0.3">
      <c r="A9" s="14"/>
    </row>
    <row r="10" spans="1:15" ht="15.75" customHeight="1" thickTop="1" x14ac:dyDescent="0.25">
      <c r="A10" s="14"/>
      <c r="B10" s="19"/>
      <c r="C10" s="17"/>
      <c r="D10" s="21"/>
      <c r="G10" s="19"/>
      <c r="I10" s="21"/>
      <c r="J10" s="53"/>
      <c r="L10" s="26"/>
      <c r="N10" s="15"/>
    </row>
    <row r="11" spans="1:15" ht="18" customHeight="1" x14ac:dyDescent="0.25">
      <c r="A11" s="14"/>
      <c r="B11" s="30" t="str" cm="1">
        <f t="array" ref="B11:B15">IFERROR(_xlfn._xlws.FILTER('Employés  '!$A:$A, ('Employés  '!$C:$C="DERB SULTAN")*('Employés  '!$D:$D="MATIN")),"")</f>
        <v>FEROUAL ABDELALI</v>
      </c>
      <c r="C11" s="18"/>
      <c r="D11" s="38" t="str" cm="1">
        <f t="array" ref="D11:D15">IFERROR(_xlfn._xlws.FILTER('Employés  '!$B:$B, ('Employés  '!$C:$C="DERB SULTAN")*('Employés  '!$D:$D="MATIN")),"")</f>
        <v>PANORAMIQUE CAFE EL ANDALOUS</v>
      </c>
      <c r="E11" s="18"/>
      <c r="F11" s="18"/>
      <c r="G11" s="30" t="str" cm="1">
        <f t="array" ref="G11:G16">IFERROR(_xlfn._xlws.FILTER('Employés  '!$A:$A, ('Employés  '!$C:$C="SIDI MOUMEN")*('Employés  '!$D:$D="MATIN")),"")</f>
        <v>NASSOUR  ABDELILAH</v>
      </c>
      <c r="I11" s="38" t="str" cm="1">
        <f t="array" ref="I11:I16">IFERROR(_xlfn._xlws.FILTER('Employés  '!$B:$B, ('Employés  '!$C:$C="SIDI MOUMEN")*('Employés  '!$D:$D="MATIN")),"")</f>
        <v>JAWHARA SIDI MOUMEN PH ALAA</v>
      </c>
      <c r="J11" s="18"/>
      <c r="L11" s="30" t="str" cm="1">
        <f t="array" ref="L11:L15">IFERROR(_xlfn._xlws.FILTER('Employés  '!$A:$A, ('Employés  '!$C:$C="RAHMA")*('Employés  '!$D:$D="MATIN")),"")</f>
        <v>FADEL Imad</v>
      </c>
      <c r="N11" s="38" t="str" cm="1">
        <f t="array" ref="N11:N15">IFERROR(_xlfn._xlws.FILTER('Employés  '!$B:$B, ('Employés  '!$C:$C="RAHMA")*('Employés  '!$D:$D="MATIN")),"")</f>
        <v>DAR BOUAAZA ESPACE AL MOHIT 1 ESSAADA</v>
      </c>
      <c r="O11" s="18"/>
    </row>
    <row r="12" spans="1:15" ht="18" customHeight="1" x14ac:dyDescent="0.25">
      <c r="A12" s="14"/>
      <c r="B12" s="30" t="str">
        <v>KAITER RACHID</v>
      </c>
      <c r="C12" s="18"/>
      <c r="D12" s="38" t="str">
        <v>BD MOULAY DRISS (2MARS)</v>
      </c>
      <c r="E12" s="18"/>
      <c r="F12" s="18"/>
      <c r="G12" s="30" t="str">
        <v>SAIS BRAHIM</v>
      </c>
      <c r="I12" s="22" t="str">
        <v>ABIR, SIDI MOUMEN</v>
      </c>
      <c r="J12" s="53"/>
      <c r="L12" s="30" t="str">
        <v>ENNAJOUI CHAKIR</v>
      </c>
      <c r="N12" s="22" t="str">
        <v xml:space="preserve"> FARAH EL SALLAM, </v>
      </c>
      <c r="O12" s="53"/>
    </row>
    <row r="13" spans="1:15" ht="18" customHeight="1" x14ac:dyDescent="0.25">
      <c r="A13" s="14"/>
      <c r="B13" s="30" t="str">
        <v>JMOUHI MOHAMED</v>
      </c>
      <c r="C13" s="18"/>
      <c r="D13" s="38" t="str">
        <v>DERB SULTAN BD BOUCHAIB DOUKALI PH EL NASER</v>
      </c>
      <c r="E13" s="18"/>
      <c r="F13" s="18"/>
      <c r="G13" s="30" t="str">
        <v>KOBBI AHMED</v>
      </c>
      <c r="I13" s="22" t="str">
        <v>SIDI MOUMEN 3OTOUR</v>
      </c>
      <c r="J13" s="53"/>
      <c r="L13" s="30" t="str">
        <v>KTRI Abdelkarim</v>
      </c>
      <c r="N13" s="22" t="str">
        <v>ERRAHMA, ECOLE OTHMANE IBN AFFAN</v>
      </c>
      <c r="O13" s="53"/>
    </row>
    <row r="14" spans="1:15" ht="18" customHeight="1" x14ac:dyDescent="0.25">
      <c r="A14" s="14"/>
      <c r="B14" s="30" t="str">
        <v>ALSAFI KAMAL</v>
      </c>
      <c r="C14" s="18"/>
      <c r="D14" s="38" t="str">
        <v>BD ZERKTOUNI ROND POINT D'EUROPE</v>
      </c>
      <c r="E14" s="18"/>
      <c r="F14" s="18"/>
      <c r="G14" s="30" t="str">
        <v>SAIS TARIK</v>
      </c>
      <c r="I14" s="22" t="str">
        <v>ABIR, SIDI MOUMEN</v>
      </c>
      <c r="J14" s="53"/>
      <c r="L14" s="30" t="str">
        <v>JAWAD ABDERRAHIM</v>
      </c>
      <c r="N14" s="22" t="str">
        <v>COMMUNE LISASFA ROUTE ELJADIDA</v>
      </c>
      <c r="O14" s="53"/>
    </row>
    <row r="15" spans="1:15" ht="18" customHeight="1" x14ac:dyDescent="0.25">
      <c r="A15" s="14"/>
      <c r="B15" s="30" t="str">
        <v>FADEL ABDELLATIF</v>
      </c>
      <c r="C15" s="17"/>
      <c r="D15" s="38" t="str">
        <v>BOULEVARD DE LA CROIX PH CASABLANCA</v>
      </c>
      <c r="E15" s="1"/>
      <c r="F15" s="1"/>
      <c r="G15" s="30" t="str">
        <v>LAHMIDI ABDELHAMID</v>
      </c>
      <c r="I15" s="22" t="str">
        <v>ABIR SIDI MOUMEN</v>
      </c>
      <c r="J15" s="53"/>
      <c r="L15" s="30" t="str">
        <v>BELYAKOUT AZIZ</v>
      </c>
      <c r="N15" s="22" t="str">
        <v>COMMUNE LISASFA ROUTE ELJADIDA</v>
      </c>
      <c r="O15" s="53"/>
    </row>
    <row r="16" spans="1:15" ht="18" customHeight="1" x14ac:dyDescent="0.25">
      <c r="A16" s="14"/>
      <c r="B16" s="30"/>
      <c r="C16" s="17"/>
      <c r="D16" s="38"/>
      <c r="E16" s="1"/>
      <c r="F16" s="1"/>
      <c r="G16" s="30" t="str">
        <v>BOUKADOM MOHAMED</v>
      </c>
      <c r="I16" s="22" t="str">
        <v>SIDI MOUMANE</v>
      </c>
      <c r="J16" s="53"/>
      <c r="L16" s="30"/>
      <c r="N16" s="22"/>
      <c r="O16" s="53"/>
    </row>
    <row r="17" spans="1:15" ht="18" customHeight="1" x14ac:dyDescent="0.25">
      <c r="A17" s="14"/>
      <c r="B17" s="30"/>
      <c r="C17" s="17"/>
      <c r="D17" s="38"/>
      <c r="E17" s="1"/>
      <c r="F17" s="1"/>
      <c r="G17" s="30"/>
      <c r="I17" s="22"/>
      <c r="J17" s="53"/>
      <c r="L17" s="30"/>
      <c r="N17" s="22"/>
      <c r="O17" s="53"/>
    </row>
    <row r="18" spans="1:15" ht="18" customHeight="1" x14ac:dyDescent="0.25">
      <c r="A18" s="14"/>
      <c r="B18" s="30"/>
      <c r="C18" s="17"/>
      <c r="D18" s="38"/>
      <c r="E18" s="1"/>
      <c r="F18" s="1"/>
      <c r="G18" s="30"/>
      <c r="I18" s="22"/>
      <c r="J18" s="53"/>
      <c r="L18" s="30"/>
      <c r="N18" s="22"/>
      <c r="O18" s="53"/>
    </row>
    <row r="19" spans="1:15" ht="18" customHeight="1" x14ac:dyDescent="0.25">
      <c r="A19" s="14"/>
      <c r="B19" s="30"/>
      <c r="C19" s="17"/>
      <c r="D19" s="38"/>
      <c r="E19" s="1"/>
      <c r="F19" s="1"/>
      <c r="G19" s="30"/>
      <c r="I19" s="22"/>
      <c r="J19" s="53"/>
      <c r="L19" s="30"/>
      <c r="N19" s="22"/>
      <c r="O19" s="53"/>
    </row>
    <row r="20" spans="1:15" ht="18" customHeight="1" x14ac:dyDescent="0.25">
      <c r="A20" s="14"/>
      <c r="B20" s="30"/>
      <c r="C20" s="17"/>
      <c r="D20" s="38"/>
      <c r="E20" s="1"/>
      <c r="F20" s="1"/>
      <c r="G20" s="30"/>
      <c r="I20" s="22"/>
      <c r="J20" s="53"/>
      <c r="L20" s="30"/>
      <c r="N20" s="22"/>
      <c r="O20" s="53"/>
    </row>
    <row r="21" spans="1:15" ht="18" customHeight="1" x14ac:dyDescent="0.25">
      <c r="A21" s="14"/>
      <c r="B21" s="30"/>
      <c r="C21" s="17"/>
      <c r="D21" s="38"/>
      <c r="E21" s="1"/>
      <c r="F21" s="1"/>
      <c r="G21" s="30"/>
      <c r="I21" s="22"/>
      <c r="J21" s="53"/>
      <c r="L21" s="30"/>
      <c r="N21" s="22"/>
      <c r="O21" s="53"/>
    </row>
    <row r="22" spans="1:15" ht="15" customHeight="1" thickBot="1" x14ac:dyDescent="0.3">
      <c r="A22" s="14"/>
      <c r="B22" s="20"/>
      <c r="C22" s="17"/>
      <c r="D22" s="23"/>
      <c r="E22" s="1"/>
      <c r="F22" s="1"/>
      <c r="G22" s="20"/>
      <c r="I22" s="23"/>
      <c r="J22" s="53"/>
      <c r="L22" s="28"/>
      <c r="N22" s="16"/>
    </row>
    <row r="23" spans="1:15" ht="15.75" customHeight="1" thickTop="1" x14ac:dyDescent="0.25">
      <c r="A23" s="14"/>
      <c r="B23" s="1"/>
      <c r="C23" s="1"/>
      <c r="D23" s="1"/>
      <c r="E23" s="1"/>
      <c r="F23" s="1"/>
    </row>
    <row r="25" spans="1:15" ht="48" customHeight="1" x14ac:dyDescent="0.25">
      <c r="B25" s="100" t="s">
        <v>58</v>
      </c>
      <c r="C25" s="101"/>
      <c r="D25" s="101"/>
      <c r="E25" s="55" t="str">
        <f>+Résultat!E11</f>
        <v>✓</v>
      </c>
      <c r="G25" s="102" t="s">
        <v>162</v>
      </c>
      <c r="H25" s="103"/>
      <c r="I25" s="103"/>
      <c r="J25" s="56" t="str">
        <f>+Résultat!E14</f>
        <v>✓</v>
      </c>
      <c r="L25" s="104" t="s">
        <v>10</v>
      </c>
      <c r="M25" s="105"/>
      <c r="N25" s="105"/>
      <c r="O25" s="57" t="str">
        <f>+Résultat!E17</f>
        <v>✓</v>
      </c>
    </row>
    <row r="26" spans="1:15" ht="22.5" customHeight="1" thickBot="1" x14ac:dyDescent="0.3"/>
    <row r="27" spans="1:15" ht="15.75" thickTop="1" x14ac:dyDescent="0.25">
      <c r="B27" s="26"/>
      <c r="D27" s="15"/>
      <c r="G27" s="26"/>
      <c r="I27" s="15"/>
      <c r="L27" s="26"/>
      <c r="N27" s="15"/>
    </row>
    <row r="28" spans="1:15" ht="23.25" x14ac:dyDescent="0.25">
      <c r="B28" s="30" t="str" cm="1">
        <f t="array" ref="B28:B34">IFERROR(_xlfn._xlws.FILTER('Employés  '!$A:$A, ('Employés  '!$C:$C="AZHAR")*('Employés  '!$D:$D="MATIN")),"")</f>
        <v>WAKRIM MOHAMED</v>
      </c>
      <c r="D28" s="38" t="str" cm="1">
        <f t="array" ref="D28:D34">IFERROR(_xlfn._xlws.FILTER('Employés  '!$B:$B, ('Employés  '!$C:$C="AZHAR")*('Employés  '!$D:$D="MATIN")),"")</f>
        <v>CARNAUD COUPE</v>
      </c>
      <c r="G28" s="30" t="str" cm="1">
        <f t="array" ref="G28:G30">IFERROR(_xlfn._xlws.FILTER('Employés  '!$A:$A, ('Employés  '!$C:$C="ANASSI")*('Employés  '!$D:$D="MATIN")),"")</f>
        <v>OUAJHI YOUNESS</v>
      </c>
      <c r="I28" s="38" t="str" cm="1">
        <f t="array" ref="I28:I30">IFERROR(_xlfn._xlws.FILTER('Employés  '!$B:$B, ('Employés  '!$C:$C="ANASSI")*('Employés  '!$D:$D="MATIN")),"")</f>
        <v>MOSQUE QODS</v>
      </c>
      <c r="J28" s="18"/>
      <c r="L28" s="30" t="str" cm="1">
        <f t="array" ref="L28:L40">IFERROR(_xlfn._xlws.FILTER('Employés  '!$A:$A, ('Employés  '!$C:$C="MOHAMMEDIA")*('Employés  '!$D:$D="MATIN")),"")</f>
        <v>AMIZ REDOUANE</v>
      </c>
      <c r="N28" s="38" t="str" cm="1">
        <f t="array" ref="N28:N40">IFERROR(_xlfn._xlws.FILTER('Employés  '!$B:$B, ('Employés  '!$C:$C="MOHAMMEDIA")*('Employés  '!$D:$D="MATIN")),"")</f>
        <v>MOHAMMEDIA</v>
      </c>
      <c r="O28" s="18"/>
    </row>
    <row r="29" spans="1:15" ht="23.25" x14ac:dyDescent="0.25">
      <c r="B29" s="30" t="str">
        <v>AZLAG HASSAN</v>
      </c>
      <c r="D29" s="22" t="str">
        <v>AZHAR CAFE ELABDI</v>
      </c>
      <c r="G29" s="30" t="str">
        <v>FELLAKI ABDELKARIM</v>
      </c>
      <c r="I29" s="22" t="str">
        <v>RIAD SIDI MOUMEN GROUPE 4</v>
      </c>
      <c r="J29" s="53"/>
      <c r="L29" s="30" t="str">
        <v>GHOUFRAOUI MUSTAPHA</v>
      </c>
      <c r="N29" s="22" t="str">
        <v>MOHAMMEDIA</v>
      </c>
      <c r="O29" s="53"/>
    </row>
    <row r="30" spans="1:15" ht="23.25" x14ac:dyDescent="0.25">
      <c r="B30" s="30" t="str">
        <v>OUAHID ADIL</v>
      </c>
      <c r="D30" s="22" t="str">
        <v>AZHAR PHARMACIE SAKANI</v>
      </c>
      <c r="G30" s="30" t="str">
        <v xml:space="preserve">RAFYA SAADIA </v>
      </c>
      <c r="I30" s="22" t="str">
        <v>TERMINUS BUS 33 SOUK ENNAMOUDAJA ANASSI</v>
      </c>
      <c r="J30" s="53"/>
      <c r="L30" s="30" t="str">
        <v>BOUABID JAWAD</v>
      </c>
      <c r="N30" s="22" t="str">
        <v>MOHAMMEDIA</v>
      </c>
      <c r="O30" s="53"/>
    </row>
    <row r="31" spans="1:15" ht="23.25" x14ac:dyDescent="0.25">
      <c r="B31" s="30" t="str">
        <v>HIRMANE FOUAD</v>
      </c>
      <c r="D31" s="22" t="str">
        <v xml:space="preserve">AZHAR PANORAMA </v>
      </c>
      <c r="G31" s="30"/>
      <c r="I31" s="22"/>
      <c r="J31" s="53"/>
      <c r="L31" s="30" t="str">
        <v>KARBAL BOUCHAIB</v>
      </c>
      <c r="N31" s="22" t="str">
        <v>MOHAMMEDIA</v>
      </c>
      <c r="O31" s="53"/>
    </row>
    <row r="32" spans="1:15" ht="23.25" x14ac:dyDescent="0.25">
      <c r="B32" s="30" t="str">
        <v>BAHROUNE MOHAMED</v>
      </c>
      <c r="D32" s="22" t="str">
        <v>AZHAR ECOLE ATLANTIC</v>
      </c>
      <c r="G32" s="30"/>
      <c r="I32" s="22"/>
      <c r="J32" s="53"/>
      <c r="L32" s="30" t="str">
        <v xml:space="preserve">AITBRAHIM SAID </v>
      </c>
      <c r="N32" s="22" t="str">
        <v>MOHAMMEDIA</v>
      </c>
      <c r="O32" s="53"/>
    </row>
    <row r="33" spans="2:15" ht="23.25" x14ac:dyDescent="0.25">
      <c r="B33" s="30" t="str">
        <v>TIJAHI ASMAA</v>
      </c>
      <c r="D33" s="22" t="str">
        <v>BD BAGHDAD QODS</v>
      </c>
      <c r="G33" s="30"/>
      <c r="I33" s="27"/>
      <c r="L33" s="30" t="str">
        <v>SOUAT MALIKA</v>
      </c>
      <c r="N33" s="22" t="str">
        <v>A COTE DU CINEMA ENNAJAH MOHMMEDIA</v>
      </c>
      <c r="O33" s="53"/>
    </row>
    <row r="34" spans="2:15" ht="20.25" customHeight="1" x14ac:dyDescent="0.25">
      <c r="B34" s="30" t="str">
        <v>ANWAR AZIZ</v>
      </c>
      <c r="D34" s="22" t="str">
        <v xml:space="preserve">TRAVAUX PUBLIC AL QODS SALLE DE FETE </v>
      </c>
      <c r="G34" s="30"/>
      <c r="I34" s="27"/>
      <c r="L34" s="30" t="str">
        <v>BROGI MINA</v>
      </c>
      <c r="N34" s="22" t="str">
        <v>RUE PALESTINE A COTE BANQUE POPULAIRE MOHAMMEDIA</v>
      </c>
    </row>
    <row r="35" spans="2:15" ht="20.25" customHeight="1" x14ac:dyDescent="0.25">
      <c r="B35" s="30"/>
      <c r="D35" s="22"/>
      <c r="G35" s="30"/>
      <c r="I35" s="27"/>
      <c r="L35" s="30" t="str">
        <v xml:space="preserve">MARHRAOUI SAADIA </v>
      </c>
      <c r="N35" s="22" t="str">
        <v>BD MOHAMED 6 ACOTE DE CAFE OULADE HAMASSE  MOHAMMEDI</v>
      </c>
    </row>
    <row r="36" spans="2:15" ht="20.25" customHeight="1" x14ac:dyDescent="0.25">
      <c r="B36" s="30"/>
      <c r="D36" s="22"/>
      <c r="G36" s="30"/>
      <c r="I36" s="27"/>
      <c r="L36" s="30" t="str">
        <v xml:space="preserve">ARICHI SOUAD </v>
      </c>
      <c r="N36" s="22" t="str">
        <v>MOHAMMEDIA</v>
      </c>
    </row>
    <row r="37" spans="2:15" ht="20.25" customHeight="1" x14ac:dyDescent="0.25">
      <c r="B37" s="30"/>
      <c r="D37" s="22"/>
      <c r="G37" s="30"/>
      <c r="I37" s="27"/>
      <c r="L37" s="30" t="str">
        <v xml:space="preserve">HOSNI KHADIJA </v>
      </c>
      <c r="N37" s="22" t="str">
        <v>MOHAMMEDIA</v>
      </c>
    </row>
    <row r="38" spans="2:15" ht="20.25" customHeight="1" x14ac:dyDescent="0.25">
      <c r="B38" s="30"/>
      <c r="D38" s="22"/>
      <c r="G38" s="30"/>
      <c r="I38" s="27"/>
      <c r="L38" s="30" t="str">
        <v>HMIMSY FATIMA</v>
      </c>
      <c r="N38" s="22" t="str">
        <v>MOHAMMEDIA</v>
      </c>
    </row>
    <row r="39" spans="2:15" ht="20.25" customHeight="1" x14ac:dyDescent="0.25">
      <c r="B39" s="30"/>
      <c r="D39" s="22"/>
      <c r="G39" s="30"/>
      <c r="I39" s="27"/>
      <c r="L39" s="30" t="str">
        <v xml:space="preserve">HABIBI MINA </v>
      </c>
      <c r="N39" s="22" t="str">
        <v>MOHAMMEDIA</v>
      </c>
    </row>
    <row r="40" spans="2:15" ht="20.25" customHeight="1" x14ac:dyDescent="0.25">
      <c r="B40" s="30"/>
      <c r="D40" s="22"/>
      <c r="G40" s="30"/>
      <c r="I40" s="27"/>
      <c r="L40" s="30" t="str">
        <v xml:space="preserve">HASSI NAIMA </v>
      </c>
      <c r="N40" s="22" t="str">
        <v>MOHAMMEDIA</v>
      </c>
    </row>
    <row r="41" spans="2:15" ht="20.25" customHeight="1" x14ac:dyDescent="0.25">
      <c r="B41" s="30"/>
      <c r="D41" s="27"/>
      <c r="G41" s="30"/>
      <c r="I41" s="27"/>
      <c r="L41" s="30"/>
      <c r="N41" s="22"/>
    </row>
    <row r="42" spans="2:15" ht="20.25" customHeight="1" x14ac:dyDescent="0.25">
      <c r="B42" s="30"/>
      <c r="D42" s="27"/>
      <c r="G42" s="30"/>
      <c r="I42" s="27"/>
      <c r="L42" s="30"/>
      <c r="N42" s="27"/>
    </row>
    <row r="43" spans="2:15" ht="15.75" thickBot="1" x14ac:dyDescent="0.3">
      <c r="B43" s="28"/>
      <c r="D43" s="16"/>
      <c r="G43" s="28"/>
      <c r="I43" s="16"/>
      <c r="L43" s="28"/>
      <c r="N43" s="16"/>
    </row>
    <row r="44" spans="2:15" ht="15.75" thickTop="1" x14ac:dyDescent="0.25"/>
    <row r="46" spans="2:15" ht="48" customHeight="1" x14ac:dyDescent="0.25">
      <c r="B46" s="106" t="s">
        <v>59</v>
      </c>
      <c r="C46" s="107"/>
      <c r="D46" s="107"/>
      <c r="E46" s="58" t="str">
        <f>+Résultat!E20</f>
        <v>✓</v>
      </c>
      <c r="G46" s="108" t="s">
        <v>60</v>
      </c>
      <c r="H46" s="109"/>
      <c r="I46" s="109"/>
      <c r="J46" s="59" t="str">
        <f>+Résultat!E23</f>
        <v>✓</v>
      </c>
      <c r="L46" s="110" t="s">
        <v>61</v>
      </c>
      <c r="M46" s="111"/>
      <c r="N46" s="111"/>
      <c r="O46" s="60" t="str">
        <f>+Résultat!E26</f>
        <v>✓</v>
      </c>
    </row>
    <row r="47" spans="2:15" ht="22.5" customHeight="1" thickBot="1" x14ac:dyDescent="0.3"/>
    <row r="48" spans="2:15" ht="15.75" thickTop="1" x14ac:dyDescent="0.25">
      <c r="B48" s="26"/>
      <c r="D48" s="15"/>
      <c r="G48" s="26"/>
      <c r="I48" s="15"/>
      <c r="L48" s="26"/>
      <c r="N48" s="15"/>
    </row>
    <row r="49" spans="2:15" ht="23.25" x14ac:dyDescent="0.25">
      <c r="B49" s="30" t="str" cm="1">
        <f t="array" ref="B49:B53">IFERROR(_xlfn._xlws.FILTER('Employés  '!$A:$A, ('Employés  '!$C:$C="SIDI OTHMANE")*('Employés  '!$D:$D="MATIN")),"")</f>
        <v>TALEB Rachid</v>
      </c>
      <c r="D49" s="38" t="str" cm="1">
        <f t="array" ref="D49:D53">IFERROR(_xlfn._xlws.FILTER('Employés  '!$B:$B, ('Employés  '!$C:$C="SIDI OTHMANE")*('Employés  '!$D:$D="MATIN")),"")</f>
        <v>CAFE SEVILLE BOURNAZIL</v>
      </c>
      <c r="G49" s="30" t="str" cm="1">
        <f t="array" ref="G49:G52">IFERROR(_xlfn._xlws.FILTER('Employés  '!$A:$A, ('Employés  '!$C:$C="HAY MOLAY RCHID")*('Employés  '!$D:$D="MATIN")),"")</f>
        <v>TABARANE  YOUNES</v>
      </c>
      <c r="I49" s="38" t="str" cm="1">
        <f t="array" ref="I49:I52">IFERROR(_xlfn._xlws.FILTER('Employés  '!$B:$B, ('Employés  '!$C:$C="HAY MOLAY RCHID")*('Employés  '!$D:$D="MATIN")),"")</f>
        <v> SALMIA 2 RUE 14 IMM 10/POSTE SALMIA</v>
      </c>
      <c r="J49" s="18"/>
      <c r="L49" s="30" t="str" cm="1">
        <f t="array" ref="L49:L53">IFERROR(_xlfn._xlws.FILTER('Employés  '!$A:$A, ('Employés  '!$C:$C="HAY MOHAMMEDI")*('Employés  '!$D:$D="MATIN")),"")</f>
        <v>MOUDAKIR  SMAIN</v>
      </c>
      <c r="N49" s="38" t="str" cm="1">
        <f t="array" ref="N49:N53">IFERROR(_xlfn._xlws.FILTER('Employés  '!$B:$B, ('Employés  '!$C:$C="HAY MOHAMMEDI")*('Employés  '!$D:$D="MATIN")),"")</f>
        <v>ROCHE NOIR</v>
      </c>
      <c r="O49" s="18"/>
    </row>
    <row r="50" spans="2:15" ht="23.25" x14ac:dyDescent="0.25">
      <c r="B50" s="30" t="str">
        <v>BENNANNA DRISS</v>
      </c>
      <c r="D50" s="22" t="str">
        <v>SEBATA CAFE EL WAZIR</v>
      </c>
      <c r="G50" s="30" t="str">
        <v>BACHRI HICHAM</v>
      </c>
      <c r="I50" s="38" t="str">
        <v>BD BOUZIANE PH IKBAL</v>
      </c>
      <c r="J50" s="18"/>
      <c r="L50" s="30" t="str">
        <v>HAILI MOHAMED</v>
      </c>
      <c r="N50" s="22" t="str">
        <v>HAY MOHAMMEDI CAFE 7 AAYOUN</v>
      </c>
      <c r="O50" s="53"/>
    </row>
    <row r="51" spans="2:15" ht="23.25" x14ac:dyDescent="0.25">
      <c r="B51" s="30" t="str">
        <v>ESSAIDI MOHAMED</v>
      </c>
      <c r="D51" s="22" t="str">
        <v>BOURNAZIL BMCI</v>
      </c>
      <c r="G51" s="30" t="str">
        <v>EL AZAR  ABDELJALIL</v>
      </c>
      <c r="I51" s="38" t="str">
        <v>HAY MOULAY RACHID PH IKBAK BD BOUZIANE</v>
      </c>
      <c r="J51" s="18"/>
      <c r="L51" s="30" t="str">
        <v>AZOUZI AHMED</v>
      </c>
      <c r="N51" s="22" t="str">
        <v>POSTE HAY MOHAMMEDY</v>
      </c>
      <c r="O51" s="53"/>
    </row>
    <row r="52" spans="2:15" ht="23.25" x14ac:dyDescent="0.25">
      <c r="B52" s="30" t="str">
        <v>RJAFALLAH LARBI</v>
      </c>
      <c r="D52" s="22" t="str">
        <v>AIN CHOCK BD DAKHLA MOSQUE OUHOUD</v>
      </c>
      <c r="G52" s="30" t="str">
        <v>DARWICH SAID</v>
      </c>
      <c r="I52" s="38" t="str">
        <v>HAY ELMASSIRA</v>
      </c>
      <c r="J52" s="18"/>
      <c r="L52" s="30" t="str">
        <v xml:space="preserve">SOUBAIR HANANE </v>
      </c>
      <c r="N52" s="22" t="str">
        <v xml:space="preserve">AIN SEBAA </v>
      </c>
      <c r="O52" s="53"/>
    </row>
    <row r="53" spans="2:15" ht="23.25" x14ac:dyDescent="0.25">
      <c r="B53" s="30" t="str">
        <v>ERRAJI ELMEHDI</v>
      </c>
      <c r="D53" s="22" t="str">
        <v>STATION TOTAL BD DRISS ELHARTI</v>
      </c>
      <c r="G53" s="30"/>
      <c r="I53" s="38"/>
      <c r="J53" s="18"/>
      <c r="L53" s="30" t="str">
        <v>ERRADOUANI KARIMA</v>
      </c>
      <c r="N53" s="22" t="str">
        <v>HAY MOHAMADI</v>
      </c>
      <c r="O53" s="53"/>
    </row>
    <row r="54" spans="2:15" ht="23.25" x14ac:dyDescent="0.25">
      <c r="B54" s="30"/>
      <c r="D54" s="22"/>
      <c r="G54" s="30"/>
      <c r="I54" s="38"/>
      <c r="J54" s="18"/>
      <c r="L54" s="30"/>
      <c r="N54" s="22"/>
      <c r="O54" s="53"/>
    </row>
    <row r="55" spans="2:15" ht="18.75" customHeight="1" x14ac:dyDescent="0.25">
      <c r="B55" s="30"/>
      <c r="D55" s="22"/>
      <c r="G55" s="30"/>
      <c r="I55" s="38"/>
      <c r="J55" s="18"/>
      <c r="L55" s="30"/>
      <c r="N55" s="22"/>
      <c r="O55" s="53"/>
    </row>
    <row r="56" spans="2:15" ht="18.75" customHeight="1" x14ac:dyDescent="0.25">
      <c r="B56" s="30"/>
      <c r="D56" s="22"/>
      <c r="G56" s="30"/>
      <c r="I56" s="38"/>
      <c r="J56" s="18"/>
      <c r="L56" s="30"/>
      <c r="N56" s="22"/>
      <c r="O56" s="53"/>
    </row>
    <row r="57" spans="2:15" ht="18.75" customHeight="1" x14ac:dyDescent="0.25">
      <c r="B57" s="30"/>
      <c r="D57" s="22"/>
      <c r="G57" s="30"/>
      <c r="I57" s="38"/>
      <c r="J57" s="18"/>
      <c r="L57" s="30"/>
      <c r="N57" s="22"/>
      <c r="O57" s="53"/>
    </row>
    <row r="58" spans="2:15" ht="18.75" customHeight="1" x14ac:dyDescent="0.25">
      <c r="B58" s="30"/>
      <c r="D58" s="22"/>
      <c r="G58" s="30"/>
      <c r="I58" s="38"/>
      <c r="J58" s="18"/>
      <c r="L58" s="30"/>
      <c r="N58" s="22"/>
      <c r="O58" s="53"/>
    </row>
    <row r="59" spans="2:15" ht="18.75" customHeight="1" x14ac:dyDescent="0.25">
      <c r="B59" s="30"/>
      <c r="D59" s="22"/>
      <c r="G59" s="30"/>
      <c r="I59" s="38"/>
      <c r="J59" s="18"/>
      <c r="L59" s="30"/>
      <c r="N59" s="22"/>
      <c r="O59" s="53"/>
    </row>
    <row r="60" spans="2:15" ht="18.75" customHeight="1" x14ac:dyDescent="0.25">
      <c r="B60" s="30"/>
      <c r="D60" s="22"/>
      <c r="G60" s="30"/>
      <c r="I60" s="38"/>
      <c r="J60" s="18"/>
      <c r="L60" s="30"/>
      <c r="N60" s="22"/>
      <c r="O60" s="53"/>
    </row>
    <row r="61" spans="2:15" ht="18.75" customHeight="1" thickBot="1" x14ac:dyDescent="0.3">
      <c r="B61" s="28"/>
      <c r="D61" s="16"/>
      <c r="G61" s="31"/>
      <c r="I61" s="16"/>
      <c r="L61" s="28"/>
      <c r="N61" s="16"/>
    </row>
    <row r="62" spans="2:15" ht="15.75" thickTop="1" x14ac:dyDescent="0.25"/>
    <row r="66" ht="10.5" customHeight="1" x14ac:dyDescent="0.25"/>
  </sheetData>
  <mergeCells count="9">
    <mergeCell ref="L8:N8"/>
    <mergeCell ref="B25:D25"/>
    <mergeCell ref="G25:I25"/>
    <mergeCell ref="L25:N25"/>
    <mergeCell ref="B46:D46"/>
    <mergeCell ref="G46:I46"/>
    <mergeCell ref="L46:N46"/>
    <mergeCell ref="B8:D8"/>
    <mergeCell ref="G8:I8"/>
  </mergeCells>
  <pageMargins left="0.7" right="0.7" top="0.75" bottom="0.75" header="0.3" footer="0.3"/>
  <pageSetup paperSize="9" scale="2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0AF5-1010-41B5-AC9B-271100A8FEEA}">
  <sheetPr>
    <tabColor rgb="FFFFC000"/>
  </sheetPr>
  <dimension ref="A2:T57"/>
  <sheetViews>
    <sheetView showGridLines="0" zoomScale="68" zoomScaleNormal="68" workbookViewId="0">
      <selection activeCell="I4" sqref="I4"/>
    </sheetView>
  </sheetViews>
  <sheetFormatPr baseColWidth="10" defaultRowHeight="15" x14ac:dyDescent="0.25"/>
  <cols>
    <col min="1" max="1" width="8.5703125" customWidth="1"/>
    <col min="2" max="2" width="26.140625" customWidth="1"/>
    <col min="3" max="3" width="1.140625" customWidth="1"/>
    <col min="4" max="4" width="57" customWidth="1"/>
    <col min="5" max="5" width="15.140625" customWidth="1"/>
    <col min="6" max="6" width="1.7109375" customWidth="1"/>
    <col min="7" max="7" width="27.7109375" customWidth="1"/>
    <col min="8" max="8" width="1.7109375" customWidth="1"/>
    <col min="9" max="9" width="57.5703125" customWidth="1"/>
    <col min="10" max="10" width="15.140625" customWidth="1"/>
    <col min="11" max="11" width="2.140625" customWidth="1"/>
    <col min="12" max="12" width="31" customWidth="1"/>
    <col min="13" max="13" width="1.7109375" customWidth="1"/>
    <col min="14" max="14" width="49.42578125" customWidth="1"/>
    <col min="15" max="15" width="15.140625" customWidth="1"/>
    <col min="16" max="16" width="1.7109375" customWidth="1"/>
    <col min="17" max="17" width="29.28515625" customWidth="1"/>
    <col min="18" max="18" width="1.7109375" customWidth="1"/>
    <col min="19" max="19" width="47" customWidth="1"/>
    <col min="20" max="20" width="7.28515625" customWidth="1"/>
    <col min="21" max="21" width="1.7109375" customWidth="1"/>
    <col min="22" max="22" width="29.28515625" customWidth="1"/>
    <col min="23" max="23" width="1.7109375" customWidth="1"/>
    <col min="24" max="24" width="27.7109375" customWidth="1"/>
    <col min="25" max="25" width="1.7109375" customWidth="1"/>
    <col min="26" max="26" width="31.28515625" customWidth="1"/>
    <col min="27" max="27" width="2" customWidth="1"/>
    <col min="28" max="28" width="31.28515625" customWidth="1"/>
  </cols>
  <sheetData>
    <row r="2" spans="1:15" ht="37.5" customHeight="1" x14ac:dyDescent="0.25">
      <c r="B2" s="49">
        <f ca="1">_xlfn.ISOWEEKNUM(TODAY())</f>
        <v>28</v>
      </c>
      <c r="D2" s="45" t="str">
        <f ca="1">"Semaine " &amp; B2 +1 &amp; " : du " &amp; TEXT(DATE(2025,1,1) - MOD(WEEKDAY(DATE(2025,1,1),2)-1,7) + (B2)*7, "jj/mm/aaaa") &amp; " au " &amp; TEXT(DATE(2025,1,1) - MOD(WEEKDAY(DATE(2025,1,1),2)-1,7) + (B2)*7 + 5, "jj/mm/aaaa")</f>
        <v>Semaine 29 : du 14/07/2025 au 19/07/2025</v>
      </c>
      <c r="E2" s="45"/>
    </row>
    <row r="4" spans="1:15" ht="44.25" customHeight="1" x14ac:dyDescent="0.25">
      <c r="G4" s="29"/>
      <c r="I4" s="46">
        <v>7</v>
      </c>
      <c r="J4" s="46"/>
    </row>
    <row r="5" spans="1:15" ht="8.25" customHeight="1" x14ac:dyDescent="0.25"/>
    <row r="6" spans="1:15" ht="8.25" customHeight="1" x14ac:dyDescent="0.25"/>
    <row r="7" spans="1:15" ht="15" customHeight="1" x14ac:dyDescent="0.25">
      <c r="A7" s="14"/>
    </row>
    <row r="8" spans="1:15" ht="48" customHeight="1" x14ac:dyDescent="0.25">
      <c r="A8" s="14"/>
      <c r="B8" s="112" t="s">
        <v>56</v>
      </c>
      <c r="C8" s="113"/>
      <c r="D8" s="113"/>
      <c r="E8" s="52" t="str">
        <f>+Résultat!E3</f>
        <v>✓</v>
      </c>
      <c r="G8" s="114" t="s">
        <v>26</v>
      </c>
      <c r="H8" s="115"/>
      <c r="I8" s="115"/>
      <c r="J8" s="54" t="str">
        <f>+Résultat!E6</f>
        <v>✓</v>
      </c>
      <c r="L8" s="98" t="s">
        <v>57</v>
      </c>
      <c r="M8" s="99"/>
      <c r="N8" s="99"/>
      <c r="O8" s="61" t="str">
        <f>+Résultat!E9</f>
        <v>✓</v>
      </c>
    </row>
    <row r="9" spans="1:15" ht="27.75" customHeight="1" thickBot="1" x14ac:dyDescent="0.3">
      <c r="A9" s="14"/>
    </row>
    <row r="10" spans="1:15" ht="15.75" customHeight="1" thickTop="1" x14ac:dyDescent="0.25">
      <c r="A10" s="14"/>
      <c r="B10" s="19"/>
      <c r="C10" s="17"/>
      <c r="D10" s="21"/>
      <c r="E10" s="53"/>
      <c r="G10" s="19"/>
      <c r="I10" s="21"/>
      <c r="J10" s="53"/>
      <c r="L10" s="26"/>
      <c r="N10" s="15"/>
    </row>
    <row r="11" spans="1:15" ht="18" customHeight="1" x14ac:dyDescent="0.25">
      <c r="A11" s="14"/>
      <c r="B11" s="30" t="str" cm="1">
        <f t="array" ref="B11">IFERROR(_xlfn._xlws.FILTER('Employés  '!$A:$A, ('Employés  '!$C:$C="DERB SULTAN")*('Employés  '!$D:$D="SOIR")),"")</f>
        <v>ESSOLAMI HASSAN</v>
      </c>
      <c r="C11" s="18"/>
      <c r="D11" s="38" t="str" cm="1">
        <f t="array" ref="D11">IFERROR(_xlfn._xlws.FILTER('Employés  '!$B:$B, ('Employés  '!$C:$C="DERB SULTAN")*('Employés  '!$D:$D="SOIR")),"")</f>
        <v>DERB SULTAN BD MOHAMMED 6 RESIDENCE EL NASR</v>
      </c>
      <c r="E11" s="18"/>
      <c r="F11" s="18"/>
      <c r="G11" s="30" t="str" cm="1">
        <f t="array" ref="G11:G15">IFERROR(_xlfn._xlws.FILTER('Employés  '!$A:$A, ('Employés  '!$C:$C="SIDI MOUMEN")*('Employés  '!$D:$D="SOIR")),"")</f>
        <v>SOFIANE MOURAD</v>
      </c>
      <c r="I11" s="38" t="str" cm="1">
        <f t="array" ref="I11:I15">IFERROR(_xlfn._xlws.FILTER('Employés  '!$B:$B, ('Employés  '!$C:$C="SIDI MOUMEN")*('Employés  '!$D:$D="SOIR")),"")</f>
        <v>SIDI MOUMEN NOUR CITY 3</v>
      </c>
      <c r="J11" s="18"/>
      <c r="L11" s="30" t="str" cm="1">
        <f t="array" ref="L11:L15">IFERROR(_xlfn._xlws.FILTER('Employés  '!$A:$A, ('Employés  '!$C:$C="RAHMA")*('Employés  '!$D:$D="SOIR")),"")</f>
        <v>EL BAKRI REDOUANE</v>
      </c>
      <c r="N11" s="38" t="str" cm="1">
        <f t="array" ref="N11:N15">IFERROR(_xlfn._xlws.FILTER('Employés  '!$B:$B, ('Employés  '!$C:$C="RAHMA")*('Employés  '!$D:$D="SOIR")),"")</f>
        <v xml:space="preserve"> FARAH EL SALLAM, </v>
      </c>
      <c r="O11" s="18"/>
    </row>
    <row r="12" spans="1:15" ht="18" customHeight="1" x14ac:dyDescent="0.25">
      <c r="A12" s="14"/>
      <c r="B12" s="30"/>
      <c r="C12" s="18"/>
      <c r="D12" s="38"/>
      <c r="E12" s="18"/>
      <c r="F12" s="18"/>
      <c r="G12" s="30" t="str">
        <v>ELHANSALI ABDERRAZAK</v>
      </c>
      <c r="I12" s="22" t="str">
        <v>ABIR, SIDI MOUMEN</v>
      </c>
      <c r="J12" s="53"/>
      <c r="L12" s="30" t="str">
        <v>JAMILI MOHAMED</v>
      </c>
      <c r="N12" s="22" t="str">
        <v xml:space="preserve"> FARAH EL SALLAM, </v>
      </c>
      <c r="O12" s="53"/>
    </row>
    <row r="13" spans="1:15" ht="18" customHeight="1" x14ac:dyDescent="0.25">
      <c r="A13" s="14"/>
      <c r="B13" s="30"/>
      <c r="C13" s="18"/>
      <c r="D13" s="38"/>
      <c r="E13" s="18"/>
      <c r="F13" s="18"/>
      <c r="G13" s="30" t="str">
        <v>EZZINE ABDELALI</v>
      </c>
      <c r="I13" s="22" t="str">
        <v>SIDI MOUMEN LOTS HOUDA</v>
      </c>
      <c r="J13" s="53"/>
      <c r="L13" s="30" t="str">
        <v>FARID  MOHAMMED</v>
      </c>
      <c r="N13" s="22" t="str">
        <v>OULFA PH EL WOROUD</v>
      </c>
      <c r="O13" s="53"/>
    </row>
    <row r="14" spans="1:15" ht="18" customHeight="1" x14ac:dyDescent="0.25">
      <c r="A14" s="14"/>
      <c r="B14" s="30"/>
      <c r="C14" s="18"/>
      <c r="D14" s="38"/>
      <c r="E14" s="18"/>
      <c r="F14" s="18"/>
      <c r="G14" s="30" t="str">
        <v>SAHRANI MOHAMED</v>
      </c>
      <c r="I14" s="22" t="str">
        <v>SIDI MOUMEN 3OTOUR</v>
      </c>
      <c r="J14" s="53"/>
      <c r="L14" s="30" t="str">
        <v>FAIZ SAID</v>
      </c>
      <c r="N14" s="22" t="str">
        <v>OULFA 35</v>
      </c>
      <c r="O14" s="53"/>
    </row>
    <row r="15" spans="1:15" ht="18" customHeight="1" x14ac:dyDescent="0.25">
      <c r="A15" s="14"/>
      <c r="B15" s="30"/>
      <c r="C15" s="17"/>
      <c r="D15" s="38"/>
      <c r="E15" s="18"/>
      <c r="F15" s="1"/>
      <c r="G15" s="30" t="str">
        <v>MAHMAH AYOUB</v>
      </c>
      <c r="I15" s="22" t="str">
        <v>ABIR, SIDI MOUMEN</v>
      </c>
      <c r="J15" s="53"/>
      <c r="L15" s="30" t="str">
        <v xml:space="preserve">AYADI MOSTAFA </v>
      </c>
      <c r="N15" s="22" t="str">
        <v>READ WALFA terminus bus 20</v>
      </c>
      <c r="O15" s="53"/>
    </row>
    <row r="16" spans="1:15" ht="18" customHeight="1" x14ac:dyDescent="0.25">
      <c r="A16" s="14"/>
      <c r="B16" s="30"/>
      <c r="C16" s="17"/>
      <c r="D16" s="38"/>
      <c r="E16" s="18"/>
      <c r="F16" s="1"/>
      <c r="G16" s="30"/>
      <c r="I16" s="22"/>
      <c r="J16" s="53"/>
      <c r="L16" s="30"/>
      <c r="N16" s="22"/>
      <c r="O16" s="53"/>
    </row>
    <row r="17" spans="1:20" ht="18" customHeight="1" x14ac:dyDescent="0.25">
      <c r="A17" s="14"/>
      <c r="B17" s="30"/>
      <c r="C17" s="17"/>
      <c r="D17" s="38"/>
      <c r="E17" s="18"/>
      <c r="F17" s="1"/>
      <c r="G17" s="30"/>
      <c r="I17" s="22"/>
      <c r="J17" s="53"/>
      <c r="L17" s="30"/>
      <c r="N17" s="22"/>
      <c r="O17" s="53"/>
    </row>
    <row r="18" spans="1:20" ht="18" customHeight="1" x14ac:dyDescent="0.25">
      <c r="A18" s="14"/>
      <c r="B18" s="30"/>
      <c r="C18" s="17"/>
      <c r="D18" s="38"/>
      <c r="E18" s="18"/>
      <c r="F18" s="1"/>
      <c r="G18" s="30"/>
      <c r="I18" s="22"/>
      <c r="J18" s="53"/>
      <c r="L18" s="30"/>
      <c r="N18" s="22"/>
      <c r="O18" s="53"/>
    </row>
    <row r="19" spans="1:20" ht="15" customHeight="1" thickBot="1" x14ac:dyDescent="0.3">
      <c r="A19" s="14"/>
      <c r="B19" s="20"/>
      <c r="C19" s="17"/>
      <c r="D19" s="23"/>
      <c r="E19" s="53"/>
      <c r="F19" s="1"/>
      <c r="G19" s="30"/>
      <c r="I19" s="23"/>
      <c r="J19" s="53"/>
      <c r="L19" s="28"/>
      <c r="N19" s="16"/>
    </row>
    <row r="20" spans="1:20" ht="15.75" customHeight="1" thickTop="1" x14ac:dyDescent="0.25">
      <c r="A20" s="14"/>
      <c r="B20" s="1"/>
      <c r="C20" s="1"/>
      <c r="D20" s="1"/>
      <c r="E20" s="1"/>
      <c r="F20" s="1"/>
    </row>
    <row r="22" spans="1:20" ht="48" customHeight="1" x14ac:dyDescent="0.25">
      <c r="B22" s="102" t="s">
        <v>162</v>
      </c>
      <c r="C22" s="103"/>
      <c r="D22" s="103"/>
      <c r="E22" s="56" t="str">
        <f>+Résultat!E15</f>
        <v>✓</v>
      </c>
      <c r="G22" s="106" t="s">
        <v>59</v>
      </c>
      <c r="H22" s="107"/>
      <c r="I22" s="107"/>
      <c r="J22" s="58" t="str">
        <f>+Résultat!E21</f>
        <v>✓</v>
      </c>
      <c r="L22" s="108" t="s">
        <v>60</v>
      </c>
      <c r="M22" s="109"/>
      <c r="N22" s="109"/>
      <c r="O22" s="59" t="str">
        <f>+Résultat!E24</f>
        <v>✓</v>
      </c>
      <c r="Q22" s="110" t="s">
        <v>61</v>
      </c>
      <c r="R22" s="111"/>
      <c r="S22" s="111"/>
      <c r="T22" s="60" t="str">
        <f>+Résultat!E27</f>
        <v>✓</v>
      </c>
    </row>
    <row r="23" spans="1:20" ht="27.75" customHeight="1" thickBot="1" x14ac:dyDescent="0.3"/>
    <row r="24" spans="1:20" ht="15.75" thickTop="1" x14ac:dyDescent="0.25">
      <c r="B24" s="26"/>
      <c r="D24" s="15"/>
      <c r="G24" s="26"/>
      <c r="I24" s="15"/>
      <c r="L24" s="26"/>
      <c r="N24" s="15"/>
      <c r="Q24" s="26"/>
      <c r="S24" s="15"/>
    </row>
    <row r="25" spans="1:20" ht="23.25" x14ac:dyDescent="0.25">
      <c r="B25" s="30" t="str" cm="1">
        <f t="array" ref="B25:B28">IFERROR(_xlfn._xlws.FILTER('Employés  '!$A:$A, (('Employés  '!$C:$C="AZHAR")+('Employés  '!C:C="ANASSI"))*('Employés  '!$D:$D="SOIR")),"")</f>
        <v>NADI TARIK</v>
      </c>
      <c r="D25" s="38" t="str" cm="1">
        <f t="array" ref="D25:D28">IFERROR(_xlfn._xlws.FILTER('Employés  '!$B:$B, (('Employés  '!$C:$C="AZHAR")+('Employés  '!C:C="ANASSI"))*('Employés  '!$D:$D="SOIR")),"")</f>
        <v>AZHAR ECOLE ATLANTIC</v>
      </c>
      <c r="E25" s="18"/>
      <c r="G25" s="30" t="str" cm="1">
        <f t="array" ref="G25:G28">IFERROR(_xlfn._xlws.FILTER('Employés  '!$A:$A, ('Employés  '!$C:$C="SIDI OTHMANE")*('Employés  '!$D:$D="SOIR")),"")</f>
        <v>MAAGLI SAID</v>
      </c>
      <c r="I25" s="38" t="str" cm="1">
        <f t="array" ref="I25:I28">IFERROR(_xlfn._xlws.FILTER('Employés  '!$B:$B, ('Employés  '!$C:$C="SIDI OTHMANE")*('Employés  '!$D:$D="SOIR")),"")</f>
        <v>SIDI OTHMANE CAFE ARSENAL</v>
      </c>
      <c r="J25" s="18"/>
      <c r="L25" s="30" t="str" cm="1">
        <f t="array" ref="L25:L31">IFERROR(_xlfn._xlws.FILTER('Employés  '!$A:$A, ('Employés  '!$C:$C="HAY MOLAY RCHID")*('Employés  '!$D:$D="SOIR")),"")</f>
        <v>DENNI AZIZ</v>
      </c>
      <c r="N25" s="38" t="str" cm="1">
        <f t="array" ref="N25:N31">IFERROR(_xlfn._xlws.FILTER('Employés  '!$B:$B, ('Employés  '!$C:$C="HAY MOLAY RCHID")*('Employés  '!$D:$D="SOIR")),"")</f>
        <v>HAY ELBARAKA RUE JOUDART</v>
      </c>
      <c r="O25" s="18"/>
      <c r="Q25" s="30" t="str" cm="1">
        <f t="array" ref="Q25:Q30">IFERROR(_xlfn._xlws.FILTER('Employés  '!$A:$A, ('Employés  '!$C:$C="HAY MOHAMMEDI")*('Employés  '!$D:$D="SOIR")),"")</f>
        <v>KARNBAH MOHAMED</v>
      </c>
      <c r="S25" s="38" t="str" cm="1">
        <f t="array" ref="S25:S30">IFERROR(_xlfn._xlws.FILTER('Employés  '!$B:$B, ('Employés  '!$C:$C="HAY MOHAMMEDI")*('Employés  '!$D:$D="SOIR")),"")</f>
        <v>HAY  MOHAMMEDY GRAND CEINTURE CAFE 7 3OYOUN</v>
      </c>
      <c r="T25" s="18"/>
    </row>
    <row r="26" spans="1:20" ht="23.25" x14ac:dyDescent="0.25">
      <c r="B26" s="30" t="str">
        <v>ERRADI ABDELWAHED</v>
      </c>
      <c r="D26" s="22" t="str">
        <v>ANASSI SOUK NAMODAJI</v>
      </c>
      <c r="E26" s="53"/>
      <c r="G26" s="30" t="str">
        <v>SAADOUNI SAID</v>
      </c>
      <c r="I26" s="22" t="str">
        <v xml:space="preserve">BOURNAZIL BV 9OWAT ALMOSA3IDA CAFE ZAYTOUNA </v>
      </c>
      <c r="J26" s="53"/>
      <c r="L26" s="30" t="str">
        <v>IJABA MOUNA</v>
      </c>
      <c r="N26" s="38" t="str">
        <v>HAY ELFALAH CINEMA FALAH</v>
      </c>
      <c r="O26" s="18"/>
      <c r="Q26" s="30" t="str">
        <v>LABNI MUSTAPHA</v>
      </c>
      <c r="S26" s="22" t="str">
        <v>CAFE FEM LEHCEN</v>
      </c>
      <c r="T26" s="53"/>
    </row>
    <row r="27" spans="1:20" ht="23.25" x14ac:dyDescent="0.25">
      <c r="B27" s="30" t="str">
        <v>FADEL SAMI</v>
      </c>
      <c r="D27" s="22" t="str">
        <v>AZHAR SAKANI ECOLE EL KHANSAE</v>
      </c>
      <c r="E27" s="53"/>
      <c r="G27" s="30" t="str">
        <v>SABIR NOUREDDINE</v>
      </c>
      <c r="I27" s="22" t="str">
        <v>STATION PETRONIM BD SAKIA ELHAMRA</v>
      </c>
      <c r="J27" s="53"/>
      <c r="L27" s="30" t="str">
        <v>MARBOUH MUSTAPHA</v>
      </c>
      <c r="N27" s="38" t="str">
        <v>HAY LALA MERYEM ECOLE QODS</v>
      </c>
      <c r="O27" s="18"/>
      <c r="Q27" s="30" t="str">
        <v>ADDAHR AYOUB</v>
      </c>
      <c r="S27" s="22" t="str">
        <v>HAY MOHAMMEDY BQ BMCE STATION TOTAL</v>
      </c>
      <c r="T27" s="53"/>
    </row>
    <row r="28" spans="1:20" ht="23.25" x14ac:dyDescent="0.25">
      <c r="B28" s="30" t="str">
        <v>ORANGE MOHAMMED</v>
      </c>
      <c r="D28" s="22" t="str">
        <v>ANASSI BV ZEFZAF</v>
      </c>
      <c r="E28" s="53"/>
      <c r="G28" s="30" t="str">
        <v>FETHERRAHIM BADR</v>
      </c>
      <c r="I28" s="22" t="str">
        <v>SEBATA CINEMA MADANIA</v>
      </c>
      <c r="J28" s="53"/>
      <c r="L28" s="30" t="str">
        <v>NABBAR ABID</v>
      </c>
      <c r="N28" s="38" t="str">
        <v>CAFE 8 RES 8 HAY LALLA MERYEM</v>
      </c>
      <c r="O28" s="18"/>
      <c r="Q28" s="30" t="str">
        <v>AOUZANE Hamid</v>
      </c>
      <c r="S28" s="22" t="str">
        <v>SOCICA STATION TOTAL</v>
      </c>
      <c r="T28" s="53"/>
    </row>
    <row r="29" spans="1:20" ht="23.25" x14ac:dyDescent="0.25">
      <c r="B29" s="30"/>
      <c r="D29" s="22"/>
      <c r="E29" s="53"/>
      <c r="G29" s="30"/>
      <c r="I29" s="22"/>
      <c r="J29" s="53"/>
      <c r="L29" s="30" t="str">
        <v>MISSAOUI ABDELMAJID</v>
      </c>
      <c r="N29" s="38" t="str">
        <v>SEBATA RUE ABDELKADER SAHRAOUI</v>
      </c>
      <c r="O29" s="18"/>
      <c r="Q29" s="30" t="str">
        <v>HADDOU Fatima Zahra</v>
      </c>
      <c r="S29" s="22" t="str">
        <v>HAY MOHAMMEDY HALAWIYAT ERRABI3</v>
      </c>
      <c r="T29" s="53"/>
    </row>
    <row r="30" spans="1:20" ht="23.25" x14ac:dyDescent="0.25">
      <c r="B30" s="30"/>
      <c r="D30" s="22"/>
      <c r="E30" s="53"/>
      <c r="G30" s="30"/>
      <c r="I30" s="22"/>
      <c r="J30" s="53"/>
      <c r="L30" s="30" t="str">
        <v>SKOURI ABDELAZIZ</v>
      </c>
      <c r="N30" s="38" t="str">
        <v>HAY ELMASSIRA 1 FACULTE DES LETTRES</v>
      </c>
      <c r="O30" s="18"/>
      <c r="Q30" s="30" t="str">
        <v>CHAMITI Salah Eddine</v>
      </c>
      <c r="S30" s="22" t="str">
        <v>HAY MOUHEMADI</v>
      </c>
      <c r="T30" s="53"/>
    </row>
    <row r="31" spans="1:20" ht="23.25" x14ac:dyDescent="0.25">
      <c r="B31" s="30"/>
      <c r="D31" s="22"/>
      <c r="E31" s="53"/>
      <c r="G31" s="30"/>
      <c r="I31" s="22"/>
      <c r="J31" s="53"/>
      <c r="L31" s="30" t="str">
        <v xml:space="preserve">LAHRICHI HAMZA </v>
      </c>
      <c r="N31" s="38" t="str">
        <v>ELHIYANI HAY FALLAH</v>
      </c>
      <c r="O31" s="18"/>
      <c r="Q31" s="30"/>
      <c r="S31" s="22"/>
      <c r="T31" s="53"/>
    </row>
    <row r="32" spans="1:20" ht="23.25" x14ac:dyDescent="0.25">
      <c r="B32" s="30"/>
      <c r="D32" s="22"/>
      <c r="E32" s="53"/>
      <c r="G32" s="30"/>
      <c r="I32" s="22"/>
      <c r="J32" s="53"/>
      <c r="L32" s="30"/>
      <c r="N32" s="38"/>
      <c r="O32" s="18"/>
      <c r="Q32" s="30"/>
      <c r="S32" s="22"/>
      <c r="T32" s="53"/>
    </row>
    <row r="33" spans="2:20" ht="23.25" x14ac:dyDescent="0.25">
      <c r="B33" s="30"/>
      <c r="D33" s="22"/>
      <c r="E33" s="53"/>
      <c r="G33" s="30"/>
      <c r="I33" s="22"/>
      <c r="J33" s="53"/>
      <c r="L33" s="30"/>
      <c r="N33" s="38"/>
      <c r="O33" s="18"/>
      <c r="Q33" s="30"/>
      <c r="S33" s="22"/>
      <c r="T33" s="53"/>
    </row>
    <row r="34" spans="2:20" ht="24" thickBot="1" x14ac:dyDescent="0.3">
      <c r="B34" s="31"/>
      <c r="D34" s="16"/>
      <c r="G34" s="28"/>
      <c r="I34" s="16"/>
      <c r="L34" s="31"/>
      <c r="N34" s="16"/>
      <c r="Q34" s="28"/>
      <c r="S34" s="16"/>
    </row>
    <row r="35" spans="2:20" ht="15.75" thickTop="1" x14ac:dyDescent="0.25"/>
    <row r="38" spans="2:20" ht="48" customHeight="1" x14ac:dyDescent="0.25"/>
    <row r="57" ht="10.5" customHeight="1" x14ac:dyDescent="0.25"/>
  </sheetData>
  <mergeCells count="7">
    <mergeCell ref="L8:N8"/>
    <mergeCell ref="B22:D22"/>
    <mergeCell ref="G22:I22"/>
    <mergeCell ref="L22:N22"/>
    <mergeCell ref="Q22:S22"/>
    <mergeCell ref="B8:D8"/>
    <mergeCell ref="G8:I8"/>
  </mergeCells>
  <pageMargins left="0.7" right="0.7" top="0.75" bottom="0.75" header="0.3" footer="0.3"/>
  <pageSetup paperSize="9" scale="2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0C7-1390-4144-B931-68A7361BC9A3}">
  <sheetPr>
    <tabColor rgb="FF00B050"/>
  </sheetPr>
  <dimension ref="A2:O58"/>
  <sheetViews>
    <sheetView showGridLines="0" topLeftCell="A8" zoomScale="73" zoomScaleNormal="73" workbookViewId="0">
      <selection activeCell="D2" sqref="D2"/>
    </sheetView>
  </sheetViews>
  <sheetFormatPr baseColWidth="10" defaultRowHeight="15" x14ac:dyDescent="0.25"/>
  <cols>
    <col min="1" max="1" width="8.5703125" customWidth="1"/>
    <col min="2" max="2" width="26.140625" customWidth="1"/>
    <col min="3" max="3" width="1.140625" customWidth="1"/>
    <col min="4" max="4" width="57" customWidth="1"/>
    <col min="5" max="5" width="8.140625" customWidth="1"/>
    <col min="6" max="6" width="1.7109375" customWidth="1"/>
    <col min="7" max="7" width="27.7109375" customWidth="1"/>
    <col min="8" max="8" width="1.7109375" customWidth="1"/>
    <col min="9" max="9" width="57.85546875" customWidth="1"/>
    <col min="10" max="10" width="8.5703125" customWidth="1"/>
    <col min="11" max="11" width="2.140625" customWidth="1"/>
    <col min="12" max="12" width="31" customWidth="1"/>
    <col min="13" max="13" width="1.7109375" customWidth="1"/>
    <col min="14" max="14" width="45.42578125" customWidth="1"/>
    <col min="15" max="15" width="8.42578125" customWidth="1"/>
    <col min="16" max="16" width="1.7109375" customWidth="1"/>
    <col min="17" max="17" width="24.7109375" customWidth="1"/>
    <col min="18" max="18" width="1.7109375" customWidth="1"/>
    <col min="19" max="19" width="47" customWidth="1"/>
    <col min="20" max="20" width="1.7109375" customWidth="1"/>
    <col min="21" max="21" width="29.28515625" customWidth="1"/>
    <col min="22" max="22" width="1.7109375" customWidth="1"/>
    <col min="23" max="23" width="27.7109375" customWidth="1"/>
    <col min="24" max="24" width="1.7109375" customWidth="1"/>
    <col min="25" max="25" width="31.28515625" customWidth="1"/>
    <col min="26" max="26" width="2" customWidth="1"/>
    <col min="27" max="27" width="31.28515625" customWidth="1"/>
  </cols>
  <sheetData>
    <row r="2" spans="1:15" ht="37.5" customHeight="1" x14ac:dyDescent="0.25">
      <c r="B2" s="49">
        <f ca="1">_xlfn.ISOWEEKNUM(TODAY())</f>
        <v>28</v>
      </c>
      <c r="D2" s="45" t="str">
        <f ca="1">"Semaine " &amp; B2 +1 &amp; " : du " &amp; TEXT(DATE(2025,1,1) - MOD(WEEKDAY(DATE(2025,1,1),2)-1,7) + (B2)*7, "jj/mm/aaaa") &amp; " au " &amp; TEXT(DATE(2025,1,1) - MOD(WEEKDAY(DATE(2025,1,1),2)-1,7) + (B2)*7 + 5, "jj/mm/aaaa")</f>
        <v>Semaine 29 : du 14/07/2025 au 19/07/2025</v>
      </c>
      <c r="E2" s="45"/>
    </row>
    <row r="4" spans="1:15" ht="44.25" customHeight="1" x14ac:dyDescent="0.25">
      <c r="G4" s="29"/>
      <c r="I4" s="46">
        <f>SUMIF(Résultat!B:B,"NUIT",Résultat!D:D)</f>
        <v>0</v>
      </c>
      <c r="J4" s="46"/>
    </row>
    <row r="5" spans="1:15" ht="8.25" customHeight="1" x14ac:dyDescent="0.25"/>
    <row r="6" spans="1:15" ht="8.25" customHeight="1" x14ac:dyDescent="0.25"/>
    <row r="7" spans="1:15" ht="15" customHeight="1" x14ac:dyDescent="0.25">
      <c r="A7" s="14"/>
    </row>
    <row r="8" spans="1:15" ht="48" customHeight="1" x14ac:dyDescent="0.25">
      <c r="A8" s="14"/>
      <c r="B8" s="112" t="s">
        <v>56</v>
      </c>
      <c r="C8" s="113"/>
      <c r="D8" s="113"/>
      <c r="E8" s="52" t="str">
        <f>+Résultat!E4</f>
        <v>✓</v>
      </c>
      <c r="G8" s="114" t="s">
        <v>26</v>
      </c>
      <c r="H8" s="115"/>
      <c r="I8" s="115"/>
      <c r="J8" s="54" t="str">
        <f>+Résultat!E7</f>
        <v>✓</v>
      </c>
      <c r="L8" s="98" t="s">
        <v>57</v>
      </c>
      <c r="M8" s="99"/>
      <c r="N8" s="99"/>
      <c r="O8" s="62" t="str">
        <f>+Résultat!E10</f>
        <v>✓</v>
      </c>
    </row>
    <row r="9" spans="1:15" ht="15" customHeight="1" thickBot="1" x14ac:dyDescent="0.3">
      <c r="A9" s="14"/>
    </row>
    <row r="10" spans="1:15" ht="15.75" customHeight="1" thickTop="1" x14ac:dyDescent="0.25">
      <c r="A10" s="14"/>
      <c r="B10" s="19"/>
      <c r="C10" s="17"/>
      <c r="D10" s="21"/>
      <c r="E10" s="53"/>
      <c r="G10" s="19"/>
      <c r="I10" s="21"/>
      <c r="J10" s="53"/>
      <c r="L10" s="26"/>
      <c r="N10" s="15"/>
    </row>
    <row r="11" spans="1:15" ht="18" customHeight="1" x14ac:dyDescent="0.25">
      <c r="A11" s="14"/>
      <c r="B11" s="30" t="str" cm="1">
        <f t="array" ref="B11">IFERROR(_xlfn._xlws.FILTER('Employés  '!$A:$A, ('Employés  '!$C:$C="DERB SULTAN")*('Employés  '!$D:$D="NUIT")),"")</f>
        <v/>
      </c>
      <c r="C11" s="18"/>
      <c r="D11" s="38" t="str" cm="1">
        <f t="array" ref="D11">IFERROR(_xlfn._xlws.FILTER('Employés  '!$B:$B, ('Employés  '!$C:$C="DERB SULTAN")*('Employés  '!$D:$D="NUIT")),"")</f>
        <v/>
      </c>
      <c r="E11" s="18"/>
      <c r="F11" s="18"/>
      <c r="G11" s="30" t="str" cm="1">
        <f t="array" ref="G11">IFERROR(_xlfn._xlws.FILTER('Employés  '!$A:$A, (('Employés  '!$C:$C="SIDI MOUMEN")+('Employés  '!C:C="HAY MOLAY RCHID")+('Employés  '!C:C="HAY MOHAMMEDI"))*('Employés  '!$D:$D="NUIT")),"")</f>
        <v/>
      </c>
      <c r="I11" s="38" t="str" cm="1">
        <f t="array" ref="I11">IFERROR(_xlfn._xlws.FILTER('Employés  '!$B:$B, (('Employés  '!$C:$C="SIDI MOUMEN")+('Employés  '!C:C="HAY MOLAY RCHID")+('Employés  '!C:C="HAY MOHAMMEDI"))*('Employés  '!$D:$D="NUIT")),"")</f>
        <v/>
      </c>
      <c r="J11" s="18"/>
      <c r="L11" s="30" t="str" cm="1">
        <f t="array" ref="L11">IFERROR(_xlfn._xlws.FILTER('Employés  '!$A:$A, ('Employés  '!$C:$C="RAHMA")*('Employés  '!$D:$D="NUIT")),"")</f>
        <v/>
      </c>
      <c r="N11" s="38" t="str" cm="1">
        <f t="array" ref="N11">IFERROR(_xlfn._xlws.FILTER('Employés  '!$B:$B, ('Employés  '!$C:$C="RAHMA")*('Employés  '!$D:$D="NUIT")),"")</f>
        <v/>
      </c>
      <c r="O11" s="18"/>
    </row>
    <row r="12" spans="1:15" ht="18" customHeight="1" x14ac:dyDescent="0.25">
      <c r="A12" s="14"/>
      <c r="B12" s="30"/>
      <c r="C12" s="18"/>
      <c r="D12" s="38"/>
      <c r="E12" s="18"/>
      <c r="F12" s="18"/>
      <c r="G12" s="30"/>
      <c r="I12" s="22"/>
      <c r="J12" s="53"/>
      <c r="L12" s="30"/>
      <c r="N12" s="22"/>
      <c r="O12" s="53"/>
    </row>
    <row r="13" spans="1:15" ht="18" customHeight="1" x14ac:dyDescent="0.25">
      <c r="A13" s="14"/>
      <c r="B13" s="30"/>
      <c r="C13" s="18"/>
      <c r="D13" s="38"/>
      <c r="E13" s="18"/>
      <c r="F13" s="18"/>
      <c r="G13" s="30"/>
      <c r="I13" s="22"/>
      <c r="J13" s="53"/>
      <c r="L13" s="30"/>
      <c r="N13" s="22"/>
      <c r="O13" s="53"/>
    </row>
    <row r="14" spans="1:15" ht="18" customHeight="1" x14ac:dyDescent="0.25">
      <c r="A14" s="14"/>
      <c r="B14" s="30"/>
      <c r="C14" s="18"/>
      <c r="D14" s="38"/>
      <c r="E14" s="18"/>
      <c r="F14" s="18"/>
      <c r="G14" s="30"/>
      <c r="I14" s="22"/>
      <c r="J14" s="53"/>
      <c r="L14" s="30"/>
      <c r="N14" s="22"/>
      <c r="O14" s="53"/>
    </row>
    <row r="15" spans="1:15" ht="18" customHeight="1" x14ac:dyDescent="0.25">
      <c r="A15" s="14"/>
      <c r="B15" s="30"/>
      <c r="C15" s="17"/>
      <c r="D15" s="38"/>
      <c r="E15" s="18"/>
      <c r="F15" s="1"/>
      <c r="G15" s="30"/>
      <c r="I15" s="22"/>
      <c r="J15" s="53"/>
      <c r="L15" s="30"/>
      <c r="N15" s="22"/>
      <c r="O15" s="53"/>
    </row>
    <row r="16" spans="1:15" ht="18" customHeight="1" x14ac:dyDescent="0.25">
      <c r="A16" s="14"/>
      <c r="B16" s="30"/>
      <c r="C16" s="17"/>
      <c r="D16" s="38"/>
      <c r="E16" s="18"/>
      <c r="F16" s="1"/>
      <c r="G16" s="30"/>
      <c r="I16" s="22"/>
      <c r="J16" s="53"/>
      <c r="L16" s="30"/>
      <c r="N16" s="22"/>
      <c r="O16" s="53"/>
    </row>
    <row r="17" spans="1:15" ht="18" customHeight="1" x14ac:dyDescent="0.25">
      <c r="A17" s="14"/>
      <c r="B17" s="30"/>
      <c r="C17" s="17"/>
      <c r="D17" s="38"/>
      <c r="E17" s="18"/>
      <c r="F17" s="1"/>
      <c r="G17" s="30"/>
      <c r="I17" s="22"/>
      <c r="J17" s="53"/>
      <c r="L17" s="30"/>
      <c r="N17" s="22"/>
      <c r="O17" s="53"/>
    </row>
    <row r="18" spans="1:15" ht="18" customHeight="1" x14ac:dyDescent="0.25">
      <c r="A18" s="14"/>
      <c r="B18" s="30"/>
      <c r="C18" s="17"/>
      <c r="D18" s="38"/>
      <c r="E18" s="18"/>
      <c r="F18" s="1"/>
      <c r="G18" s="30"/>
      <c r="I18" s="22"/>
      <c r="J18" s="53"/>
      <c r="L18" s="30"/>
      <c r="N18" s="22"/>
      <c r="O18" s="53"/>
    </row>
    <row r="19" spans="1:15" ht="15" customHeight="1" thickBot="1" x14ac:dyDescent="0.3">
      <c r="A19" s="14"/>
      <c r="B19" s="20"/>
      <c r="C19" s="17"/>
      <c r="D19" s="23"/>
      <c r="E19" s="53"/>
      <c r="F19" s="1"/>
      <c r="G19" s="20"/>
      <c r="I19" s="23"/>
      <c r="J19" s="53"/>
      <c r="L19" s="28"/>
      <c r="N19" s="16"/>
    </row>
    <row r="20" spans="1:15" ht="15.75" customHeight="1" thickTop="1" x14ac:dyDescent="0.25">
      <c r="A20" s="14"/>
      <c r="B20" s="1"/>
      <c r="C20" s="1"/>
      <c r="D20" s="1"/>
      <c r="E20" s="1"/>
      <c r="F20" s="1"/>
    </row>
    <row r="22" spans="1:15" ht="48" customHeight="1" x14ac:dyDescent="0.25">
      <c r="B22" s="102" t="s">
        <v>162</v>
      </c>
      <c r="C22" s="103"/>
      <c r="D22" s="103"/>
      <c r="E22" s="63" t="str">
        <f>+Résultat!E16</f>
        <v>✓</v>
      </c>
      <c r="G22" s="106" t="s">
        <v>59</v>
      </c>
      <c r="H22" s="107"/>
      <c r="I22" s="107"/>
      <c r="J22" s="64" t="str">
        <f>+Résultat!E22</f>
        <v>✓</v>
      </c>
    </row>
    <row r="23" spans="1:15" ht="15.75" thickBot="1" x14ac:dyDescent="0.3"/>
    <row r="24" spans="1:15" ht="15.75" thickTop="1" x14ac:dyDescent="0.25">
      <c r="B24" s="26"/>
      <c r="D24" s="15"/>
      <c r="G24" s="26"/>
      <c r="I24" s="15"/>
    </row>
    <row r="25" spans="1:15" ht="23.25" x14ac:dyDescent="0.25">
      <c r="B25" s="30" t="str" cm="1">
        <f t="array" ref="B25">IFERROR(_xlfn._xlws.FILTER('Employés  '!$A:$A, (('Employés  '!$C:$C="AZHAR")+('Employés  '!C:C="ANASSI"))*('Employés  '!$D:$D="NUIT")),"")</f>
        <v/>
      </c>
      <c r="D25" s="38" t="str" cm="1">
        <f t="array" ref="D25">IFERROR(_xlfn._xlws.FILTER('Employés  '!$B:$B, (('Employés  '!$C:$C="AZHAR")+('Employés  '!C:C="ANASSI"))*('Employés  '!$D:$D="NUIT")),"")</f>
        <v/>
      </c>
      <c r="E25" s="18"/>
      <c r="G25" s="30" t="str" cm="1">
        <f t="array" ref="G25">IFERROR(_xlfn._xlws.FILTER('Employés  '!$A:$A, (('Employés  '!$C:$C="SIDI OTHMANE")+('Employés  '!C:C="HAY MOLAY RCHID")+('Employés  '!C:C="HAY MOHAMMEDI"))*('Employés  '!$D:$D="NUIT")),"")</f>
        <v/>
      </c>
      <c r="I25" s="38" t="str" cm="1">
        <f t="array" ref="I25">IFERROR(_xlfn._xlws.FILTER('Employés  '!$B:$B, (('Employés  '!$C:$C="SIDI OTHMANE")+('Employés  '!C:C="HAY MOLAY RCHID")+('Employés  '!C:C="HAY MOHAMMEDI"))*('Employés  '!$D:$D="NUIT")),"")</f>
        <v/>
      </c>
      <c r="J25" s="18"/>
    </row>
    <row r="26" spans="1:15" ht="23.25" x14ac:dyDescent="0.25">
      <c r="B26" s="30"/>
      <c r="D26" s="22"/>
      <c r="E26" s="53"/>
      <c r="G26" s="30"/>
      <c r="I26" s="22"/>
      <c r="J26" s="53"/>
    </row>
    <row r="27" spans="1:15" ht="23.25" x14ac:dyDescent="0.25">
      <c r="B27" s="30"/>
      <c r="D27" s="22"/>
      <c r="E27" s="53"/>
      <c r="G27" s="30"/>
      <c r="I27" s="22"/>
      <c r="J27" s="53"/>
    </row>
    <row r="28" spans="1:15" ht="23.25" x14ac:dyDescent="0.25">
      <c r="B28" s="30"/>
      <c r="D28" s="22"/>
      <c r="E28" s="53"/>
      <c r="G28" s="30"/>
      <c r="I28" s="22"/>
      <c r="J28" s="53"/>
    </row>
    <row r="29" spans="1:15" ht="23.25" x14ac:dyDescent="0.25">
      <c r="B29" s="30"/>
      <c r="D29" s="22"/>
      <c r="E29" s="53"/>
      <c r="G29" s="30"/>
      <c r="I29" s="22"/>
      <c r="J29" s="53"/>
    </row>
    <row r="30" spans="1:15" ht="23.25" x14ac:dyDescent="0.25">
      <c r="B30" s="30"/>
      <c r="D30" s="27"/>
      <c r="G30" s="30"/>
      <c r="I30" s="22"/>
      <c r="J30" s="53"/>
    </row>
    <row r="31" spans="1:15" ht="23.25" x14ac:dyDescent="0.25">
      <c r="B31" s="30"/>
      <c r="D31" s="27"/>
      <c r="G31" s="30"/>
      <c r="I31" s="22"/>
      <c r="J31" s="53"/>
    </row>
    <row r="32" spans="1:15" ht="23.25" x14ac:dyDescent="0.25">
      <c r="B32" s="30"/>
      <c r="D32" s="27"/>
      <c r="G32" s="30"/>
      <c r="I32" s="22"/>
      <c r="J32" s="53"/>
    </row>
    <row r="33" spans="2:10" ht="23.25" x14ac:dyDescent="0.25">
      <c r="B33" s="30"/>
      <c r="D33" s="27"/>
      <c r="G33" s="30"/>
      <c r="I33" s="22"/>
      <c r="J33" s="53"/>
    </row>
    <row r="34" spans="2:10" ht="15.75" thickBot="1" x14ac:dyDescent="0.3">
      <c r="B34" s="28"/>
      <c r="D34" s="16"/>
      <c r="G34" s="28"/>
      <c r="I34" s="16"/>
    </row>
    <row r="35" spans="2:10" ht="15.75" thickTop="1" x14ac:dyDescent="0.25"/>
    <row r="39" spans="2:10" ht="48" customHeight="1" x14ac:dyDescent="0.25"/>
    <row r="58" ht="10.5" customHeight="1" x14ac:dyDescent="0.25"/>
  </sheetData>
  <mergeCells count="5">
    <mergeCell ref="L8:N8"/>
    <mergeCell ref="B22:D22"/>
    <mergeCell ref="G22:I22"/>
    <mergeCell ref="B8:D8"/>
    <mergeCell ref="G8:I8"/>
  </mergeCells>
  <pageMargins left="0.7" right="0.7" top="0.75" bottom="0.75" header="0.3" footer="0.3"/>
  <pageSetup paperSize="9" scale="26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4470-CA03-4AA0-806A-3C03C18CD5F4}">
  <sheetPr>
    <tabColor rgb="FFFFFF00"/>
  </sheetPr>
  <dimension ref="A2:O66"/>
  <sheetViews>
    <sheetView showGridLines="0" topLeftCell="A17" zoomScale="69" zoomScaleNormal="69" workbookViewId="0">
      <selection activeCell="D2" sqref="D2"/>
    </sheetView>
  </sheetViews>
  <sheetFormatPr baseColWidth="10" defaultRowHeight="15" x14ac:dyDescent="0.25"/>
  <cols>
    <col min="1" max="1" width="8.5703125" customWidth="1"/>
    <col min="2" max="2" width="26.140625" customWidth="1"/>
    <col min="3" max="3" width="1.140625" customWidth="1"/>
    <col min="4" max="4" width="57" customWidth="1"/>
    <col min="5" max="5" width="8.28515625" customWidth="1"/>
    <col min="6" max="6" width="2.140625" customWidth="1"/>
    <col min="7" max="7" width="27.7109375" customWidth="1"/>
    <col min="8" max="8" width="1.7109375" customWidth="1"/>
    <col min="9" max="9" width="47" customWidth="1"/>
    <col min="10" max="10" width="7.7109375" customWidth="1"/>
    <col min="11" max="11" width="2.140625" customWidth="1"/>
    <col min="12" max="12" width="31" customWidth="1"/>
    <col min="13" max="13" width="1.7109375" customWidth="1"/>
    <col min="14" max="14" width="46.85546875" customWidth="1"/>
    <col min="15" max="15" width="8.42578125" customWidth="1"/>
    <col min="16" max="16" width="1.7109375" customWidth="1"/>
    <col min="17" max="17" width="24.7109375" customWidth="1"/>
    <col min="18" max="18" width="1.7109375" customWidth="1"/>
    <col min="19" max="19" width="47" customWidth="1"/>
    <col min="20" max="20" width="1.7109375" customWidth="1"/>
    <col min="21" max="21" width="29.28515625" customWidth="1"/>
    <col min="22" max="22" width="1.7109375" customWidth="1"/>
    <col min="23" max="23" width="27.7109375" customWidth="1"/>
    <col min="24" max="24" width="1.7109375" customWidth="1"/>
    <col min="25" max="25" width="31.28515625" customWidth="1"/>
    <col min="26" max="26" width="2" customWidth="1"/>
    <col min="27" max="27" width="31.28515625" customWidth="1"/>
  </cols>
  <sheetData>
    <row r="2" spans="1:15" ht="37.5" customHeight="1" x14ac:dyDescent="0.25">
      <c r="B2" s="48">
        <f ca="1">_xlfn.ISOWEEKNUM(TODAY())</f>
        <v>28</v>
      </c>
      <c r="D2" s="45" t="str">
        <f ca="1">"Semaine " &amp; B2 +1 &amp; " : du " &amp; TEXT(DATE(2025,1,1) - MOD(WEEKDAY(DATE(2025,1,1),2)-1,7) + (B2)*7, "jj/mm/aaaa") &amp; " au " &amp; TEXT(DATE(2025,1,1) - MOD(WEEKDAY(DATE(2025,1,1),2)-1,7) + (B2)*7 + 5, "jj/mm/aaaa")</f>
        <v>Semaine 29 : du 14/07/2025 au 19/07/2025</v>
      </c>
    </row>
    <row r="4" spans="1:15" ht="44.25" customHeight="1" x14ac:dyDescent="0.25">
      <c r="G4" s="29"/>
      <c r="I4" s="46">
        <f>SUMIF('Résultat Normal'!B:B,"NORMAL",'Résultat Normal'!D:D)</f>
        <v>0</v>
      </c>
      <c r="J4" s="46"/>
      <c r="L4" s="47"/>
    </row>
    <row r="5" spans="1:15" ht="8.25" customHeight="1" x14ac:dyDescent="0.25"/>
    <row r="6" spans="1:15" ht="8.25" customHeight="1" x14ac:dyDescent="0.25"/>
    <row r="7" spans="1:15" ht="15" customHeight="1" x14ac:dyDescent="0.25">
      <c r="A7" s="14"/>
    </row>
    <row r="8" spans="1:15" ht="48" customHeight="1" x14ac:dyDescent="0.25">
      <c r="A8" s="14"/>
      <c r="B8" s="112" t="s">
        <v>56</v>
      </c>
      <c r="C8" s="113"/>
      <c r="D8" s="113"/>
      <c r="E8" s="52" t="str">
        <f>+Résultat!E2</f>
        <v>✓</v>
      </c>
      <c r="G8" s="114" t="s">
        <v>26</v>
      </c>
      <c r="H8" s="115"/>
      <c r="I8" s="115"/>
      <c r="J8" s="54" t="str">
        <f>+Résultat!E5</f>
        <v>✓</v>
      </c>
      <c r="L8" s="98" t="s">
        <v>57</v>
      </c>
      <c r="M8" s="99"/>
      <c r="N8" s="99"/>
      <c r="O8" s="61" t="str">
        <f>+Résultat!E8</f>
        <v>✓</v>
      </c>
    </row>
    <row r="9" spans="1:15" ht="15" customHeight="1" thickBot="1" x14ac:dyDescent="0.3">
      <c r="A9" s="14"/>
    </row>
    <row r="10" spans="1:15" ht="15.75" customHeight="1" thickTop="1" x14ac:dyDescent="0.25">
      <c r="A10" s="14"/>
      <c r="B10" s="19"/>
      <c r="C10" s="17"/>
      <c r="D10" s="21"/>
      <c r="G10" s="19"/>
      <c r="I10" s="21"/>
      <c r="J10" s="53"/>
      <c r="L10" s="26"/>
      <c r="N10" s="15"/>
    </row>
    <row r="11" spans="1:15" ht="18" customHeight="1" x14ac:dyDescent="0.25">
      <c r="A11" s="14"/>
      <c r="B11" s="30" t="str" cm="1">
        <f t="array" ref="B11">IFERROR(_xlfn._xlws.FILTER('Employés  '!$A:$A, ('Employés  '!$C:$C="DERB SULTAN")*('Employés  '!$D:$D="NORMAL")),"")</f>
        <v/>
      </c>
      <c r="C11" s="18"/>
      <c r="D11" s="38" t="str" cm="1">
        <f t="array" ref="D11">IFERROR(_xlfn._xlws.FILTER('Employés  '!$B:$B, ('Employés  '!$C:$C="DERB SULTAN")*('Employés  '!$D:$D="NORMAL")),"")</f>
        <v/>
      </c>
      <c r="E11" s="18"/>
      <c r="F11" s="18"/>
      <c r="G11" s="30" t="str" cm="1">
        <f t="array" ref="G11">IFERROR(_xlfn._xlws.FILTER('Employés  '!$A:$A, ('Employés  '!$C:$C="SIDI MOUMEN")*('Employés  '!$D:$D="NORMAL")),"")</f>
        <v/>
      </c>
      <c r="I11" s="38" t="str" cm="1">
        <f t="array" ref="I11">IFERROR(_xlfn._xlws.FILTER('Employés  '!$B:$B, ('Employés  '!$C:$C="SIDI MOUMEN")*('Employés  '!$D:$D="NORMAL")),"")</f>
        <v/>
      </c>
      <c r="J11" s="18"/>
      <c r="L11" s="30" t="str" cm="1">
        <f t="array" ref="L11">IFERROR(_xlfn._xlws.FILTER('Employés  '!$A:$A, ('Employés  '!$C:$C="RAHMA")*('Employés  '!$D:$D="NORMAL")),"")</f>
        <v/>
      </c>
      <c r="N11" s="38" t="str" cm="1">
        <f t="array" ref="N11">IFERROR(_xlfn._xlws.FILTER('Employés  '!$B:$B, ('Employés  '!$C:$C="RAHMA")*('Employés  '!$D:$D="NORMAL")),"")</f>
        <v/>
      </c>
      <c r="O11" s="18"/>
    </row>
    <row r="12" spans="1:15" ht="18" customHeight="1" x14ac:dyDescent="0.25">
      <c r="A12" s="14"/>
      <c r="B12" s="30"/>
      <c r="C12" s="18"/>
      <c r="D12" s="38"/>
      <c r="E12" s="18"/>
      <c r="F12" s="18"/>
      <c r="G12" s="30"/>
      <c r="I12" s="22"/>
      <c r="J12" s="53"/>
      <c r="L12" s="30"/>
      <c r="N12" s="22"/>
      <c r="O12" s="53"/>
    </row>
    <row r="13" spans="1:15" ht="18" customHeight="1" x14ac:dyDescent="0.25">
      <c r="A13" s="14"/>
      <c r="B13" s="30"/>
      <c r="C13" s="18"/>
      <c r="D13" s="38"/>
      <c r="E13" s="18"/>
      <c r="F13" s="18"/>
      <c r="G13" s="30"/>
      <c r="I13" s="22"/>
      <c r="J13" s="53"/>
      <c r="L13" s="30"/>
      <c r="N13" s="22"/>
      <c r="O13" s="53"/>
    </row>
    <row r="14" spans="1:15" ht="18" customHeight="1" x14ac:dyDescent="0.25">
      <c r="A14" s="14"/>
      <c r="B14" s="30"/>
      <c r="C14" s="18"/>
      <c r="D14" s="38"/>
      <c r="E14" s="18"/>
      <c r="F14" s="18"/>
      <c r="G14" s="30"/>
      <c r="I14" s="22"/>
      <c r="J14" s="53"/>
      <c r="L14" s="30"/>
      <c r="N14" s="22"/>
      <c r="O14" s="53"/>
    </row>
    <row r="15" spans="1:15" ht="18" customHeight="1" x14ac:dyDescent="0.25">
      <c r="A15" s="14"/>
      <c r="B15" s="30"/>
      <c r="C15" s="17"/>
      <c r="D15" s="38"/>
      <c r="E15" s="1"/>
      <c r="F15" s="1"/>
      <c r="G15" s="30"/>
      <c r="I15" s="22"/>
      <c r="J15" s="53"/>
      <c r="L15" s="30"/>
      <c r="N15" s="22"/>
      <c r="O15" s="53"/>
    </row>
    <row r="16" spans="1:15" ht="18" customHeight="1" x14ac:dyDescent="0.25">
      <c r="A16" s="14"/>
      <c r="B16" s="30"/>
      <c r="C16" s="17"/>
      <c r="D16" s="38"/>
      <c r="E16" s="1"/>
      <c r="F16" s="1"/>
      <c r="G16" s="30"/>
      <c r="I16" s="22"/>
      <c r="J16" s="53"/>
      <c r="L16" s="30"/>
      <c r="N16" s="22"/>
      <c r="O16" s="53"/>
    </row>
    <row r="17" spans="1:15" ht="18" customHeight="1" x14ac:dyDescent="0.25">
      <c r="A17" s="14"/>
      <c r="B17" s="30"/>
      <c r="C17" s="17"/>
      <c r="D17" s="38"/>
      <c r="E17" s="1"/>
      <c r="F17" s="1"/>
      <c r="G17" s="30"/>
      <c r="I17" s="22"/>
      <c r="J17" s="53"/>
      <c r="L17" s="30"/>
      <c r="N17" s="22"/>
      <c r="O17" s="53"/>
    </row>
    <row r="18" spans="1:15" ht="18" customHeight="1" x14ac:dyDescent="0.25">
      <c r="A18" s="14"/>
      <c r="B18" s="30"/>
      <c r="C18" s="17"/>
      <c r="D18" s="38"/>
      <c r="E18" s="1"/>
      <c r="F18" s="1"/>
      <c r="G18" s="30"/>
      <c r="I18" s="22"/>
      <c r="J18" s="53"/>
      <c r="L18" s="30"/>
      <c r="N18" s="22"/>
      <c r="O18" s="53"/>
    </row>
    <row r="19" spans="1:15" ht="18" customHeight="1" x14ac:dyDescent="0.25">
      <c r="A19" s="14"/>
      <c r="B19" s="30"/>
      <c r="C19" s="17"/>
      <c r="D19" s="38"/>
      <c r="E19" s="1"/>
      <c r="F19" s="1"/>
      <c r="G19" s="30"/>
      <c r="I19" s="22"/>
      <c r="J19" s="53"/>
      <c r="L19" s="30"/>
      <c r="N19" s="22"/>
      <c r="O19" s="53"/>
    </row>
    <row r="20" spans="1:15" ht="18" customHeight="1" x14ac:dyDescent="0.25">
      <c r="A20" s="14"/>
      <c r="B20" s="30"/>
      <c r="C20" s="17"/>
      <c r="D20" s="38"/>
      <c r="E20" s="1"/>
      <c r="F20" s="1"/>
      <c r="G20" s="30"/>
      <c r="I20" s="22"/>
      <c r="J20" s="53"/>
      <c r="L20" s="30"/>
      <c r="N20" s="22"/>
      <c r="O20" s="53"/>
    </row>
    <row r="21" spans="1:15" ht="18" customHeight="1" x14ac:dyDescent="0.25">
      <c r="A21" s="14"/>
      <c r="B21" s="30"/>
      <c r="C21" s="17"/>
      <c r="D21" s="38"/>
      <c r="E21" s="1"/>
      <c r="F21" s="1"/>
      <c r="G21" s="30"/>
      <c r="I21" s="22"/>
      <c r="J21" s="53"/>
      <c r="L21" s="30"/>
      <c r="N21" s="22"/>
      <c r="O21" s="53"/>
    </row>
    <row r="22" spans="1:15" ht="15" customHeight="1" thickBot="1" x14ac:dyDescent="0.3">
      <c r="A22" s="14"/>
      <c r="B22" s="20"/>
      <c r="C22" s="17"/>
      <c r="D22" s="23"/>
      <c r="E22" s="1"/>
      <c r="F22" s="1"/>
      <c r="G22" s="20"/>
      <c r="I22" s="23"/>
      <c r="J22" s="53"/>
      <c r="L22" s="28"/>
      <c r="N22" s="16"/>
    </row>
    <row r="23" spans="1:15" ht="15.75" customHeight="1" thickTop="1" x14ac:dyDescent="0.25">
      <c r="A23" s="14"/>
      <c r="B23" s="1"/>
      <c r="C23" s="1"/>
      <c r="D23" s="1"/>
      <c r="E23" s="1"/>
      <c r="F23" s="1"/>
    </row>
    <row r="25" spans="1:15" ht="48" customHeight="1" x14ac:dyDescent="0.25">
      <c r="B25" s="100" t="s">
        <v>58</v>
      </c>
      <c r="C25" s="101"/>
      <c r="D25" s="101"/>
      <c r="E25" s="55" t="str">
        <f>+Résultat!E11</f>
        <v>✓</v>
      </c>
      <c r="G25" s="102" t="s">
        <v>162</v>
      </c>
      <c r="H25" s="103"/>
      <c r="I25" s="103"/>
      <c r="J25" s="56" t="str">
        <f>+Résultat!E14</f>
        <v>✓</v>
      </c>
      <c r="L25" s="104" t="s">
        <v>10</v>
      </c>
      <c r="M25" s="105"/>
      <c r="N25" s="105"/>
      <c r="O25" s="57" t="str">
        <f>+Résultat!E17</f>
        <v>✓</v>
      </c>
    </row>
    <row r="28" spans="1:15" ht="15.75" thickBot="1" x14ac:dyDescent="0.3"/>
    <row r="29" spans="1:15" ht="15.75" thickTop="1" x14ac:dyDescent="0.25">
      <c r="B29" s="26"/>
      <c r="D29" s="15"/>
      <c r="G29" s="26"/>
      <c r="I29" s="15"/>
      <c r="L29" s="26"/>
      <c r="N29" s="15"/>
    </row>
    <row r="30" spans="1:15" ht="23.25" x14ac:dyDescent="0.25">
      <c r="B30" s="30" t="str" cm="1">
        <f t="array" ref="B30">IFERROR(_xlfn._xlws.FILTER('Employés  '!$A:$A, ('Employés  '!$C:$C="AZHAR")*('Employés  '!$D:$D="NORMAL")),"")</f>
        <v/>
      </c>
      <c r="D30" s="38" t="str" cm="1">
        <f t="array" ref="D30">IFERROR(_xlfn._xlws.FILTER('Employés  '!$B:$B, ('Employés  '!$C:$C="AZHAR")*('Employés  '!$D:$D="NORMAL")),"")</f>
        <v/>
      </c>
      <c r="G30" s="30" t="str" cm="1">
        <f t="array" ref="G30">IFERROR(_xlfn._xlws.FILTER('Employés  '!$A:$A, ('Employés  '!$C:$C="ANASSI")*('Employés  '!$D:$D="NORMAL")),"")</f>
        <v/>
      </c>
      <c r="I30" s="38" t="str" cm="1">
        <f t="array" ref="I30">IFERROR(_xlfn._xlws.FILTER('Employés  '!$B:$B, ('Employés  '!$C:$C="ANASSI")*('Employés  '!$D:$D="NORMAL")),"")</f>
        <v/>
      </c>
      <c r="J30" s="18"/>
      <c r="L30" s="30" t="str" cm="1">
        <f t="array" ref="L30">IFERROR(_xlfn._xlws.FILTER('Employés  '!$A:$A, ('Employés  '!$C:$C="MOHAMMEDIA")*('Employés  '!$D:$D="NORMAL")),"")</f>
        <v/>
      </c>
      <c r="N30" s="38" t="str" cm="1">
        <f t="array" ref="N30">IFERROR(_xlfn._xlws.FILTER('Employés  '!$B:$B, ('Employés  '!$C:$C="MOHAMMEDIA")*('Employés  '!$D:$D="NORMAL")),"")</f>
        <v/>
      </c>
      <c r="O30" s="18"/>
    </row>
    <row r="31" spans="1:15" ht="23.25" x14ac:dyDescent="0.25">
      <c r="B31" s="30"/>
      <c r="D31" s="22"/>
      <c r="G31" s="30"/>
      <c r="I31" s="22"/>
      <c r="J31" s="53"/>
      <c r="L31" s="30"/>
      <c r="N31" s="22"/>
      <c r="O31" s="53"/>
    </row>
    <row r="32" spans="1:15" ht="23.25" x14ac:dyDescent="0.25">
      <c r="B32" s="30"/>
      <c r="D32" s="22"/>
      <c r="G32" s="30"/>
      <c r="I32" s="22"/>
      <c r="J32" s="53"/>
      <c r="L32" s="30"/>
      <c r="N32" s="22"/>
      <c r="O32" s="53"/>
    </row>
    <row r="33" spans="2:15" ht="23.25" x14ac:dyDescent="0.25">
      <c r="B33" s="30"/>
      <c r="D33" s="22"/>
      <c r="G33" s="30"/>
      <c r="I33" s="22"/>
      <c r="J33" s="53"/>
      <c r="L33" s="30"/>
      <c r="N33" s="22"/>
      <c r="O33" s="53"/>
    </row>
    <row r="34" spans="2:15" ht="23.25" x14ac:dyDescent="0.25">
      <c r="B34" s="30"/>
      <c r="D34" s="22"/>
      <c r="G34" s="30"/>
      <c r="I34" s="22"/>
      <c r="J34" s="53"/>
      <c r="L34" s="30"/>
      <c r="N34" s="22"/>
      <c r="O34" s="53"/>
    </row>
    <row r="35" spans="2:15" ht="23.25" x14ac:dyDescent="0.25">
      <c r="B35" s="30"/>
      <c r="D35" s="22"/>
      <c r="G35" s="30"/>
      <c r="I35" s="27"/>
      <c r="L35" s="30"/>
      <c r="N35" s="22"/>
      <c r="O35" s="53"/>
    </row>
    <row r="36" spans="2:15" ht="20.25" customHeight="1" x14ac:dyDescent="0.25">
      <c r="B36" s="30"/>
      <c r="D36" s="22"/>
      <c r="G36" s="30"/>
      <c r="I36" s="27"/>
      <c r="L36" s="30"/>
      <c r="N36" s="27"/>
    </row>
    <row r="37" spans="2:15" ht="20.25" customHeight="1" x14ac:dyDescent="0.25">
      <c r="B37" s="30"/>
      <c r="D37" s="22"/>
      <c r="G37" s="30"/>
      <c r="I37" s="27"/>
      <c r="L37" s="30"/>
      <c r="N37" s="27"/>
    </row>
    <row r="38" spans="2:15" ht="20.25" customHeight="1" x14ac:dyDescent="0.25">
      <c r="B38" s="30"/>
      <c r="D38" s="22"/>
      <c r="G38" s="30"/>
      <c r="I38" s="27"/>
      <c r="L38" s="30"/>
      <c r="N38" s="27"/>
    </row>
    <row r="39" spans="2:15" ht="20.25" customHeight="1" x14ac:dyDescent="0.25">
      <c r="B39" s="30"/>
      <c r="D39" s="27"/>
      <c r="G39" s="30"/>
      <c r="I39" s="27"/>
      <c r="L39" s="30"/>
      <c r="N39" s="27"/>
    </row>
    <row r="40" spans="2:15" ht="20.25" customHeight="1" x14ac:dyDescent="0.25">
      <c r="B40" s="30"/>
      <c r="D40" s="27"/>
      <c r="G40" s="30"/>
      <c r="I40" s="27"/>
      <c r="L40" s="30"/>
      <c r="N40" s="27"/>
    </row>
    <row r="41" spans="2:15" ht="15.75" thickBot="1" x14ac:dyDescent="0.3">
      <c r="B41" s="28"/>
      <c r="D41" s="16"/>
      <c r="G41" s="28"/>
      <c r="I41" s="16"/>
      <c r="L41" s="28"/>
      <c r="N41" s="16"/>
    </row>
    <row r="42" spans="2:15" ht="15.75" thickTop="1" x14ac:dyDescent="0.25"/>
    <row r="44" spans="2:15" ht="48" customHeight="1" x14ac:dyDescent="0.25">
      <c r="B44" s="106" t="s">
        <v>59</v>
      </c>
      <c r="C44" s="107"/>
      <c r="D44" s="107"/>
      <c r="E44" s="58" t="str">
        <f>+Résultat!E20</f>
        <v>✓</v>
      </c>
      <c r="G44" s="108" t="s">
        <v>60</v>
      </c>
      <c r="H44" s="109"/>
      <c r="I44" s="109"/>
      <c r="J44" s="59" t="str">
        <f>+Résultat!E23</f>
        <v>✓</v>
      </c>
      <c r="L44" s="110" t="s">
        <v>61</v>
      </c>
      <c r="M44" s="111"/>
      <c r="N44" s="111"/>
      <c r="O44" s="60" t="str">
        <f>+Résultat!E26</f>
        <v>✓</v>
      </c>
    </row>
    <row r="47" spans="2:15" ht="15.75" thickBot="1" x14ac:dyDescent="0.3"/>
    <row r="48" spans="2:15" ht="15.75" thickTop="1" x14ac:dyDescent="0.25">
      <c r="B48" s="26"/>
      <c r="D48" s="15"/>
      <c r="G48" s="26"/>
      <c r="I48" s="15"/>
      <c r="L48" s="26"/>
      <c r="N48" s="15"/>
    </row>
    <row r="49" spans="2:15" ht="23.25" x14ac:dyDescent="0.25">
      <c r="B49" s="30" t="str" cm="1">
        <f t="array" ref="B49">IFERROR(_xlfn._xlws.FILTER('Employés  '!$A:$A, ('Employés  '!$C:$C="SIDI OTHMANE")*('Employés  '!$D:$D="NORMAL")),"")</f>
        <v/>
      </c>
      <c r="D49" s="38" t="str" cm="1">
        <f t="array" ref="D49">IFERROR(_xlfn._xlws.FILTER('Employés  '!$B:$B, ('Employés  '!$C:$C="SIDI OTHMANE")*('Employés  '!$D:$D="NORMAL")),"")</f>
        <v/>
      </c>
      <c r="G49" s="30" t="str" cm="1">
        <f t="array" ref="G49">IFERROR(_xlfn._xlws.FILTER('Employés  '!$A:$A, ('Employés  '!$C:$C="HAY MOLAY RCHID")*('Employés  '!$D:$D="NORMAL")),"")</f>
        <v/>
      </c>
      <c r="I49" s="38" t="str" cm="1">
        <f t="array" ref="I49">IFERROR(_xlfn._xlws.FILTER('Employés  '!$B:$B, ('Employés  '!$C:$C="HAY MOLAY RCHID")*('Employés  '!$D:$D="NORMAL")),"")</f>
        <v/>
      </c>
      <c r="J49" s="18"/>
      <c r="L49" s="30" t="str" cm="1">
        <f t="array" ref="L49">IFERROR(_xlfn._xlws.FILTER('Employés  '!$A:$A, ('Employés  '!$C:$C="HAY MOHAMMEDI")*('Employés  '!$D:$D="NORMAL")),"")</f>
        <v/>
      </c>
      <c r="N49" s="38" t="str" cm="1">
        <f t="array" ref="N49">IFERROR(_xlfn._xlws.FILTER('Employés  '!$B:$B, ('Employés  '!$C:$C="HAY MOHAMMEDI")*('Employés  '!$D:$D="NORMAL")),"")</f>
        <v/>
      </c>
      <c r="O49" s="18"/>
    </row>
    <row r="50" spans="2:15" ht="23.25" x14ac:dyDescent="0.25">
      <c r="B50" s="30"/>
      <c r="D50" s="22"/>
      <c r="G50" s="30"/>
      <c r="I50" s="38"/>
      <c r="J50" s="18"/>
      <c r="L50" s="30"/>
      <c r="N50" s="22"/>
      <c r="O50" s="53"/>
    </row>
    <row r="51" spans="2:15" ht="23.25" x14ac:dyDescent="0.25">
      <c r="B51" s="30"/>
      <c r="D51" s="22"/>
      <c r="G51" s="30"/>
      <c r="I51" s="38"/>
      <c r="J51" s="18"/>
      <c r="L51" s="30"/>
      <c r="N51" s="22"/>
      <c r="O51" s="53"/>
    </row>
    <row r="52" spans="2:15" ht="23.25" x14ac:dyDescent="0.25">
      <c r="B52" s="30"/>
      <c r="D52" s="22"/>
      <c r="G52" s="30"/>
      <c r="I52" s="38"/>
      <c r="J52" s="18"/>
      <c r="L52" s="30"/>
      <c r="N52" s="22"/>
      <c r="O52" s="53"/>
    </row>
    <row r="53" spans="2:15" ht="23.25" x14ac:dyDescent="0.25">
      <c r="B53" s="30"/>
      <c r="D53" s="22"/>
      <c r="G53" s="30"/>
      <c r="I53" s="38"/>
      <c r="J53" s="18"/>
      <c r="L53" s="30"/>
      <c r="N53" s="22"/>
      <c r="O53" s="53"/>
    </row>
    <row r="54" spans="2:15" ht="23.25" x14ac:dyDescent="0.25">
      <c r="B54" s="30"/>
      <c r="D54" s="22"/>
      <c r="G54" s="30"/>
      <c r="I54" s="38"/>
      <c r="J54" s="18"/>
      <c r="L54" s="30"/>
      <c r="N54" s="22"/>
      <c r="O54" s="53"/>
    </row>
    <row r="55" spans="2:15" ht="18.75" customHeight="1" x14ac:dyDescent="0.25">
      <c r="B55" s="30"/>
      <c r="D55" s="22"/>
      <c r="G55" s="30"/>
      <c r="I55" s="38"/>
      <c r="J55" s="18"/>
      <c r="L55" s="30"/>
      <c r="N55" s="22"/>
      <c r="O55" s="53"/>
    </row>
    <row r="56" spans="2:15" ht="18.75" customHeight="1" x14ac:dyDescent="0.25">
      <c r="B56" s="30"/>
      <c r="D56" s="22"/>
      <c r="G56" s="30"/>
      <c r="I56" s="38"/>
      <c r="J56" s="18"/>
      <c r="L56" s="30"/>
      <c r="N56" s="22"/>
      <c r="O56" s="53"/>
    </row>
    <row r="57" spans="2:15" ht="18.75" customHeight="1" x14ac:dyDescent="0.25">
      <c r="B57" s="30"/>
      <c r="D57" s="22"/>
      <c r="G57" s="30"/>
      <c r="I57" s="38"/>
      <c r="J57" s="18"/>
      <c r="L57" s="30"/>
      <c r="N57" s="22"/>
      <c r="O57" s="53"/>
    </row>
    <row r="58" spans="2:15" ht="18.75" customHeight="1" x14ac:dyDescent="0.25">
      <c r="B58" s="30"/>
      <c r="D58" s="22"/>
      <c r="G58" s="30"/>
      <c r="I58" s="38"/>
      <c r="J58" s="18"/>
      <c r="L58" s="30"/>
      <c r="N58" s="22"/>
      <c r="O58" s="53"/>
    </row>
    <row r="59" spans="2:15" ht="18.75" customHeight="1" x14ac:dyDescent="0.25">
      <c r="B59" s="30"/>
      <c r="D59" s="22"/>
      <c r="G59" s="30"/>
      <c r="I59" s="38"/>
      <c r="J59" s="18"/>
      <c r="L59" s="30"/>
      <c r="N59" s="22"/>
      <c r="O59" s="53"/>
    </row>
    <row r="60" spans="2:15" ht="18.75" customHeight="1" x14ac:dyDescent="0.25">
      <c r="B60" s="30"/>
      <c r="D60" s="22"/>
      <c r="G60" s="30"/>
      <c r="I60" s="38"/>
      <c r="J60" s="18"/>
      <c r="L60" s="30"/>
      <c r="N60" s="22"/>
      <c r="O60" s="53"/>
    </row>
    <row r="61" spans="2:15" ht="18.75" customHeight="1" thickBot="1" x14ac:dyDescent="0.3">
      <c r="B61" s="28"/>
      <c r="D61" s="16"/>
      <c r="G61" s="31"/>
      <c r="I61" s="16"/>
      <c r="L61" s="28"/>
      <c r="N61" s="16"/>
    </row>
    <row r="62" spans="2:15" ht="15.75" thickTop="1" x14ac:dyDescent="0.25"/>
    <row r="66" ht="10.5" customHeight="1" x14ac:dyDescent="0.25"/>
  </sheetData>
  <mergeCells count="9">
    <mergeCell ref="B44:D44"/>
    <mergeCell ref="G44:I44"/>
    <mergeCell ref="L44:N44"/>
    <mergeCell ref="B8:D8"/>
    <mergeCell ref="G8:I8"/>
    <mergeCell ref="L8:N8"/>
    <mergeCell ref="B25:D25"/>
    <mergeCell ref="G25:I25"/>
    <mergeCell ref="L25:N25"/>
  </mergeCells>
  <pageMargins left="0.7" right="0.7" top="0.75" bottom="0.75" header="0.3" footer="0.3"/>
  <pageSetup paperSize="9" scale="26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E69C-8EAA-4A2C-9127-89CD764F650F}">
  <dimension ref="A1:J109"/>
  <sheetViews>
    <sheetView zoomScale="96" zoomScaleNormal="96" workbookViewId="0">
      <selection activeCell="I2" sqref="I2"/>
    </sheetView>
  </sheetViews>
  <sheetFormatPr baseColWidth="10" defaultRowHeight="17.25" customHeight="1" x14ac:dyDescent="0.25"/>
  <cols>
    <col min="1" max="1" width="33.28515625" style="5" customWidth="1"/>
    <col min="2" max="2" width="18.28515625" style="3" customWidth="1"/>
    <col min="3" max="3" width="13.85546875" style="1" customWidth="1"/>
    <col min="4" max="4" width="25.85546875" customWidth="1"/>
    <col min="5" max="5" width="3.5703125" customWidth="1"/>
    <col min="6" max="6" width="26.42578125" customWidth="1"/>
    <col min="7" max="7" width="9.5703125" customWidth="1"/>
    <col min="10" max="10" width="3.42578125" customWidth="1"/>
  </cols>
  <sheetData>
    <row r="1" spans="1:10" ht="22.5" customHeight="1" x14ac:dyDescent="0.35">
      <c r="A1" s="7" t="s">
        <v>65</v>
      </c>
      <c r="B1" s="6" t="s">
        <v>0</v>
      </c>
      <c r="C1" s="6" t="s">
        <v>62</v>
      </c>
      <c r="D1" s="6" t="s">
        <v>149</v>
      </c>
      <c r="E1" s="34"/>
      <c r="F1" s="37" t="s">
        <v>150</v>
      </c>
      <c r="G1" s="35" t="s">
        <v>63</v>
      </c>
      <c r="H1" s="36" t="s">
        <v>148</v>
      </c>
      <c r="I1" s="36" t="s">
        <v>64</v>
      </c>
      <c r="J1" s="24"/>
    </row>
    <row r="2" spans="1:10" ht="17.25" customHeight="1" x14ac:dyDescent="0.25">
      <c r="A2" s="3" t="s">
        <v>139</v>
      </c>
      <c r="B2" s="3" t="str">
        <f>_xlfn.XLOOKUP(A2,'Employés  '!A:A,'Employés  '!C:C)</f>
        <v>HAY MOLAY RCHID</v>
      </c>
      <c r="C2" s="2" t="str">
        <f>_xlfn.XLOOKUP(A2,'Employés  '!A:A,'Employés  '!D:D)</f>
        <v>SOIR</v>
      </c>
      <c r="D2" s="33" t="str">
        <f>IF(OR(B2="DERB SULTAN",B2="HAY MOHAMMEDI"),"Groupe A",IF(OR(B2="SIDI MOUMEN",B2="AZHAR",B2="ANASSI"),"Groupe B",IF(OR(B2="LISASFA",B2="RAHMA"),"Groupe C",IF(B2="MOHAMMEDIA","Groupe D",IF(OR(B2="SIDI OTHMANE",B2="HAY MOLAY RCHID"),"Groupe E","Autre")))))</f>
        <v>Groupe E</v>
      </c>
      <c r="E2" s="34"/>
      <c r="F2" s="32" t="s">
        <v>56</v>
      </c>
      <c r="G2" s="2">
        <f>COUNTIFS($B:$B, "DERB SULTAN", $C:$C, "MATIN", $D:$D, "Groupe A")</f>
        <v>5</v>
      </c>
      <c r="H2" s="2">
        <f>COUNTIFS($B:$B, "DERB SULTAN", $C:$C, "SOIR", $D:$D, "Groupe A")</f>
        <v>1</v>
      </c>
      <c r="I2" s="2">
        <f>COUNTIFS($B:$B, "DERB SULTAN", $C:$C, "NUIT", $D:$D, "Groupe A")</f>
        <v>0</v>
      </c>
    </row>
    <row r="3" spans="1:10" ht="17.25" customHeight="1" x14ac:dyDescent="0.25">
      <c r="A3" s="8" t="s">
        <v>100</v>
      </c>
      <c r="B3" s="3" t="str">
        <f>_xlfn.XLOOKUP(A3,'Employés  '!A:A,'Employés  '!C:C)</f>
        <v>RAHMA</v>
      </c>
      <c r="C3" s="2" t="str">
        <f>_xlfn.XLOOKUP(A3,'Employés  '!A:A,'Employés  '!D:D)</f>
        <v>SOIR</v>
      </c>
      <c r="D3" s="33" t="str">
        <f t="shared" ref="D3:D64" si="0">IF(OR(B3="DERB SULTAN",B3="HAY MOHAMMEDI"),"Groupe A",IF(OR(B3="SIDI MOUMEN",B3="AZHAR",B3="ANASSI"),"Groupe B",IF(OR(B3="LISASFA",B3="RAHMA"),"Groupe C",IF(B3="MOHAMMEDIA","Groupe D",IF(OR(B3="SIDI OTHMANE",B3="HAY MOLAY RCHID"),"Groupe E","Autre")))))</f>
        <v>Groupe C</v>
      </c>
      <c r="E3" s="34"/>
      <c r="F3" s="32" t="s">
        <v>61</v>
      </c>
      <c r="G3" s="2">
        <f>COUNTIFS($B:$B, "HAY MOHAMMEDI", $C:$C, "MATIN", $D:$D, "Groupe A")</f>
        <v>3</v>
      </c>
      <c r="H3" s="2">
        <f>COUNTIFS($B:$B, "HAY MOHAMMEDI", $C:$C, "SOIR", $D:$D, "Groupe A")</f>
        <v>5</v>
      </c>
      <c r="I3" s="2">
        <f>COUNTIFS($B:$B, "HAY MOHAMMEDI", $C:$C, "NUIT", $D:$D, "Groupe A")</f>
        <v>0</v>
      </c>
    </row>
    <row r="4" spans="1:10" ht="17.25" customHeight="1" x14ac:dyDescent="0.25">
      <c r="A4" s="3" t="s">
        <v>158</v>
      </c>
      <c r="B4" s="3" t="str">
        <f>_xlfn.XLOOKUP(A4,'Employés  '!A:A,'Employés  '!C:C)</f>
        <v>RAHMA</v>
      </c>
      <c r="C4" s="2" t="str">
        <f>_xlfn.XLOOKUP(A4,'Employés  '!A:A,'Employés  '!D:D)</f>
        <v>MATIN</v>
      </c>
      <c r="D4" s="33" t="str">
        <f t="shared" si="0"/>
        <v>Groupe C</v>
      </c>
      <c r="E4" s="34"/>
    </row>
    <row r="5" spans="1:10" ht="17.25" customHeight="1" x14ac:dyDescent="0.25">
      <c r="A5" s="3" t="s">
        <v>101</v>
      </c>
      <c r="B5" s="3" t="str">
        <f>_xlfn.XLOOKUP(A5,'Employés  '!A:A,'Employés  '!C:C)</f>
        <v>RAHMA</v>
      </c>
      <c r="C5" s="2" t="str">
        <f>_xlfn.XLOOKUP(A5,'Employés  '!A:A,'Employés  '!D:D)</f>
        <v>SOIR</v>
      </c>
      <c r="D5" s="33" t="str">
        <f t="shared" si="0"/>
        <v>Groupe C</v>
      </c>
      <c r="E5" s="34"/>
    </row>
    <row r="6" spans="1:10" ht="17.25" customHeight="1" x14ac:dyDescent="0.25">
      <c r="A6" s="3" t="s">
        <v>145</v>
      </c>
      <c r="B6" s="3" t="str">
        <f>_xlfn.XLOOKUP(A6,'Employés  '!A:A,'Employés  '!C:C)</f>
        <v>SIDI MOUMEN</v>
      </c>
      <c r="C6" s="2" t="str">
        <f>_xlfn.XLOOKUP(A6,'Employés  '!A:A,'Employés  '!D:D)</f>
        <v>SOIR</v>
      </c>
      <c r="D6" s="33" t="str">
        <f t="shared" si="0"/>
        <v>Groupe B</v>
      </c>
      <c r="E6" s="34"/>
    </row>
    <row r="7" spans="1:10" ht="20.25" customHeight="1" x14ac:dyDescent="0.35">
      <c r="A7" s="3" t="s">
        <v>105</v>
      </c>
      <c r="B7" s="3" t="str">
        <f>_xlfn.XLOOKUP(A7,'Employés  '!A:A,'Employés  '!C:C)</f>
        <v>AZHAR</v>
      </c>
      <c r="C7" s="2" t="str">
        <f>_xlfn.XLOOKUP(A7,'Employés  '!A:A,'Employés  '!D:D)</f>
        <v>MATIN</v>
      </c>
      <c r="D7" s="33" t="str">
        <f t="shared" si="0"/>
        <v>Groupe B</v>
      </c>
      <c r="E7" s="34"/>
      <c r="F7" s="37" t="s">
        <v>151</v>
      </c>
      <c r="G7" s="35" t="s">
        <v>63</v>
      </c>
      <c r="H7" s="36" t="s">
        <v>148</v>
      </c>
      <c r="I7" s="36" t="s">
        <v>64</v>
      </c>
      <c r="J7" s="24"/>
    </row>
    <row r="8" spans="1:10" ht="17.25" customHeight="1" x14ac:dyDescent="0.25">
      <c r="A8" s="3" t="s">
        <v>129</v>
      </c>
      <c r="B8" s="3" t="str">
        <f>_xlfn.XLOOKUP(A8,'Employés  '!A:A,'Employés  '!C:C)</f>
        <v>HAY MOHAMMEDI</v>
      </c>
      <c r="C8" s="2" t="str">
        <f>_xlfn.XLOOKUP(A8,'Employés  '!A:A,'Employés  '!D:D)</f>
        <v>SOIR</v>
      </c>
      <c r="D8" s="33" t="str">
        <f t="shared" si="0"/>
        <v>Groupe A</v>
      </c>
      <c r="E8" s="34"/>
      <c r="F8" s="32" t="s">
        <v>153</v>
      </c>
      <c r="G8" s="2">
        <f>COUNTIFS($B:$B, "SIDI MOUMEN", $C:$C, "MATIN", $D:$D, "Groupe B")</f>
        <v>4</v>
      </c>
      <c r="H8" s="2">
        <f>COUNTIFS($B:$B, "SIDI MOUMEN", $C:$C, "SOIR", $D:$D, "Groupe B")</f>
        <v>5</v>
      </c>
      <c r="I8" s="2">
        <f>COUNTIFS($B:$B, "SIDI MOUMEN", $C:$C, "NUIT", $D:$D, "Groupe B")</f>
        <v>0</v>
      </c>
      <c r="J8" s="1"/>
    </row>
    <row r="9" spans="1:10" ht="17.25" customHeight="1" x14ac:dyDescent="0.25">
      <c r="A9" s="3" t="s">
        <v>176</v>
      </c>
      <c r="B9" s="3" t="str">
        <f>_xlfn.XLOOKUP(A9,'Employés  '!A:A,'Employés  '!C:C)</f>
        <v>HAY MOHAMMEDI</v>
      </c>
      <c r="C9" s="2" t="str">
        <f>_xlfn.XLOOKUP(A9,'Employés  '!A:A,'Employés  '!D:D)</f>
        <v>MATIN</v>
      </c>
      <c r="D9" s="33" t="str">
        <f t="shared" si="0"/>
        <v>Groupe A</v>
      </c>
      <c r="E9" s="34"/>
      <c r="F9" s="32" t="s">
        <v>154</v>
      </c>
      <c r="G9" s="2">
        <f>COUNTIFS($B:$B, "AZHAR", $C:$C, "MATIN", $D:$D, "Groupe B")</f>
        <v>7</v>
      </c>
      <c r="H9" s="2">
        <f>COUNTIFS($B:$B, "AZHAR", $C:$C, "SOIR", $D:$D, "Groupe B")</f>
        <v>2</v>
      </c>
      <c r="I9" s="2">
        <f>COUNTIFS($B:$B, "AZHAR", $C:$C, "NUIT", $D:$D, "Groupe B")</f>
        <v>0</v>
      </c>
      <c r="J9" s="1"/>
    </row>
    <row r="10" spans="1:10" ht="17.25" customHeight="1" x14ac:dyDescent="0.25">
      <c r="A10" s="3" t="s">
        <v>83</v>
      </c>
      <c r="B10" s="3" t="str">
        <f>_xlfn.XLOOKUP(A10,'Employés  '!A:A,'Employés  '!C:C)</f>
        <v>DERB SULTAN</v>
      </c>
      <c r="C10" s="2" t="str">
        <f>_xlfn.XLOOKUP(A10,'Employés  '!A:A,'Employés  '!D:D)</f>
        <v>MATIN</v>
      </c>
      <c r="D10" s="33" t="str">
        <f t="shared" si="0"/>
        <v>Groupe A</v>
      </c>
      <c r="E10" s="34"/>
      <c r="F10" s="32" t="s">
        <v>162</v>
      </c>
      <c r="G10" s="2">
        <f>COUNTIFS($B:$B, "QODS", $C:$C, "MATIN", $D:$D, "Groupe B")</f>
        <v>0</v>
      </c>
      <c r="H10" s="2">
        <f>COUNTIFS($B:$B, "QODS", $C:$C, "SOIR", $D:$D, "Groupe B")</f>
        <v>0</v>
      </c>
      <c r="I10" s="2">
        <f>COUNTIFS($B:$B, "QODS", $C:$C, "NUIT", $D:$D, "Groupe B")</f>
        <v>0</v>
      </c>
      <c r="J10" s="1"/>
    </row>
    <row r="11" spans="1:10" ht="17.25" customHeight="1" x14ac:dyDescent="0.25">
      <c r="A11" s="3" t="s">
        <v>112</v>
      </c>
      <c r="B11" s="3" t="str">
        <f>_xlfn.XLOOKUP(A11,'Employés  '!A:A,'Employés  '!C:C)</f>
        <v>AZHAR</v>
      </c>
      <c r="C11" s="2" t="str">
        <f>_xlfn.XLOOKUP(A11,'Employés  '!A:A,'Employés  '!D:D)</f>
        <v>MATIN</v>
      </c>
      <c r="D11" s="33" t="str">
        <f t="shared" si="0"/>
        <v>Groupe B</v>
      </c>
      <c r="E11" s="34"/>
      <c r="F11" s="1"/>
    </row>
    <row r="12" spans="1:10" ht="17.25" customHeight="1" x14ac:dyDescent="0.25">
      <c r="A12" s="3" t="s">
        <v>85</v>
      </c>
      <c r="B12" s="3" t="str">
        <f>_xlfn.XLOOKUP(A12,'Employés  '!A:A,'Employés  '!C:C)</f>
        <v>SIDI MOUMEN</v>
      </c>
      <c r="C12" s="2" t="str">
        <f>_xlfn.XLOOKUP(A12,'Employés  '!A:A,'Employés  '!D:D)</f>
        <v>MATIN</v>
      </c>
      <c r="D12" s="33" t="str">
        <f t="shared" si="0"/>
        <v>Groupe B</v>
      </c>
      <c r="E12" s="34"/>
    </row>
    <row r="13" spans="1:10" ht="21" customHeight="1" x14ac:dyDescent="0.35">
      <c r="A13" s="3" t="s">
        <v>131</v>
      </c>
      <c r="B13" s="3" t="str">
        <f>_xlfn.XLOOKUP(A13,'Employés  '!A:A,'Employés  '!C:C)</f>
        <v>HAY MOLAY RCHID</v>
      </c>
      <c r="C13" s="2" t="str">
        <f>_xlfn.XLOOKUP(A13,'Employés  '!A:A,'Employés  '!D:D)</f>
        <v>MATIN</v>
      </c>
      <c r="D13" s="33" t="str">
        <f t="shared" si="0"/>
        <v>Groupe E</v>
      </c>
      <c r="E13" s="34"/>
      <c r="F13" s="37" t="s">
        <v>156</v>
      </c>
      <c r="G13" s="35" t="s">
        <v>63</v>
      </c>
      <c r="H13" s="36" t="s">
        <v>148</v>
      </c>
      <c r="I13" s="36" t="s">
        <v>64</v>
      </c>
    </row>
    <row r="14" spans="1:10" ht="22.5" customHeight="1" x14ac:dyDescent="0.25">
      <c r="A14" s="3" t="s">
        <v>138</v>
      </c>
      <c r="B14" s="3" t="e">
        <f>_xlfn.XLOOKUP(A14,'Employés  '!A:A,'Employés  '!C:C)</f>
        <v>#N/A</v>
      </c>
      <c r="C14" s="2" t="e">
        <f>_xlfn.XLOOKUP(A14,'Employés  '!A:A,'Employés  '!D:D)</f>
        <v>#N/A</v>
      </c>
      <c r="D14" s="33" t="e">
        <f t="shared" si="0"/>
        <v>#N/A</v>
      </c>
      <c r="E14" s="34"/>
      <c r="F14" s="32" t="s">
        <v>57</v>
      </c>
      <c r="G14" s="2">
        <f>COUNTIFS($B:$B, "RAHMA", $C:$C, "MATIN", $D:$D, "Groupe C")</f>
        <v>5</v>
      </c>
      <c r="H14" s="2">
        <f>COUNTIFS($B:$B, "RAHMA", $C:$C, "SOIR", $D:$D, "Groupe C")</f>
        <v>4</v>
      </c>
      <c r="I14" s="2">
        <f>COUNTIFS($B:$B, "RAHMA", $C:$C, "NUIT", $D:$D, "Groupe C")</f>
        <v>0</v>
      </c>
    </row>
    <row r="15" spans="1:10" ht="17.25" customHeight="1" x14ac:dyDescent="0.25">
      <c r="A15" s="3" t="s">
        <v>113</v>
      </c>
      <c r="B15" s="3" t="str">
        <f>_xlfn.XLOOKUP(A15,'Employés  '!A:A,'Employés  '!C:C)</f>
        <v>ANASSI</v>
      </c>
      <c r="C15" s="2" t="str">
        <f>_xlfn.XLOOKUP(A15,'Employés  '!A:A,'Employés  '!D:D)</f>
        <v>MATIN</v>
      </c>
      <c r="D15" s="33" t="str">
        <f t="shared" si="0"/>
        <v>Groupe B</v>
      </c>
      <c r="E15" s="34"/>
    </row>
    <row r="16" spans="1:10" ht="17.25" customHeight="1" x14ac:dyDescent="0.25">
      <c r="A16" s="3" t="s">
        <v>86</v>
      </c>
      <c r="B16" s="3" t="str">
        <f>_xlfn.XLOOKUP(A16,'Employés  '!A:A,'Employés  '!C:C)</f>
        <v>SIDI MOUMEN</v>
      </c>
      <c r="C16" s="2" t="str">
        <f>_xlfn.XLOOKUP(A16,'Employés  '!A:A,'Employés  '!D:D)</f>
        <v>SOIR</v>
      </c>
      <c r="D16" s="33" t="str">
        <f t="shared" si="0"/>
        <v>Groupe B</v>
      </c>
      <c r="E16" s="34"/>
    </row>
    <row r="17" spans="1:9" ht="17.25" customHeight="1" x14ac:dyDescent="0.25">
      <c r="A17" s="3" t="s">
        <v>143</v>
      </c>
      <c r="B17" s="3" t="str">
        <f>_xlfn.XLOOKUP(A17,'Employés  '!A:A,'Employés  '!C:C)</f>
        <v>HAY MOHAMMEDI</v>
      </c>
      <c r="C17" s="2" t="str">
        <f>_xlfn.XLOOKUP(A17,'Employés  '!A:A,'Employés  '!D:D)</f>
        <v>SOIR</v>
      </c>
      <c r="D17" s="33" t="str">
        <f t="shared" si="0"/>
        <v>Groupe A</v>
      </c>
      <c r="E17" s="34"/>
    </row>
    <row r="18" spans="1:9" ht="22.5" customHeight="1" x14ac:dyDescent="0.35">
      <c r="A18" s="3" t="s">
        <v>133</v>
      </c>
      <c r="B18" s="3" t="str">
        <f>_xlfn.XLOOKUP(A18,'Employés  '!A:A,'Employés  '!C:C)</f>
        <v>HAY MOLAY RCHID</v>
      </c>
      <c r="C18" s="2" t="str">
        <f>_xlfn.XLOOKUP(A18,'Employés  '!A:A,'Employés  '!D:D)</f>
        <v>SOIR</v>
      </c>
      <c r="D18" s="33" t="str">
        <f t="shared" si="0"/>
        <v>Groupe E</v>
      </c>
      <c r="E18" s="34"/>
      <c r="F18" s="37" t="s">
        <v>168</v>
      </c>
      <c r="G18" s="35" t="s">
        <v>63</v>
      </c>
      <c r="H18" s="36" t="s">
        <v>148</v>
      </c>
      <c r="I18" s="36" t="s">
        <v>64</v>
      </c>
    </row>
    <row r="19" spans="1:9" ht="17.25" customHeight="1" x14ac:dyDescent="0.25">
      <c r="A19" s="3" t="s">
        <v>110</v>
      </c>
      <c r="B19" s="3" t="str">
        <f>_xlfn.XLOOKUP(A19,'Employés  '!A:A,'Employés  '!C:C)</f>
        <v>AZHAR</v>
      </c>
      <c r="C19" s="2" t="str">
        <f>_xlfn.XLOOKUP(A19,'Employés  '!A:A,'Employés  '!D:D)</f>
        <v>MATIN</v>
      </c>
      <c r="D19" s="33" t="str">
        <f t="shared" si="0"/>
        <v>Groupe B</v>
      </c>
      <c r="E19" s="34"/>
      <c r="F19" s="32" t="s">
        <v>155</v>
      </c>
      <c r="G19" s="2">
        <f>COUNTIFS($B:$B, "SIDI OTHMANE", $C:$C, "MATIN", $D:$D, "Groupe E")</f>
        <v>5</v>
      </c>
      <c r="H19" s="2">
        <f>COUNTIFS($B:$B, "SIDI OTHMANE", $C:$C, "SOIR", $D:$D, "Groupe E")</f>
        <v>4</v>
      </c>
      <c r="I19" s="2">
        <f>COUNTIFS($B:$B, "SIDI OTHMANE", $C:$C, "NUIT", $D:$D, "Groupe E")</f>
        <v>0</v>
      </c>
    </row>
    <row r="20" spans="1:9" ht="17.25" customHeight="1" x14ac:dyDescent="0.25">
      <c r="A20" s="3" t="s">
        <v>89</v>
      </c>
      <c r="B20" s="3" t="str">
        <f>_xlfn.XLOOKUP(A20,'Employés  '!A:A,'Employés  '!C:C)</f>
        <v>SIDI MOUMEN</v>
      </c>
      <c r="C20" s="2" t="str">
        <f>_xlfn.XLOOKUP(A20,'Employés  '!A:A,'Employés  '!D:D)</f>
        <v>MATIN</v>
      </c>
      <c r="D20" s="33" t="str">
        <f t="shared" si="0"/>
        <v>Groupe B</v>
      </c>
      <c r="E20" s="34"/>
      <c r="F20" s="32" t="s">
        <v>152</v>
      </c>
      <c r="G20" s="2">
        <f>COUNTIFS($B:$B, "HAY MOLAY RCHID", $C:$C, "MATIN", $D:$D, "Groupe E")</f>
        <v>3</v>
      </c>
      <c r="H20" s="2">
        <f>COUNTIFS($B:$B, "HAY MOLAY RCHID", $C:$C, "SOIR", $D:$D, "Groupe E")</f>
        <v>5</v>
      </c>
      <c r="I20" s="2">
        <f>COUNTIFS($B:$B, "HAY MOLAY RCHID", $C:$C, "NUIT", $D:$D, "Groupe E")</f>
        <v>0</v>
      </c>
    </row>
    <row r="21" spans="1:9" ht="17.25" customHeight="1" x14ac:dyDescent="0.25">
      <c r="A21" s="3" t="s">
        <v>102</v>
      </c>
      <c r="B21" s="3" t="str">
        <f>_xlfn.XLOOKUP(A21,'Employés  '!A:A,'Employés  '!C:C)</f>
        <v>RAHMA</v>
      </c>
      <c r="C21" s="2" t="str">
        <f>_xlfn.XLOOKUP(A21,'Employés  '!A:A,'Employés  '!D:D)</f>
        <v>MATIN</v>
      </c>
      <c r="D21" s="33" t="str">
        <f t="shared" si="0"/>
        <v>Groupe C</v>
      </c>
      <c r="E21" s="34"/>
    </row>
    <row r="22" spans="1:9" ht="17.25" customHeight="1" thickBot="1" x14ac:dyDescent="0.4">
      <c r="A22" s="40" t="s">
        <v>99</v>
      </c>
      <c r="B22" s="3" t="str">
        <f>_xlfn.XLOOKUP(A22,'Employés  '!A:A,'Employés  '!C:C)</f>
        <v>RAHMA</v>
      </c>
      <c r="C22" s="2" t="str">
        <f>_xlfn.XLOOKUP(A22,'Employés  '!A:A,'Employés  '!D:D)</f>
        <v>MATIN</v>
      </c>
      <c r="D22" s="33" t="str">
        <f t="shared" si="0"/>
        <v>Groupe C</v>
      </c>
      <c r="E22" s="34"/>
      <c r="F22" s="37" t="s">
        <v>170</v>
      </c>
      <c r="G22" s="35" t="s">
        <v>63</v>
      </c>
      <c r="H22" s="36" t="s">
        <v>148</v>
      </c>
      <c r="I22" s="36" t="s">
        <v>64</v>
      </c>
    </row>
    <row r="23" spans="1:9" ht="17.25" customHeight="1" thickTop="1" x14ac:dyDescent="0.25">
      <c r="A23" s="41" t="s">
        <v>140</v>
      </c>
      <c r="B23" s="3" t="str">
        <f>_xlfn.XLOOKUP(A23,'Employés  '!A:A,'Employés  '!C:C)</f>
        <v>HAY MOHAMMEDI</v>
      </c>
      <c r="C23" s="2" t="str">
        <f>_xlfn.XLOOKUP(A23,'Employés  '!A:A,'Employés  '!D:D)</f>
        <v>SOIR</v>
      </c>
      <c r="D23" s="33" t="str">
        <f t="shared" si="0"/>
        <v>Groupe A</v>
      </c>
      <c r="E23" s="34"/>
      <c r="F23" s="32" t="s">
        <v>10</v>
      </c>
      <c r="G23" s="2">
        <f>COUNTIFS($B:$B, "MOHAMMEDIA", $C:$C, "MATIN", $D:$D, "Groupe D")</f>
        <v>4</v>
      </c>
      <c r="H23" s="2">
        <f>COUNTIFS($B:$B, "MOHAMMEDIA", $C:$C, "SOIR", $D:$D, "Groupe D")</f>
        <v>1</v>
      </c>
      <c r="I23" s="2">
        <f>COUNTIFS($B:$B, "MOHAMMEDIA", $C:$C, "NUIT", $D:$D, "Groupe D")</f>
        <v>0</v>
      </c>
    </row>
    <row r="24" spans="1:9" ht="17.25" customHeight="1" x14ac:dyDescent="0.25">
      <c r="A24" s="3" t="s">
        <v>90</v>
      </c>
      <c r="B24" s="3" t="str">
        <f>_xlfn.XLOOKUP(A24,'Employés  '!A:A,'Employés  '!C:C)</f>
        <v>SIDI MOUMEN</v>
      </c>
      <c r="C24" s="2" t="str">
        <f>_xlfn.XLOOKUP(A24,'Employés  '!A:A,'Employés  '!D:D)</f>
        <v>SOIR</v>
      </c>
      <c r="D24" s="33" t="str">
        <f t="shared" si="0"/>
        <v>Groupe B</v>
      </c>
      <c r="E24" s="34"/>
      <c r="F24" s="32"/>
      <c r="G24" s="2"/>
      <c r="H24" s="2"/>
      <c r="I24" s="2"/>
    </row>
    <row r="25" spans="1:9" ht="17.25" customHeight="1" x14ac:dyDescent="0.25">
      <c r="A25" s="3" t="s">
        <v>120</v>
      </c>
      <c r="B25" s="3" t="str">
        <f>_xlfn.XLOOKUP(A25,'Employés  '!A:A,'Employés  '!C:C)</f>
        <v>SIDI OTHMANE</v>
      </c>
      <c r="C25" s="2" t="str">
        <f>_xlfn.XLOOKUP(A25,'Employés  '!A:A,'Employés  '!D:D)</f>
        <v>SOIR</v>
      </c>
      <c r="D25" s="33" t="str">
        <f t="shared" si="0"/>
        <v>Groupe E</v>
      </c>
      <c r="E25" s="34"/>
    </row>
    <row r="26" spans="1:9" ht="17.25" customHeight="1" x14ac:dyDescent="0.25">
      <c r="A26" s="3" t="s">
        <v>93</v>
      </c>
      <c r="B26" s="3" t="str">
        <f>_xlfn.XLOOKUP(A26,'Employés  '!A:A,'Employés  '!C:C)</f>
        <v>RAHMA</v>
      </c>
      <c r="C26" s="2" t="str">
        <f>_xlfn.XLOOKUP(A26,'Employés  '!A:A,'Employés  '!D:D)</f>
        <v>MATIN</v>
      </c>
      <c r="D26" s="33" t="str">
        <f t="shared" si="0"/>
        <v>Groupe C</v>
      </c>
      <c r="E26" s="34"/>
    </row>
    <row r="27" spans="1:9" ht="17.25" customHeight="1" x14ac:dyDescent="0.25">
      <c r="A27" s="3" t="s">
        <v>121</v>
      </c>
      <c r="B27" s="3" t="str">
        <f>_xlfn.XLOOKUP(A27,'Employés  '!A:A,'Employés  '!C:C)</f>
        <v>SIDI OTHMANE</v>
      </c>
      <c r="C27" s="2" t="str">
        <f>_xlfn.XLOOKUP(A27,'Employés  '!A:A,'Employés  '!D:D)</f>
        <v>MATIN</v>
      </c>
      <c r="D27" s="33" t="str">
        <f t="shared" si="0"/>
        <v>Groupe E</v>
      </c>
      <c r="E27" s="34"/>
    </row>
    <row r="28" spans="1:9" ht="17.25" customHeight="1" x14ac:dyDescent="0.25">
      <c r="A28" s="3" t="s">
        <v>87</v>
      </c>
      <c r="B28" s="3" t="str">
        <f>_xlfn.XLOOKUP(A28,'Employés  '!A:A,'Employés  '!C:C)</f>
        <v>AZHAR</v>
      </c>
      <c r="C28" s="2" t="str">
        <f>_xlfn.XLOOKUP(A28,'Employés  '!A:A,'Employés  '!D:D)</f>
        <v>SOIR</v>
      </c>
      <c r="D28" s="33" t="str">
        <f t="shared" si="0"/>
        <v>Groupe B</v>
      </c>
      <c r="E28" s="34"/>
    </row>
    <row r="29" spans="1:9" ht="17.25" customHeight="1" x14ac:dyDescent="0.25">
      <c r="A29" s="3" t="s">
        <v>147</v>
      </c>
      <c r="B29" s="3" t="str">
        <f>_xlfn.XLOOKUP(A29,'Employés  '!A:A,'Employés  '!C:C)</f>
        <v>ANASSI</v>
      </c>
      <c r="C29" s="2" t="str">
        <f>_xlfn.XLOOKUP(A29,'Employés  '!A:A,'Employés  '!D:D)</f>
        <v>MATIN</v>
      </c>
      <c r="D29" s="33" t="str">
        <f t="shared" si="0"/>
        <v>Groupe B</v>
      </c>
      <c r="E29" s="34"/>
    </row>
    <row r="30" spans="1:9" ht="17.25" customHeight="1" x14ac:dyDescent="0.25">
      <c r="A30" s="3" t="s">
        <v>142</v>
      </c>
      <c r="B30" s="3" t="str">
        <f>_xlfn.XLOOKUP(A30,'Employés  '!A:A,'Employés  '!C:C)</f>
        <v>HAY MOHAMMEDI</v>
      </c>
      <c r="C30" s="2" t="str">
        <f>_xlfn.XLOOKUP(A30,'Employés  '!A:A,'Employés  '!D:D)</f>
        <v>N/A</v>
      </c>
      <c r="D30" s="33" t="str">
        <f t="shared" si="0"/>
        <v>Groupe A</v>
      </c>
      <c r="E30" s="34"/>
    </row>
    <row r="31" spans="1:9" ht="17.25" customHeight="1" x14ac:dyDescent="0.25">
      <c r="A31" s="3" t="s">
        <v>136</v>
      </c>
      <c r="B31" s="3" t="str">
        <f>_xlfn.XLOOKUP(A31,'Employés  '!A:A,'Employés  '!C:C)</f>
        <v>HAY MOLAY RCHID</v>
      </c>
      <c r="C31" s="2" t="str">
        <f>_xlfn.XLOOKUP(A31,'Employés  '!A:A,'Employés  '!D:D)</f>
        <v>MATIN</v>
      </c>
      <c r="D31" s="33" t="str">
        <f t="shared" si="0"/>
        <v>Groupe E</v>
      </c>
      <c r="E31" s="34"/>
    </row>
    <row r="32" spans="1:9" ht="17.25" customHeight="1" x14ac:dyDescent="0.25">
      <c r="A32" s="3" t="s">
        <v>103</v>
      </c>
      <c r="B32" s="3" t="str">
        <f>_xlfn.XLOOKUP(A32,'Employés  '!A:A,'Employés  '!C:C)</f>
        <v>RAHMA</v>
      </c>
      <c r="C32" s="2" t="str">
        <f>_xlfn.XLOOKUP(A32,'Employés  '!A:A,'Employés  '!D:D)</f>
        <v>SOIR</v>
      </c>
      <c r="D32" s="33" t="str">
        <f t="shared" si="0"/>
        <v>Groupe C</v>
      </c>
      <c r="E32" s="34"/>
    </row>
    <row r="33" spans="1:5" ht="17.25" customHeight="1" x14ac:dyDescent="0.25">
      <c r="A33" s="3" t="s">
        <v>122</v>
      </c>
      <c r="B33" s="3" t="str">
        <f>_xlfn.XLOOKUP(A33,'Employés  '!A:A,'Employés  '!C:C)</f>
        <v>SIDI OTHMANE</v>
      </c>
      <c r="C33" s="2" t="str">
        <f>_xlfn.XLOOKUP(A33,'Employés  '!A:A,'Employés  '!D:D)</f>
        <v>MATIN</v>
      </c>
      <c r="D33" s="33" t="str">
        <f t="shared" si="0"/>
        <v>Groupe E</v>
      </c>
      <c r="E33" s="34"/>
    </row>
    <row r="34" spans="1:5" ht="17.25" customHeight="1" thickBot="1" x14ac:dyDescent="0.3">
      <c r="A34" s="40" t="s">
        <v>82</v>
      </c>
      <c r="B34" s="3" t="str">
        <f>_xlfn.XLOOKUP(A34,'Employés  '!A:A,'Employés  '!C:C)</f>
        <v>HAY MOHAMMEDI</v>
      </c>
      <c r="C34" s="2" t="str">
        <f>_xlfn.XLOOKUP(A34,'Employés  '!A:A,'Employés  '!D:D)</f>
        <v>SOIR</v>
      </c>
      <c r="D34" s="33" t="str">
        <f t="shared" si="0"/>
        <v>Groupe A</v>
      </c>
      <c r="E34" s="34"/>
    </row>
    <row r="35" spans="1:5" ht="17.25" customHeight="1" thickTop="1" x14ac:dyDescent="0.25">
      <c r="A35" s="9" t="s">
        <v>117</v>
      </c>
      <c r="B35" s="3" t="str">
        <f>_xlfn.XLOOKUP(A35,'Employés  '!A:A,'Employés  '!C:C)</f>
        <v>MOHAMMEDIA</v>
      </c>
      <c r="C35" s="2" t="str">
        <f>_xlfn.XLOOKUP(A35,'Employés  '!A:A,'Employés  '!D:D)</f>
        <v>MATIN</v>
      </c>
      <c r="D35" s="33" t="str">
        <f t="shared" si="0"/>
        <v>Groupe D</v>
      </c>
      <c r="E35" s="34"/>
    </row>
    <row r="36" spans="1:5" ht="17.25" customHeight="1" x14ac:dyDescent="0.25">
      <c r="A36" s="3" t="s">
        <v>130</v>
      </c>
      <c r="B36" s="3" t="str">
        <f>_xlfn.XLOOKUP(A36,'Employés  '!A:A,'Employés  '!C:C)</f>
        <v>HAY MOHAMMEDI</v>
      </c>
      <c r="C36" s="2" t="str">
        <f>_xlfn.XLOOKUP(A36,'Employés  '!A:A,'Employés  '!D:D)</f>
        <v>MATIN</v>
      </c>
      <c r="D36" s="33" t="str">
        <f t="shared" si="0"/>
        <v>Groupe A</v>
      </c>
      <c r="E36" s="34"/>
    </row>
    <row r="37" spans="1:5" ht="17.25" customHeight="1" x14ac:dyDescent="0.25">
      <c r="A37" s="3" t="s">
        <v>114</v>
      </c>
      <c r="B37" s="3" t="str">
        <f>_xlfn.XLOOKUP(A37,'Employés  '!A:A,'Employés  '!C:C)</f>
        <v>AZHAR</v>
      </c>
      <c r="C37" s="2" t="str">
        <f>_xlfn.XLOOKUP(A37,'Employés  '!A:A,'Employés  '!D:D)</f>
        <v>MATIN</v>
      </c>
      <c r="D37" s="33" t="str">
        <f t="shared" si="0"/>
        <v>Groupe B</v>
      </c>
      <c r="E37" s="34"/>
    </row>
    <row r="38" spans="1:5" ht="17.25" customHeight="1" x14ac:dyDescent="0.25">
      <c r="A38" s="3" t="s">
        <v>107</v>
      </c>
      <c r="B38" s="3" t="str">
        <f>_xlfn.XLOOKUP(A38,'Employés  '!A:A,'Employés  '!C:C)</f>
        <v>AZHAR</v>
      </c>
      <c r="C38" s="2" t="str">
        <f>_xlfn.XLOOKUP(A38,'Employés  '!A:A,'Employés  '!D:D)</f>
        <v>MATIN</v>
      </c>
      <c r="D38" s="33" t="str">
        <f t="shared" si="0"/>
        <v>Groupe B</v>
      </c>
      <c r="E38" s="34"/>
    </row>
    <row r="39" spans="1:5" ht="17.25" customHeight="1" thickBot="1" x14ac:dyDescent="0.3">
      <c r="A39" s="40" t="s">
        <v>124</v>
      </c>
      <c r="B39" s="3" t="str">
        <f>_xlfn.XLOOKUP(A39,'Employés  '!A:A,'Employés  '!C:C)</f>
        <v>SIDI OTHMANE</v>
      </c>
      <c r="C39" s="2" t="str">
        <f>_xlfn.XLOOKUP(A39,'Employés  '!A:A,'Employés  '!D:D)</f>
        <v>N/A</v>
      </c>
      <c r="D39" s="33" t="str">
        <f t="shared" si="0"/>
        <v>Groupe E</v>
      </c>
      <c r="E39" s="34"/>
    </row>
    <row r="40" spans="1:5" ht="17.25" customHeight="1" thickTop="1" x14ac:dyDescent="0.25">
      <c r="A40" s="41" t="s">
        <v>144</v>
      </c>
      <c r="B40" s="3" t="str">
        <f>_xlfn.XLOOKUP(A40,'Employés  '!A:A,'Employés  '!C:C)</f>
        <v>HAY MOHAMMEDI</v>
      </c>
      <c r="C40" s="2" t="str">
        <f>_xlfn.XLOOKUP(A40,'Employés  '!A:A,'Employés  '!D:D)</f>
        <v>MATIN</v>
      </c>
      <c r="D40" s="33" t="str">
        <f t="shared" si="0"/>
        <v>Groupe A</v>
      </c>
      <c r="E40" s="34"/>
    </row>
    <row r="41" spans="1:5" ht="17.25" customHeight="1" x14ac:dyDescent="0.25">
      <c r="A41" s="3" t="s">
        <v>91</v>
      </c>
      <c r="B41" s="3" t="str">
        <f>_xlfn.XLOOKUP(A41,'Employés  '!A:A,'Employés  '!C:C)</f>
        <v>SIDI MOUMEN</v>
      </c>
      <c r="C41" s="2" t="str">
        <f>_xlfn.XLOOKUP(A41,'Employés  '!A:A,'Employés  '!D:D)</f>
        <v>MATIN</v>
      </c>
      <c r="D41" s="33" t="str">
        <f t="shared" si="0"/>
        <v>Groupe B</v>
      </c>
      <c r="E41" s="34"/>
    </row>
    <row r="42" spans="1:5" ht="17.25" customHeight="1" x14ac:dyDescent="0.25">
      <c r="A42" s="3" t="s">
        <v>111</v>
      </c>
      <c r="B42" s="3" t="str">
        <f>_xlfn.XLOOKUP(A42,'Employés  '!A:A,'Employés  '!C:C)</f>
        <v>ANASSI</v>
      </c>
      <c r="C42" s="2" t="str">
        <f>_xlfn.XLOOKUP(A42,'Employés  '!A:A,'Employés  '!D:D)</f>
        <v>SOIR</v>
      </c>
      <c r="D42" s="33" t="str">
        <f t="shared" si="0"/>
        <v>Groupe B</v>
      </c>
      <c r="E42" s="34"/>
    </row>
    <row r="43" spans="1:5" ht="17.25" customHeight="1" x14ac:dyDescent="0.25">
      <c r="A43" s="3" t="s">
        <v>79</v>
      </c>
      <c r="B43" s="3" t="str">
        <f>_xlfn.XLOOKUP(A43,'Employés  '!A:A,'Employés  '!C:C)</f>
        <v>DERB SULTAN</v>
      </c>
      <c r="C43" s="2" t="str">
        <f>_xlfn.XLOOKUP(A43,'Employés  '!A:A,'Employés  '!D:D)</f>
        <v>SOIR</v>
      </c>
      <c r="D43" s="33" t="str">
        <f t="shared" si="0"/>
        <v>Groupe A</v>
      </c>
      <c r="E43" s="34"/>
    </row>
    <row r="44" spans="1:5" ht="17.25" customHeight="1" x14ac:dyDescent="0.25">
      <c r="A44" s="3" t="s">
        <v>134</v>
      </c>
      <c r="B44" s="3" t="str">
        <f>_xlfn.XLOOKUP(A44,'Employés  '!A:A,'Employés  '!C:C)</f>
        <v>HAY MOLAY RCHID</v>
      </c>
      <c r="C44" s="2" t="str">
        <f>_xlfn.XLOOKUP(A44,'Employés  '!A:A,'Employés  '!D:D)</f>
        <v>SOIR</v>
      </c>
      <c r="D44" s="33" t="str">
        <f t="shared" si="0"/>
        <v>Groupe E</v>
      </c>
      <c r="E44" s="34"/>
    </row>
    <row r="45" spans="1:5" ht="17.25" customHeight="1" x14ac:dyDescent="0.25">
      <c r="A45" s="3" t="s">
        <v>98</v>
      </c>
      <c r="B45" s="3" t="str">
        <f>_xlfn.XLOOKUP(A45,'Employés  '!A:A,'Employés  '!C:C)</f>
        <v>DERB SULTAN</v>
      </c>
      <c r="C45" s="2" t="str">
        <f>_xlfn.XLOOKUP(A45,'Employés  '!A:A,'Employés  '!D:D)</f>
        <v>MATIN</v>
      </c>
      <c r="D45" s="33" t="str">
        <f t="shared" si="0"/>
        <v>Groupe A</v>
      </c>
      <c r="E45" s="34"/>
    </row>
    <row r="46" spans="1:5" ht="17.25" customHeight="1" thickBot="1" x14ac:dyDescent="0.3">
      <c r="A46" s="40" t="s">
        <v>109</v>
      </c>
      <c r="B46" s="3" t="str">
        <f>_xlfn.XLOOKUP(A46,'Employés  '!A:A,'Employés  '!C:C)</f>
        <v>AZHAR</v>
      </c>
      <c r="C46" s="2" t="str">
        <f>_xlfn.XLOOKUP(A46,'Employés  '!A:A,'Employés  '!D:D)</f>
        <v>N/A</v>
      </c>
      <c r="D46" s="33" t="str">
        <f t="shared" si="0"/>
        <v>Groupe B</v>
      </c>
      <c r="E46" s="34"/>
    </row>
    <row r="47" spans="1:5" ht="17.25" customHeight="1" thickTop="1" x14ac:dyDescent="0.25">
      <c r="A47" s="9" t="s">
        <v>80</v>
      </c>
      <c r="B47" s="3" t="str">
        <f>_xlfn.XLOOKUP(A47,'Employés  '!A:A,'Employés  '!C:C)</f>
        <v>DERB SULTAN</v>
      </c>
      <c r="C47" s="2" t="str">
        <f>_xlfn.XLOOKUP(A47,'Employés  '!A:A,'Employés  '!D:D)</f>
        <v>MATIN</v>
      </c>
      <c r="D47" s="33" t="str">
        <f t="shared" si="0"/>
        <v>Groupe A</v>
      </c>
      <c r="E47" s="34"/>
    </row>
    <row r="48" spans="1:5" ht="17.25" customHeight="1" x14ac:dyDescent="0.25">
      <c r="A48" s="3" t="s">
        <v>116</v>
      </c>
      <c r="B48" s="3" t="str">
        <f>_xlfn.XLOOKUP(A48,'Employés  '!A:A,'Employés  '!C:C)</f>
        <v>MOHAMMEDIA</v>
      </c>
      <c r="C48" s="2" t="str">
        <f>_xlfn.XLOOKUP(A48,'Employés  '!A:A,'Employés  '!D:D)</f>
        <v>MATIN</v>
      </c>
      <c r="D48" s="33" t="str">
        <f t="shared" si="0"/>
        <v>Groupe D</v>
      </c>
      <c r="E48" s="34"/>
    </row>
    <row r="49" spans="1:5" ht="17.25" customHeight="1" thickBot="1" x14ac:dyDescent="0.3">
      <c r="A49" s="40" t="s">
        <v>95</v>
      </c>
      <c r="B49" s="3" t="str">
        <f>_xlfn.XLOOKUP(A49,'Employés  '!A:A,'Employés  '!C:C)</f>
        <v>DERB SULTAN</v>
      </c>
      <c r="C49" s="2" t="str">
        <f>_xlfn.XLOOKUP(A49,'Employés  '!A:A,'Employés  '!D:D)</f>
        <v>MATIN</v>
      </c>
      <c r="D49" s="33" t="str">
        <f t="shared" si="0"/>
        <v>Groupe A</v>
      </c>
      <c r="E49" s="34"/>
    </row>
    <row r="50" spans="1:5" ht="17.25" customHeight="1" thickTop="1" thickBot="1" x14ac:dyDescent="0.3">
      <c r="A50" s="42" t="s">
        <v>125</v>
      </c>
      <c r="B50" s="3" t="str">
        <f>_xlfn.XLOOKUP(A50,'Employés  '!A:A,'Employés  '!C:C)</f>
        <v>SIDI OTHMANE</v>
      </c>
      <c r="C50" s="2" t="str">
        <f>_xlfn.XLOOKUP(A50,'Employés  '!A:A,'Employés  '!D:D)</f>
        <v>MATIN</v>
      </c>
      <c r="D50" s="33" t="str">
        <f t="shared" si="0"/>
        <v>Groupe E</v>
      </c>
      <c r="E50" s="34"/>
    </row>
    <row r="51" spans="1:5" ht="17.25" customHeight="1" thickTop="1" x14ac:dyDescent="0.25">
      <c r="A51" s="9" t="s">
        <v>81</v>
      </c>
      <c r="B51" s="3" t="str">
        <f>_xlfn.XLOOKUP(A51,'Employés  '!A:A,'Employés  '!C:C)</f>
        <v>DERB SULTAN</v>
      </c>
      <c r="C51" s="2" t="str">
        <f>_xlfn.XLOOKUP(A51,'Employés  '!A:A,'Employés  '!D:D)</f>
        <v>MATIN</v>
      </c>
      <c r="D51" s="33" t="str">
        <f t="shared" si="0"/>
        <v>Groupe A</v>
      </c>
      <c r="E51" s="34"/>
    </row>
    <row r="52" spans="1:5" ht="17.25" customHeight="1" x14ac:dyDescent="0.25">
      <c r="A52" s="3" t="s">
        <v>159</v>
      </c>
      <c r="B52" s="3" t="str">
        <f>_xlfn.XLOOKUP(A52,'Employés  '!A:A,'Employés  '!C:C)</f>
        <v>AZHAR</v>
      </c>
      <c r="C52" s="2" t="str">
        <f>_xlfn.XLOOKUP(A52,'Employés  '!A:A,'Employés  '!D:D)</f>
        <v>SOIR</v>
      </c>
      <c r="D52" s="33" t="str">
        <f t="shared" si="0"/>
        <v>Groupe B</v>
      </c>
      <c r="E52" s="34"/>
    </row>
    <row r="53" spans="1:5" ht="17.25" customHeight="1" x14ac:dyDescent="0.25">
      <c r="A53" s="3" t="s">
        <v>118</v>
      </c>
      <c r="B53" s="3" t="str">
        <f>_xlfn.XLOOKUP(A53,'Employés  '!A:A,'Employés  '!C:C)</f>
        <v>MOHAMMEDIA</v>
      </c>
      <c r="C53" s="2" t="str">
        <f>_xlfn.XLOOKUP(A53,'Employés  '!A:A,'Employés  '!D:D)</f>
        <v>MATIN</v>
      </c>
      <c r="D53" s="33" t="str">
        <f t="shared" si="0"/>
        <v>Groupe D</v>
      </c>
      <c r="E53" s="34"/>
    </row>
    <row r="54" spans="1:5" ht="17.25" customHeight="1" x14ac:dyDescent="0.25">
      <c r="A54" s="3" t="s">
        <v>92</v>
      </c>
      <c r="B54" s="3" t="str">
        <f>_xlfn.XLOOKUP(A54,'Employés  '!A:A,'Employés  '!C:C)</f>
        <v>SIDI MOUMEN</v>
      </c>
      <c r="C54" s="2" t="str">
        <f>_xlfn.XLOOKUP(A54,'Employés  '!A:A,'Employés  '!D:D)</f>
        <v>SOIR</v>
      </c>
      <c r="D54" s="33" t="str">
        <f t="shared" si="0"/>
        <v>Groupe B</v>
      </c>
      <c r="E54" s="34"/>
    </row>
    <row r="55" spans="1:5" ht="17.25" customHeight="1" x14ac:dyDescent="0.25">
      <c r="A55" s="3" t="s">
        <v>115</v>
      </c>
      <c r="B55" s="3" t="str">
        <f>_xlfn.XLOOKUP(A55,'Employés  '!A:A,'Employés  '!C:C)</f>
        <v>MOHAMMEDIA</v>
      </c>
      <c r="C55" s="2" t="str">
        <f>_xlfn.XLOOKUP(A55,'Employés  '!A:A,'Employés  '!D:D)</f>
        <v>MATIN</v>
      </c>
      <c r="D55" s="33" t="str">
        <f t="shared" si="0"/>
        <v>Groupe D</v>
      </c>
      <c r="E55" s="34"/>
    </row>
    <row r="56" spans="1:5" ht="17.25" customHeight="1" x14ac:dyDescent="0.25">
      <c r="A56" s="3" t="s">
        <v>94</v>
      </c>
      <c r="B56" s="3" t="str">
        <f>_xlfn.XLOOKUP(A56,'Employés  '!A:A,'Employés  '!C:C)</f>
        <v>RAHMA</v>
      </c>
      <c r="C56" s="2" t="str">
        <f>_xlfn.XLOOKUP(A56,'Employés  '!A:A,'Employés  '!D:D)</f>
        <v>MATIN</v>
      </c>
      <c r="D56" s="33" t="str">
        <f t="shared" si="0"/>
        <v>Groupe C</v>
      </c>
      <c r="E56" s="34"/>
    </row>
    <row r="57" spans="1:5" ht="17.25" customHeight="1" x14ac:dyDescent="0.25">
      <c r="A57" s="3" t="s">
        <v>119</v>
      </c>
      <c r="B57" s="3" t="str">
        <f>_xlfn.XLOOKUP(A57,'Employés  '!A:A,'Employés  '!C:C)</f>
        <v>MOHAMMEDIA</v>
      </c>
      <c r="C57" s="2" t="str">
        <f>_xlfn.XLOOKUP(A57,'Employés  '!A:A,'Employés  '!D:D)</f>
        <v>SOIR</v>
      </c>
      <c r="D57" s="33" t="str">
        <f t="shared" si="0"/>
        <v>Groupe D</v>
      </c>
      <c r="E57" s="34"/>
    </row>
    <row r="58" spans="1:5" ht="17.25" customHeight="1" thickBot="1" x14ac:dyDescent="0.3">
      <c r="A58" s="40" t="s">
        <v>146</v>
      </c>
      <c r="B58" s="3" t="str">
        <f>_xlfn.XLOOKUP(A58,'Employés  '!A:A,'Employés  '!C:C)</f>
        <v>SIDI MOUMEN</v>
      </c>
      <c r="C58" s="2" t="str">
        <f>_xlfn.XLOOKUP(A58,'Employés  '!A:A,'Employés  '!D:D)</f>
        <v>N/A</v>
      </c>
      <c r="D58" s="33" t="str">
        <f t="shared" si="0"/>
        <v>Groupe B</v>
      </c>
      <c r="E58" s="34"/>
    </row>
    <row r="59" spans="1:5" ht="17.25" customHeight="1" thickTop="1" x14ac:dyDescent="0.25">
      <c r="A59" s="41" t="s">
        <v>141</v>
      </c>
      <c r="B59" s="3" t="str">
        <f>_xlfn.XLOOKUP(A59,'Employés  '!A:A,'Employés  '!C:C)</f>
        <v>HAY MOHAMMEDI</v>
      </c>
      <c r="C59" s="2" t="str">
        <f>_xlfn.XLOOKUP(A59,'Employés  '!A:A,'Employés  '!D:D)</f>
        <v>SOIR</v>
      </c>
      <c r="D59" s="33" t="str">
        <f t="shared" si="0"/>
        <v>Groupe A</v>
      </c>
      <c r="E59" s="34"/>
    </row>
    <row r="60" spans="1:5" ht="17.25" customHeight="1" thickBot="1" x14ac:dyDescent="0.3">
      <c r="A60" s="40" t="s">
        <v>106</v>
      </c>
      <c r="B60" s="3" t="str">
        <f>_xlfn.XLOOKUP(A60,'Employés  '!A:A,'Employés  '!C:C)</f>
        <v>AZHAR</v>
      </c>
      <c r="C60" s="2" t="str">
        <f>_xlfn.XLOOKUP(A60,'Employés  '!A:A,'Employés  '!D:D)</f>
        <v>MATIN</v>
      </c>
      <c r="D60" s="33" t="str">
        <f t="shared" si="0"/>
        <v>Groupe B</v>
      </c>
      <c r="E60" s="34"/>
    </row>
    <row r="61" spans="1:5" ht="17.25" customHeight="1" thickTop="1" x14ac:dyDescent="0.25">
      <c r="A61" s="41" t="s">
        <v>127</v>
      </c>
      <c r="B61" s="3" t="str">
        <f>_xlfn.XLOOKUP(A61,'Employés  '!A:A,'Employés  '!C:C)</f>
        <v>SIDI OTHMANE</v>
      </c>
      <c r="C61" s="2" t="str">
        <f>_xlfn.XLOOKUP(A61,'Employés  '!A:A,'Employés  '!D:D)</f>
        <v>SOIR</v>
      </c>
      <c r="D61" s="33" t="str">
        <f t="shared" si="0"/>
        <v>Groupe E</v>
      </c>
      <c r="E61" s="34"/>
    </row>
    <row r="62" spans="1:5" ht="17.25" customHeight="1" x14ac:dyDescent="0.25">
      <c r="A62" s="3" t="s">
        <v>96</v>
      </c>
      <c r="B62" s="3" t="str">
        <f>_xlfn.XLOOKUP(A62,'Employés  '!A:A,'Employés  '!C:C)</f>
        <v>DERB SULTAN</v>
      </c>
      <c r="C62" s="2" t="str">
        <f>_xlfn.XLOOKUP(A62,'Employés  '!A:A,'Employés  '!D:D)</f>
        <v>N/A</v>
      </c>
      <c r="D62" s="33" t="str">
        <f t="shared" si="0"/>
        <v>Groupe A</v>
      </c>
      <c r="E62" s="34"/>
    </row>
    <row r="63" spans="1:5" ht="17.25" customHeight="1" x14ac:dyDescent="0.25">
      <c r="A63" s="3" t="s">
        <v>137</v>
      </c>
      <c r="B63" s="3" t="str">
        <f>_xlfn.XLOOKUP(A63,'Employés  '!A:A,'Employés  '!C:C)</f>
        <v>HAY MOLAY RCHID</v>
      </c>
      <c r="C63" s="2" t="str">
        <f>_xlfn.XLOOKUP(A63,'Employés  '!A:A,'Employés  '!D:D)</f>
        <v>SOIR</v>
      </c>
      <c r="D63" s="33" t="str">
        <f t="shared" si="0"/>
        <v>Groupe E</v>
      </c>
      <c r="E63" s="34"/>
    </row>
    <row r="64" spans="1:5" ht="17.25" customHeight="1" thickBot="1" x14ac:dyDescent="0.3">
      <c r="A64" s="40" t="s">
        <v>108</v>
      </c>
      <c r="B64" s="3" t="str">
        <f>_xlfn.XLOOKUP(A64,'Employés  '!A:A,'Employés  '!C:C)</f>
        <v>AZHAR</v>
      </c>
      <c r="C64" s="2" t="str">
        <f>_xlfn.XLOOKUP(A64,'Employés  '!A:A,'Employés  '!D:D)</f>
        <v>MATIN</v>
      </c>
      <c r="D64" s="33" t="str">
        <f t="shared" si="0"/>
        <v>Groupe B</v>
      </c>
      <c r="E64" s="34"/>
    </row>
    <row r="65" spans="1:5" ht="17.25" customHeight="1" thickTop="1" x14ac:dyDescent="0.25">
      <c r="A65" s="41" t="s">
        <v>84</v>
      </c>
      <c r="B65" s="3" t="str">
        <f>_xlfn.XLOOKUP(A65,'Employés  '!A:A,'Employés  '!C:C)</f>
        <v>SIDI OTHMANE</v>
      </c>
      <c r="C65" s="2" t="str">
        <f>_xlfn.XLOOKUP(A65,'Employés  '!A:A,'Employés  '!D:D)</f>
        <v>MATIN</v>
      </c>
      <c r="D65" s="33" t="str">
        <f t="shared" ref="D65:D74" si="1">IF(OR(B65="DERB SULTAN",B65="HAY MOHAMMEDI"),"Groupe A",IF(OR(B65="SIDI MOUMEN",B65="AZHAR",B65="ANASSI"),"Groupe B",IF(OR(B65="LISASFA",B65="RAHMA"),"Groupe C",IF(B65="MOHAMMEDIA","Groupe D",IF(OR(B65="SIDI OTHMANE",B65="HAY MOLAY RCHID"),"Groupe E","Autre")))))</f>
        <v>Groupe E</v>
      </c>
      <c r="E65" s="34"/>
    </row>
    <row r="66" spans="1:5" ht="17.25" customHeight="1" x14ac:dyDescent="0.25">
      <c r="A66" s="3" t="s">
        <v>135</v>
      </c>
      <c r="B66" s="3" t="str">
        <f>_xlfn.XLOOKUP(A66,'Employés  '!A:A,'Employés  '!C:C)</f>
        <v>HAY MOLAY RCHID</v>
      </c>
      <c r="C66" s="2" t="str">
        <f>_xlfn.XLOOKUP(A66,'Employés  '!A:A,'Employés  '!D:D)</f>
        <v>MATIN</v>
      </c>
      <c r="D66" s="33" t="str">
        <f t="shared" si="1"/>
        <v>Groupe E</v>
      </c>
      <c r="E66" s="34"/>
    </row>
    <row r="67" spans="1:5" ht="17.25" customHeight="1" x14ac:dyDescent="0.25">
      <c r="A67" s="3" t="s">
        <v>104</v>
      </c>
      <c r="B67" s="3" t="str">
        <f>_xlfn.XLOOKUP(A67,'Employés  '!A:A,'Employés  '!C:C)</f>
        <v>RAHMA</v>
      </c>
      <c r="C67" s="2" t="str">
        <f>_xlfn.XLOOKUP(A67,'Employés  '!A:A,'Employés  '!D:D)</f>
        <v>SOIR</v>
      </c>
      <c r="D67" s="33" t="str">
        <f t="shared" si="1"/>
        <v>Groupe C</v>
      </c>
      <c r="E67" s="34"/>
    </row>
    <row r="68" spans="1:5" ht="17.25" customHeight="1" x14ac:dyDescent="0.25">
      <c r="A68" s="3" t="s">
        <v>123</v>
      </c>
      <c r="B68" s="3" t="str">
        <f>_xlfn.XLOOKUP(A68,'Employés  '!A:A,'Employés  '!C:C)</f>
        <v>SIDI OTHMANE</v>
      </c>
      <c r="C68" s="2" t="str">
        <f>_xlfn.XLOOKUP(A68,'Employés  '!A:A,'Employés  '!D:D)</f>
        <v>SOIR</v>
      </c>
      <c r="D68" s="33" t="str">
        <f t="shared" si="1"/>
        <v>Groupe E</v>
      </c>
      <c r="E68" s="34"/>
    </row>
    <row r="69" spans="1:5" ht="17.25" customHeight="1" x14ac:dyDescent="0.25">
      <c r="A69" s="3" t="s">
        <v>132</v>
      </c>
      <c r="B69" s="3" t="str">
        <f>_xlfn.XLOOKUP(A69,'Employés  '!A:A,'Employés  '!C:C)</f>
        <v>SIDI OTHMANE</v>
      </c>
      <c r="C69" s="2" t="str">
        <f>_xlfn.XLOOKUP(A69,'Employés  '!A:A,'Employés  '!D:D)</f>
        <v>MATIN</v>
      </c>
      <c r="D69" s="33" t="str">
        <f t="shared" si="1"/>
        <v>Groupe E</v>
      </c>
      <c r="E69" s="34"/>
    </row>
    <row r="70" spans="1:5" ht="17.25" customHeight="1" x14ac:dyDescent="0.25">
      <c r="A70" s="3" t="s">
        <v>126</v>
      </c>
      <c r="B70" s="3" t="str">
        <f>_xlfn.XLOOKUP(A70,'Employés  '!A:A,'Employés  '!C:C)</f>
        <v>HAY MOLAY RCHID</v>
      </c>
      <c r="C70" s="2" t="str">
        <f>_xlfn.XLOOKUP(A70,'Employés  '!A:A,'Employés  '!D:D)</f>
        <v>SOIR</v>
      </c>
      <c r="D70" s="33" t="str">
        <f t="shared" si="1"/>
        <v>Groupe E</v>
      </c>
      <c r="E70" s="34"/>
    </row>
    <row r="71" spans="1:5" ht="17.25" customHeight="1" thickBot="1" x14ac:dyDescent="0.3">
      <c r="A71" s="40" t="s">
        <v>128</v>
      </c>
      <c r="B71" s="3" t="str">
        <f>_xlfn.XLOOKUP(A71,'Employés  '!A:A,'Employés  '!C:C)</f>
        <v>SIDI OTHMANE</v>
      </c>
      <c r="C71" s="2" t="str">
        <f>_xlfn.XLOOKUP(A71,'Employés  '!A:A,'Employés  '!D:D)</f>
        <v>SOIR</v>
      </c>
      <c r="D71" s="33" t="str">
        <f t="shared" si="1"/>
        <v>Groupe E</v>
      </c>
      <c r="E71" s="34"/>
    </row>
    <row r="72" spans="1:5" ht="17.25" customHeight="1" thickTop="1" x14ac:dyDescent="0.25">
      <c r="A72" s="41" t="s">
        <v>88</v>
      </c>
      <c r="B72" s="3" t="str">
        <f>_xlfn.XLOOKUP(A72,'Employés  '!A:A,'Employés  '!C:C)</f>
        <v>SIDI MOUMEN</v>
      </c>
      <c r="C72" s="2" t="str">
        <f>_xlfn.XLOOKUP(A72,'Employés  '!A:A,'Employés  '!D:D)</f>
        <v>SOIR</v>
      </c>
      <c r="D72" s="33" t="str">
        <f t="shared" si="1"/>
        <v>Groupe B</v>
      </c>
      <c r="E72" s="34"/>
    </row>
    <row r="73" spans="1:5" ht="17.25" customHeight="1" x14ac:dyDescent="0.25">
      <c r="A73" s="3" t="s">
        <v>97</v>
      </c>
      <c r="B73" s="3" t="str">
        <f>_xlfn.XLOOKUP(A73,'Employés  '!A:A,'Employés  '!C:C)</f>
        <v>HAY MOHAMMEDI</v>
      </c>
      <c r="C73" s="2" t="str">
        <f>_xlfn.XLOOKUP(A73,'Employés  '!A:A,'Employés  '!D:D)</f>
        <v>N/A</v>
      </c>
      <c r="D73" s="33" t="str">
        <f t="shared" si="1"/>
        <v>Groupe A</v>
      </c>
      <c r="E73" s="34"/>
    </row>
    <row r="74" spans="1:5" ht="17.25" customHeight="1" thickBot="1" x14ac:dyDescent="0.3">
      <c r="A74" s="40" t="s">
        <v>160</v>
      </c>
      <c r="B74" s="3" t="str">
        <f>_xlfn.XLOOKUP(A74,'Employés  '!A:A,'Employés  '!C:C)</f>
        <v>SIDI MOUMEN</v>
      </c>
      <c r="C74" s="2" t="str">
        <f>_xlfn.XLOOKUP(A74,'Employés  '!A:A,'Employés  '!D:D)</f>
        <v>MATIN</v>
      </c>
      <c r="D74" s="33" t="str">
        <f t="shared" si="1"/>
        <v>Groupe B</v>
      </c>
      <c r="E74" s="34"/>
    </row>
    <row r="75" spans="1:5" ht="17.25" customHeight="1" thickTop="1" x14ac:dyDescent="0.25">
      <c r="B75" s="5"/>
    </row>
    <row r="76" spans="1:5" ht="17.25" customHeight="1" x14ac:dyDescent="0.25">
      <c r="B76" s="5"/>
    </row>
    <row r="77" spans="1:5" ht="17.25" customHeight="1" x14ac:dyDescent="0.25">
      <c r="B77" s="5"/>
    </row>
    <row r="78" spans="1:5" ht="17.25" customHeight="1" x14ac:dyDescent="0.25">
      <c r="B78" s="5"/>
    </row>
    <row r="79" spans="1:5" ht="17.25" customHeight="1" x14ac:dyDescent="0.25">
      <c r="B79" s="5"/>
    </row>
    <row r="80" spans="1:5" ht="17.25" customHeight="1" x14ac:dyDescent="0.25">
      <c r="B80"/>
    </row>
    <row r="81" spans="2:2" ht="17.25" customHeight="1" x14ac:dyDescent="0.25">
      <c r="B81"/>
    </row>
    <row r="82" spans="2:2" ht="17.25" customHeight="1" x14ac:dyDescent="0.25">
      <c r="B82"/>
    </row>
    <row r="83" spans="2:2" ht="17.25" customHeight="1" x14ac:dyDescent="0.25">
      <c r="B83"/>
    </row>
    <row r="84" spans="2:2" ht="17.25" customHeight="1" x14ac:dyDescent="0.25">
      <c r="B84"/>
    </row>
    <row r="85" spans="2:2" ht="17.25" customHeight="1" x14ac:dyDescent="0.25">
      <c r="B85"/>
    </row>
    <row r="86" spans="2:2" ht="17.25" customHeight="1" x14ac:dyDescent="0.25">
      <c r="B86"/>
    </row>
    <row r="87" spans="2:2" ht="17.25" customHeight="1" x14ac:dyDescent="0.25">
      <c r="B87"/>
    </row>
    <row r="88" spans="2:2" ht="17.25" customHeight="1" x14ac:dyDescent="0.25">
      <c r="B88"/>
    </row>
    <row r="89" spans="2:2" ht="17.25" customHeight="1" x14ac:dyDescent="0.25">
      <c r="B89"/>
    </row>
    <row r="90" spans="2:2" ht="17.25" customHeight="1" x14ac:dyDescent="0.25">
      <c r="B90"/>
    </row>
    <row r="91" spans="2:2" ht="17.25" customHeight="1" x14ac:dyDescent="0.25">
      <c r="B91"/>
    </row>
    <row r="92" spans="2:2" ht="17.25" customHeight="1" x14ac:dyDescent="0.25">
      <c r="B92"/>
    </row>
    <row r="93" spans="2:2" ht="17.25" customHeight="1" x14ac:dyDescent="0.25">
      <c r="B93"/>
    </row>
    <row r="94" spans="2:2" ht="17.25" customHeight="1" x14ac:dyDescent="0.25">
      <c r="B94"/>
    </row>
    <row r="95" spans="2:2" ht="17.25" customHeight="1" x14ac:dyDescent="0.25">
      <c r="B95"/>
    </row>
    <row r="96" spans="2:2" ht="17.25" customHeight="1" x14ac:dyDescent="0.25">
      <c r="B96"/>
    </row>
    <row r="97" spans="2:2" ht="17.25" customHeight="1" x14ac:dyDescent="0.25">
      <c r="B97"/>
    </row>
    <row r="98" spans="2:2" ht="17.25" customHeight="1" x14ac:dyDescent="0.25">
      <c r="B98"/>
    </row>
    <row r="99" spans="2:2" ht="17.25" customHeight="1" x14ac:dyDescent="0.25">
      <c r="B99"/>
    </row>
    <row r="100" spans="2:2" ht="17.25" customHeight="1" x14ac:dyDescent="0.25">
      <c r="B100"/>
    </row>
    <row r="101" spans="2:2" ht="17.25" customHeight="1" x14ac:dyDescent="0.25">
      <c r="B101"/>
    </row>
    <row r="102" spans="2:2" ht="17.25" customHeight="1" x14ac:dyDescent="0.25">
      <c r="B102"/>
    </row>
    <row r="103" spans="2:2" ht="17.25" customHeight="1" x14ac:dyDescent="0.25">
      <c r="B103"/>
    </row>
    <row r="104" spans="2:2" ht="17.25" customHeight="1" x14ac:dyDescent="0.25">
      <c r="B104"/>
    </row>
    <row r="105" spans="2:2" ht="17.25" customHeight="1" x14ac:dyDescent="0.25">
      <c r="B105"/>
    </row>
    <row r="106" spans="2:2" ht="17.25" customHeight="1" x14ac:dyDescent="0.25">
      <c r="B106"/>
    </row>
    <row r="107" spans="2:2" ht="17.25" customHeight="1" x14ac:dyDescent="0.25">
      <c r="B107"/>
    </row>
    <row r="108" spans="2:2" ht="17.25" customHeight="1" x14ac:dyDescent="0.25">
      <c r="B108"/>
    </row>
    <row r="109" spans="2:2" ht="17.25" customHeight="1" x14ac:dyDescent="0.25">
      <c r="B109"/>
    </row>
  </sheetData>
  <autoFilter ref="A1:D74" xr:uid="{FFC4E69C-8EAA-4A2C-9127-89CD764F65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6</vt:i4>
      </vt:variant>
    </vt:vector>
  </HeadingPairs>
  <TitlesOfParts>
    <vt:vector size="15" baseType="lpstr">
      <vt:lpstr>Employés  </vt:lpstr>
      <vt:lpstr>Programme </vt:lpstr>
      <vt:lpstr>Résultat</vt:lpstr>
      <vt:lpstr>Résultat Normal</vt:lpstr>
      <vt:lpstr>Prog de transport Matin</vt:lpstr>
      <vt:lpstr>Prog de transport Soir</vt:lpstr>
      <vt:lpstr>Prog de transport Nuit</vt:lpstr>
      <vt:lpstr>Prog de transport Normal </vt:lpstr>
      <vt:lpstr>Zone de regroupement </vt:lpstr>
      <vt:lpstr>'Programme '!EQUIPE</vt:lpstr>
      <vt:lpstr>'Programme '!EQUIPE1</vt:lpstr>
      <vt:lpstr>'Employés  '!EQUIPE2</vt:lpstr>
      <vt:lpstr>EQUIPE4</vt:lpstr>
      <vt:lpstr>SEMAINE</vt:lpstr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BOUAOUDA, Chaima</cp:lastModifiedBy>
  <cp:lastPrinted>2025-06-18T14:57:54Z</cp:lastPrinted>
  <dcterms:created xsi:type="dcterms:W3CDTF">2025-05-20T10:18:08Z</dcterms:created>
  <dcterms:modified xsi:type="dcterms:W3CDTF">2025-07-07T13:43:55Z</dcterms:modified>
</cp:coreProperties>
</file>