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TUDIES\20-21\Stage\"/>
    </mc:Choice>
  </mc:AlternateContent>
  <bookViews>
    <workbookView xWindow="0" yWindow="0" windowWidth="28800" windowHeight="12435" tabRatio="700"/>
  </bookViews>
  <sheets>
    <sheet name="LDP SAGE" sheetId="2" r:id="rId1"/>
  </sheets>
  <definedNames>
    <definedName name="_xlnm._FilterDatabase" localSheetId="0" hidden="1">'LDP SAGE'!$A$1:$F$742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42" i="2" l="1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E742" i="2" l="1"/>
  <c r="D742" i="2"/>
  <c r="C742" i="2"/>
  <c r="B742" i="2"/>
  <c r="E741" i="2"/>
  <c r="D741" i="2"/>
  <c r="C741" i="2"/>
  <c r="B741" i="2"/>
  <c r="E740" i="2"/>
  <c r="D740" i="2"/>
  <c r="C740" i="2"/>
  <c r="B740" i="2"/>
  <c r="E739" i="2"/>
  <c r="D739" i="2"/>
  <c r="C739" i="2"/>
  <c r="B739" i="2"/>
  <c r="E738" i="2"/>
  <c r="D738" i="2"/>
  <c r="C738" i="2"/>
  <c r="B738" i="2"/>
  <c r="E737" i="2"/>
  <c r="D737" i="2"/>
  <c r="C737" i="2"/>
  <c r="B737" i="2"/>
  <c r="E736" i="2"/>
  <c r="D736" i="2"/>
  <c r="C736" i="2"/>
  <c r="B736" i="2"/>
  <c r="E735" i="2"/>
  <c r="D735" i="2"/>
  <c r="C735" i="2"/>
  <c r="B735" i="2"/>
  <c r="E734" i="2"/>
  <c r="D734" i="2"/>
  <c r="C734" i="2"/>
  <c r="B734" i="2"/>
  <c r="E733" i="2"/>
  <c r="D733" i="2"/>
  <c r="C733" i="2"/>
  <c r="B733" i="2"/>
  <c r="E732" i="2"/>
  <c r="D732" i="2"/>
  <c r="C732" i="2"/>
  <c r="B732" i="2"/>
  <c r="E731" i="2"/>
  <c r="D731" i="2"/>
  <c r="C731" i="2"/>
  <c r="B731" i="2"/>
  <c r="E730" i="2"/>
  <c r="D730" i="2"/>
  <c r="C730" i="2"/>
  <c r="B730" i="2"/>
  <c r="E729" i="2"/>
  <c r="D729" i="2"/>
  <c r="C729" i="2"/>
  <c r="B729" i="2"/>
  <c r="E728" i="2"/>
  <c r="D728" i="2"/>
  <c r="C728" i="2"/>
  <c r="B728" i="2"/>
  <c r="E727" i="2"/>
  <c r="D727" i="2"/>
  <c r="C727" i="2"/>
  <c r="B727" i="2"/>
  <c r="E726" i="2"/>
  <c r="D726" i="2"/>
  <c r="C726" i="2"/>
  <c r="B726" i="2"/>
  <c r="E725" i="2"/>
  <c r="C725" i="2"/>
  <c r="B725" i="2"/>
  <c r="E724" i="2"/>
  <c r="C724" i="2"/>
  <c r="B724" i="2"/>
  <c r="E723" i="2"/>
  <c r="C723" i="2"/>
  <c r="B723" i="2"/>
  <c r="E722" i="2"/>
  <c r="C722" i="2"/>
  <c r="B722" i="2"/>
  <c r="E721" i="2"/>
  <c r="C721" i="2"/>
  <c r="B721" i="2"/>
  <c r="E720" i="2"/>
  <c r="C720" i="2"/>
  <c r="B720" i="2"/>
  <c r="E719" i="2"/>
  <c r="C719" i="2"/>
  <c r="B719" i="2"/>
  <c r="E718" i="2"/>
  <c r="C718" i="2"/>
  <c r="B718" i="2"/>
  <c r="E717" i="2"/>
  <c r="C717" i="2"/>
  <c r="B717" i="2"/>
  <c r="E716" i="2"/>
  <c r="C716" i="2"/>
  <c r="B716" i="2"/>
  <c r="E715" i="2"/>
  <c r="C715" i="2"/>
  <c r="B715" i="2"/>
  <c r="E714" i="2"/>
  <c r="C714" i="2"/>
  <c r="B714" i="2"/>
  <c r="E713" i="2"/>
  <c r="C713" i="2"/>
  <c r="B713" i="2"/>
  <c r="E712" i="2"/>
  <c r="C712" i="2"/>
  <c r="B712" i="2"/>
  <c r="E711" i="2"/>
  <c r="C711" i="2"/>
  <c r="B711" i="2"/>
  <c r="E710" i="2"/>
  <c r="C710" i="2"/>
  <c r="B710" i="2"/>
  <c r="E709" i="2"/>
  <c r="C709" i="2"/>
  <c r="B709" i="2"/>
  <c r="E708" i="2"/>
  <c r="C708" i="2"/>
  <c r="B708" i="2"/>
  <c r="E707" i="2"/>
  <c r="C707" i="2"/>
  <c r="B707" i="2"/>
  <c r="E706" i="2"/>
  <c r="C706" i="2"/>
  <c r="B706" i="2"/>
  <c r="E705" i="2"/>
  <c r="C705" i="2"/>
  <c r="B705" i="2"/>
  <c r="E704" i="2"/>
  <c r="C704" i="2"/>
  <c r="B704" i="2"/>
  <c r="E703" i="2"/>
  <c r="C703" i="2"/>
  <c r="B703" i="2"/>
  <c r="E702" i="2"/>
  <c r="C702" i="2"/>
  <c r="B702" i="2"/>
  <c r="E701" i="2"/>
  <c r="C701" i="2"/>
  <c r="B701" i="2"/>
  <c r="E700" i="2"/>
  <c r="C700" i="2"/>
  <c r="B700" i="2"/>
  <c r="E699" i="2"/>
  <c r="C699" i="2"/>
  <c r="B699" i="2"/>
  <c r="E698" i="2"/>
  <c r="C698" i="2"/>
  <c r="B698" i="2"/>
  <c r="E697" i="2"/>
  <c r="C697" i="2"/>
  <c r="B697" i="2"/>
  <c r="E696" i="2"/>
  <c r="C696" i="2"/>
  <c r="B696" i="2"/>
  <c r="E695" i="2"/>
  <c r="C695" i="2"/>
  <c r="B695" i="2"/>
  <c r="E694" i="2"/>
  <c r="C694" i="2"/>
  <c r="B694" i="2"/>
  <c r="E693" i="2"/>
  <c r="C693" i="2"/>
  <c r="B693" i="2"/>
  <c r="E692" i="2"/>
  <c r="C692" i="2"/>
  <c r="B692" i="2"/>
  <c r="E691" i="2"/>
  <c r="C691" i="2"/>
  <c r="B691" i="2"/>
  <c r="E690" i="2"/>
  <c r="C690" i="2"/>
  <c r="B690" i="2"/>
  <c r="E689" i="2"/>
  <c r="C689" i="2"/>
  <c r="B689" i="2"/>
  <c r="E688" i="2"/>
  <c r="C688" i="2"/>
  <c r="B688" i="2"/>
  <c r="E687" i="2"/>
  <c r="C687" i="2"/>
  <c r="B687" i="2"/>
  <c r="E686" i="2"/>
  <c r="C686" i="2"/>
  <c r="B686" i="2"/>
  <c r="E685" i="2"/>
  <c r="C685" i="2"/>
  <c r="B685" i="2"/>
  <c r="E684" i="2"/>
  <c r="C684" i="2"/>
  <c r="B684" i="2"/>
  <c r="E683" i="2"/>
  <c r="C683" i="2"/>
  <c r="B683" i="2"/>
  <c r="E682" i="2"/>
  <c r="C682" i="2"/>
  <c r="B682" i="2"/>
  <c r="E681" i="2"/>
  <c r="C681" i="2"/>
  <c r="B681" i="2"/>
  <c r="E680" i="2"/>
  <c r="C680" i="2"/>
  <c r="B680" i="2"/>
  <c r="E679" i="2"/>
  <c r="C679" i="2"/>
  <c r="B679" i="2"/>
  <c r="E678" i="2"/>
  <c r="C678" i="2"/>
  <c r="B678" i="2"/>
  <c r="E677" i="2"/>
  <c r="C677" i="2"/>
  <c r="B677" i="2"/>
  <c r="E676" i="2"/>
  <c r="C676" i="2"/>
  <c r="B676" i="2"/>
  <c r="E675" i="2"/>
  <c r="C675" i="2"/>
  <c r="B675" i="2"/>
  <c r="E674" i="2"/>
  <c r="C674" i="2"/>
  <c r="B674" i="2"/>
  <c r="E673" i="2"/>
  <c r="C673" i="2"/>
  <c r="B673" i="2"/>
  <c r="E672" i="2"/>
  <c r="C672" i="2"/>
  <c r="B672" i="2"/>
  <c r="E671" i="2"/>
  <c r="C671" i="2"/>
  <c r="B671" i="2"/>
  <c r="E670" i="2"/>
  <c r="C670" i="2"/>
  <c r="B670" i="2"/>
  <c r="E669" i="2"/>
  <c r="D669" i="2"/>
  <c r="C669" i="2"/>
  <c r="B669" i="2"/>
  <c r="E668" i="2"/>
  <c r="D668" i="2"/>
  <c r="C668" i="2"/>
  <c r="B668" i="2"/>
  <c r="E667" i="2"/>
  <c r="D667" i="2"/>
  <c r="C667" i="2"/>
  <c r="B667" i="2"/>
  <c r="E666" i="2"/>
  <c r="D666" i="2"/>
  <c r="C666" i="2"/>
  <c r="B666" i="2"/>
  <c r="E665" i="2"/>
  <c r="D665" i="2"/>
  <c r="C665" i="2"/>
  <c r="B665" i="2"/>
  <c r="E664" i="2"/>
  <c r="D664" i="2"/>
  <c r="C664" i="2"/>
  <c r="B664" i="2"/>
  <c r="E663" i="2"/>
  <c r="D663" i="2"/>
  <c r="C663" i="2"/>
  <c r="B663" i="2"/>
  <c r="E662" i="2"/>
  <c r="D662" i="2"/>
  <c r="C662" i="2"/>
  <c r="B662" i="2"/>
  <c r="E661" i="2"/>
  <c r="D661" i="2"/>
  <c r="C661" i="2"/>
  <c r="B661" i="2"/>
  <c r="E660" i="2"/>
  <c r="D660" i="2"/>
  <c r="C660" i="2"/>
  <c r="B660" i="2"/>
  <c r="E659" i="2"/>
  <c r="D659" i="2"/>
  <c r="C659" i="2"/>
  <c r="B659" i="2"/>
  <c r="E658" i="2"/>
  <c r="D658" i="2"/>
  <c r="C658" i="2"/>
  <c r="B658" i="2"/>
  <c r="E657" i="2"/>
  <c r="D657" i="2"/>
  <c r="C657" i="2"/>
  <c r="B657" i="2"/>
  <c r="E656" i="2"/>
  <c r="D656" i="2"/>
  <c r="C656" i="2"/>
  <c r="B656" i="2"/>
  <c r="E655" i="2"/>
  <c r="D655" i="2"/>
  <c r="C655" i="2"/>
  <c r="B655" i="2"/>
  <c r="E654" i="2"/>
  <c r="D654" i="2"/>
  <c r="C654" i="2"/>
  <c r="B654" i="2"/>
  <c r="E653" i="2"/>
  <c r="D653" i="2"/>
  <c r="C653" i="2"/>
  <c r="B653" i="2"/>
  <c r="E652" i="2"/>
  <c r="C652" i="2"/>
  <c r="B652" i="2"/>
  <c r="E651" i="2"/>
  <c r="C651" i="2"/>
  <c r="B651" i="2"/>
  <c r="E650" i="2"/>
  <c r="C650" i="2"/>
  <c r="B650" i="2"/>
  <c r="E649" i="2"/>
  <c r="C649" i="2"/>
  <c r="B649" i="2"/>
  <c r="E648" i="2"/>
  <c r="C648" i="2"/>
  <c r="B648" i="2"/>
  <c r="E647" i="2"/>
  <c r="C647" i="2"/>
  <c r="B647" i="2"/>
  <c r="E646" i="2"/>
  <c r="C646" i="2"/>
  <c r="B646" i="2"/>
  <c r="E645" i="2"/>
  <c r="C645" i="2"/>
  <c r="B645" i="2"/>
  <c r="E644" i="2"/>
  <c r="C644" i="2"/>
  <c r="B644" i="2"/>
  <c r="E643" i="2"/>
  <c r="C643" i="2"/>
  <c r="B643" i="2"/>
  <c r="E642" i="2"/>
  <c r="C642" i="2"/>
  <c r="B642" i="2"/>
  <c r="E641" i="2"/>
  <c r="C641" i="2"/>
  <c r="B641" i="2"/>
  <c r="E640" i="2"/>
  <c r="C640" i="2"/>
  <c r="B640" i="2"/>
  <c r="E639" i="2"/>
  <c r="C639" i="2"/>
  <c r="B639" i="2"/>
  <c r="E638" i="2"/>
  <c r="C638" i="2"/>
  <c r="B638" i="2"/>
  <c r="E637" i="2"/>
  <c r="C637" i="2"/>
  <c r="B637" i="2"/>
  <c r="E636" i="2"/>
  <c r="C636" i="2"/>
  <c r="B636" i="2"/>
  <c r="E635" i="2"/>
  <c r="C635" i="2"/>
  <c r="B635" i="2"/>
  <c r="E634" i="2"/>
  <c r="C634" i="2"/>
  <c r="B634" i="2"/>
  <c r="E633" i="2"/>
  <c r="C633" i="2"/>
  <c r="B633" i="2"/>
  <c r="E632" i="2"/>
  <c r="C632" i="2"/>
  <c r="B632" i="2"/>
  <c r="E631" i="2"/>
  <c r="C631" i="2"/>
  <c r="B631" i="2"/>
  <c r="E630" i="2"/>
  <c r="C630" i="2"/>
  <c r="B630" i="2"/>
  <c r="E629" i="2"/>
  <c r="C629" i="2"/>
  <c r="B629" i="2"/>
  <c r="E628" i="2"/>
  <c r="C628" i="2"/>
  <c r="B628" i="2"/>
  <c r="E627" i="2"/>
  <c r="C627" i="2"/>
  <c r="B627" i="2"/>
  <c r="E626" i="2"/>
  <c r="C626" i="2"/>
  <c r="B626" i="2"/>
  <c r="E625" i="2"/>
  <c r="C625" i="2"/>
  <c r="B625" i="2"/>
  <c r="E624" i="2"/>
  <c r="C624" i="2"/>
  <c r="B624" i="2"/>
  <c r="E623" i="2"/>
  <c r="C623" i="2"/>
  <c r="B623" i="2"/>
  <c r="E622" i="2"/>
  <c r="C622" i="2"/>
  <c r="B622" i="2"/>
  <c r="E621" i="2"/>
  <c r="C621" i="2"/>
  <c r="B621" i="2"/>
  <c r="E620" i="2"/>
  <c r="C620" i="2"/>
  <c r="B620" i="2"/>
  <c r="E619" i="2"/>
  <c r="C619" i="2"/>
  <c r="B619" i="2"/>
  <c r="E618" i="2"/>
  <c r="C618" i="2"/>
  <c r="B618" i="2"/>
  <c r="E617" i="2"/>
  <c r="C617" i="2"/>
  <c r="B617" i="2"/>
  <c r="E616" i="2"/>
  <c r="C616" i="2"/>
  <c r="B616" i="2"/>
  <c r="E615" i="2"/>
  <c r="C615" i="2"/>
  <c r="B615" i="2"/>
  <c r="E614" i="2"/>
  <c r="C614" i="2"/>
  <c r="B614" i="2"/>
  <c r="E613" i="2"/>
  <c r="C613" i="2"/>
  <c r="B613" i="2"/>
  <c r="E612" i="2"/>
  <c r="C612" i="2"/>
  <c r="B612" i="2"/>
  <c r="E611" i="2"/>
  <c r="C611" i="2"/>
  <c r="B611" i="2"/>
  <c r="E610" i="2"/>
  <c r="C610" i="2"/>
  <c r="B610" i="2"/>
  <c r="E609" i="2"/>
  <c r="C609" i="2"/>
  <c r="B609" i="2"/>
  <c r="E608" i="2"/>
  <c r="C608" i="2"/>
  <c r="B608" i="2"/>
  <c r="E607" i="2"/>
  <c r="C607" i="2"/>
  <c r="B607" i="2"/>
  <c r="E606" i="2"/>
  <c r="C606" i="2"/>
  <c r="B606" i="2"/>
  <c r="E605" i="2"/>
  <c r="C605" i="2"/>
  <c r="B605" i="2"/>
  <c r="E604" i="2"/>
  <c r="C604" i="2"/>
  <c r="B604" i="2"/>
  <c r="E603" i="2"/>
  <c r="C603" i="2"/>
  <c r="B603" i="2"/>
  <c r="E602" i="2"/>
  <c r="C602" i="2"/>
  <c r="B602" i="2"/>
  <c r="E601" i="2"/>
  <c r="C601" i="2"/>
  <c r="B601" i="2"/>
  <c r="E600" i="2"/>
  <c r="C600" i="2"/>
  <c r="B600" i="2"/>
  <c r="E599" i="2"/>
  <c r="C599" i="2"/>
  <c r="B599" i="2"/>
  <c r="E598" i="2"/>
  <c r="D598" i="2"/>
  <c r="C598" i="2"/>
  <c r="B598" i="2"/>
  <c r="E597" i="2"/>
  <c r="D597" i="2"/>
  <c r="C597" i="2"/>
  <c r="B597" i="2"/>
  <c r="E596" i="2"/>
  <c r="D596" i="2"/>
  <c r="C596" i="2"/>
  <c r="B596" i="2"/>
  <c r="E595" i="2"/>
  <c r="D595" i="2"/>
  <c r="C595" i="2"/>
  <c r="B595" i="2"/>
  <c r="E594" i="2"/>
  <c r="D594" i="2"/>
  <c r="C594" i="2"/>
  <c r="B594" i="2"/>
  <c r="E593" i="2"/>
  <c r="D593" i="2"/>
  <c r="C593" i="2"/>
  <c r="B593" i="2"/>
  <c r="E592" i="2"/>
  <c r="D592" i="2"/>
  <c r="C592" i="2"/>
  <c r="B592" i="2"/>
  <c r="E591" i="2"/>
  <c r="D591" i="2"/>
  <c r="C591" i="2"/>
  <c r="B591" i="2"/>
  <c r="E590" i="2"/>
  <c r="D590" i="2"/>
  <c r="C590" i="2"/>
  <c r="B590" i="2"/>
  <c r="E589" i="2"/>
  <c r="D589" i="2"/>
  <c r="C589" i="2"/>
  <c r="B589" i="2"/>
  <c r="E588" i="2"/>
  <c r="D588" i="2"/>
  <c r="C588" i="2"/>
  <c r="B588" i="2"/>
  <c r="E587" i="2"/>
  <c r="D587" i="2"/>
  <c r="C587" i="2"/>
  <c r="B587" i="2"/>
  <c r="E586" i="2"/>
  <c r="D586" i="2"/>
  <c r="C586" i="2"/>
  <c r="B586" i="2"/>
  <c r="E585" i="2"/>
  <c r="D585" i="2"/>
  <c r="C585" i="2"/>
  <c r="B585" i="2"/>
  <c r="E584" i="2"/>
  <c r="D584" i="2"/>
  <c r="C584" i="2"/>
  <c r="B584" i="2"/>
  <c r="E583" i="2"/>
  <c r="D583" i="2"/>
  <c r="C583" i="2"/>
  <c r="B583" i="2"/>
  <c r="E582" i="2"/>
  <c r="D582" i="2"/>
  <c r="C582" i="2"/>
  <c r="B582" i="2"/>
  <c r="E581" i="2"/>
  <c r="C581" i="2"/>
  <c r="B581" i="2"/>
  <c r="E580" i="2"/>
  <c r="C580" i="2"/>
  <c r="B580" i="2"/>
  <c r="E579" i="2"/>
  <c r="C579" i="2"/>
  <c r="B579" i="2"/>
  <c r="E578" i="2"/>
  <c r="C578" i="2"/>
  <c r="B578" i="2"/>
  <c r="E577" i="2"/>
  <c r="C577" i="2"/>
  <c r="B577" i="2"/>
  <c r="E576" i="2"/>
  <c r="C576" i="2"/>
  <c r="B576" i="2"/>
  <c r="E575" i="2"/>
  <c r="C575" i="2"/>
  <c r="B575" i="2"/>
  <c r="E574" i="2"/>
  <c r="C574" i="2"/>
  <c r="B574" i="2"/>
  <c r="E573" i="2"/>
  <c r="C573" i="2"/>
  <c r="B573" i="2"/>
  <c r="E572" i="2"/>
  <c r="C572" i="2"/>
  <c r="B572" i="2"/>
  <c r="E571" i="2"/>
  <c r="C571" i="2"/>
  <c r="B571" i="2"/>
  <c r="E570" i="2"/>
  <c r="C570" i="2"/>
  <c r="B570" i="2"/>
  <c r="E569" i="2"/>
  <c r="C569" i="2"/>
  <c r="B569" i="2"/>
  <c r="E568" i="2"/>
  <c r="C568" i="2"/>
  <c r="B568" i="2"/>
  <c r="E567" i="2"/>
  <c r="C567" i="2"/>
  <c r="B567" i="2"/>
  <c r="E566" i="2"/>
  <c r="C566" i="2"/>
  <c r="B566" i="2"/>
  <c r="E565" i="2"/>
  <c r="C565" i="2"/>
  <c r="B565" i="2"/>
  <c r="E564" i="2"/>
  <c r="C564" i="2"/>
  <c r="B564" i="2"/>
  <c r="E563" i="2"/>
  <c r="C563" i="2"/>
  <c r="B563" i="2"/>
  <c r="E562" i="2"/>
  <c r="C562" i="2"/>
  <c r="B562" i="2"/>
  <c r="E561" i="2"/>
  <c r="C561" i="2"/>
  <c r="B561" i="2"/>
  <c r="E560" i="2"/>
  <c r="C560" i="2"/>
  <c r="B560" i="2"/>
  <c r="E559" i="2"/>
  <c r="C559" i="2"/>
  <c r="B559" i="2"/>
  <c r="E558" i="2"/>
  <c r="C558" i="2"/>
  <c r="B558" i="2"/>
  <c r="E557" i="2"/>
  <c r="C557" i="2"/>
  <c r="B557" i="2"/>
  <c r="E556" i="2"/>
  <c r="C556" i="2"/>
  <c r="B556" i="2"/>
  <c r="E555" i="2"/>
  <c r="C555" i="2"/>
  <c r="B555" i="2"/>
  <c r="E554" i="2"/>
  <c r="C554" i="2"/>
  <c r="B554" i="2"/>
  <c r="E553" i="2"/>
  <c r="C553" i="2"/>
  <c r="B553" i="2"/>
  <c r="E552" i="2"/>
  <c r="C552" i="2"/>
  <c r="B552" i="2"/>
  <c r="E551" i="2"/>
  <c r="C551" i="2"/>
  <c r="B551" i="2"/>
  <c r="E550" i="2"/>
  <c r="C550" i="2"/>
  <c r="B550" i="2"/>
  <c r="E549" i="2"/>
  <c r="C549" i="2"/>
  <c r="B549" i="2"/>
  <c r="E548" i="2"/>
  <c r="C548" i="2"/>
  <c r="B548" i="2"/>
  <c r="E547" i="2"/>
  <c r="C547" i="2"/>
  <c r="B547" i="2"/>
  <c r="E546" i="2"/>
  <c r="C546" i="2"/>
  <c r="B546" i="2"/>
  <c r="E545" i="2"/>
  <c r="C545" i="2"/>
  <c r="B545" i="2"/>
  <c r="E544" i="2"/>
  <c r="C544" i="2"/>
  <c r="B544" i="2"/>
  <c r="E543" i="2"/>
  <c r="C543" i="2"/>
  <c r="B543" i="2"/>
  <c r="E542" i="2"/>
  <c r="C542" i="2"/>
  <c r="B542" i="2"/>
  <c r="E541" i="2"/>
  <c r="C541" i="2"/>
  <c r="B541" i="2"/>
  <c r="E540" i="2"/>
  <c r="C540" i="2"/>
  <c r="B540" i="2"/>
  <c r="E539" i="2"/>
  <c r="C539" i="2"/>
  <c r="B539" i="2"/>
  <c r="E538" i="2"/>
  <c r="C538" i="2"/>
  <c r="B538" i="2"/>
  <c r="E537" i="2"/>
  <c r="C537" i="2"/>
  <c r="B537" i="2"/>
  <c r="E536" i="2"/>
  <c r="C536" i="2"/>
  <c r="B536" i="2"/>
  <c r="E535" i="2"/>
  <c r="C535" i="2"/>
  <c r="B535" i="2"/>
  <c r="E534" i="2"/>
  <c r="C534" i="2"/>
  <c r="B534" i="2"/>
  <c r="E533" i="2"/>
  <c r="C533" i="2"/>
  <c r="B533" i="2"/>
  <c r="E532" i="2"/>
  <c r="C532" i="2"/>
  <c r="B532" i="2"/>
  <c r="E531" i="2"/>
  <c r="C531" i="2"/>
  <c r="B531" i="2"/>
  <c r="E530" i="2"/>
  <c r="C530" i="2"/>
  <c r="B530" i="2"/>
  <c r="E529" i="2"/>
  <c r="C529" i="2"/>
  <c r="B529" i="2"/>
  <c r="E528" i="2"/>
  <c r="C528" i="2"/>
  <c r="B528" i="2"/>
  <c r="E527" i="2"/>
  <c r="C527" i="2"/>
  <c r="B527" i="2"/>
  <c r="E526" i="2"/>
  <c r="C526" i="2"/>
  <c r="B526" i="2"/>
  <c r="E525" i="2"/>
  <c r="C525" i="2"/>
  <c r="B525" i="2"/>
  <c r="E524" i="2"/>
  <c r="C524" i="2"/>
  <c r="B524" i="2"/>
  <c r="E523" i="2"/>
  <c r="C523" i="2"/>
  <c r="B523" i="2"/>
  <c r="E522" i="2"/>
  <c r="C522" i="2"/>
  <c r="B522" i="2"/>
  <c r="E521" i="2"/>
  <c r="C521" i="2"/>
  <c r="B521" i="2"/>
  <c r="E520" i="2"/>
  <c r="D520" i="2"/>
  <c r="C520" i="2"/>
  <c r="B520" i="2"/>
  <c r="E519" i="2"/>
  <c r="D519" i="2"/>
  <c r="C519" i="2"/>
  <c r="B519" i="2"/>
  <c r="E518" i="2"/>
  <c r="D518" i="2"/>
  <c r="C518" i="2"/>
  <c r="B518" i="2"/>
  <c r="E517" i="2"/>
  <c r="D517" i="2"/>
  <c r="C517" i="2"/>
  <c r="B517" i="2"/>
  <c r="E516" i="2"/>
  <c r="D516" i="2"/>
  <c r="C516" i="2"/>
  <c r="B516" i="2"/>
  <c r="E515" i="2"/>
  <c r="D515" i="2"/>
  <c r="C515" i="2"/>
  <c r="B515" i="2"/>
  <c r="E514" i="2"/>
  <c r="D514" i="2"/>
  <c r="C514" i="2"/>
  <c r="B514" i="2"/>
  <c r="E513" i="2"/>
  <c r="D513" i="2"/>
  <c r="C513" i="2"/>
  <c r="B513" i="2"/>
  <c r="E512" i="2"/>
  <c r="D512" i="2"/>
  <c r="C512" i="2"/>
  <c r="B512" i="2"/>
  <c r="E511" i="2"/>
  <c r="D511" i="2"/>
  <c r="C511" i="2"/>
  <c r="B511" i="2"/>
  <c r="E510" i="2"/>
  <c r="D510" i="2"/>
  <c r="C510" i="2"/>
  <c r="B510" i="2"/>
  <c r="E509" i="2"/>
  <c r="D509" i="2"/>
  <c r="C509" i="2"/>
  <c r="B509" i="2"/>
  <c r="E508" i="2"/>
  <c r="D508" i="2"/>
  <c r="C508" i="2"/>
  <c r="B508" i="2"/>
  <c r="E507" i="2"/>
  <c r="D507" i="2"/>
  <c r="C507" i="2"/>
  <c r="B507" i="2"/>
  <c r="E506" i="2"/>
  <c r="D506" i="2"/>
  <c r="C506" i="2"/>
  <c r="B506" i="2"/>
  <c r="E505" i="2"/>
  <c r="D505" i="2"/>
  <c r="C505" i="2"/>
  <c r="B505" i="2"/>
  <c r="E504" i="2"/>
  <c r="D504" i="2"/>
  <c r="C504" i="2"/>
  <c r="B504" i="2"/>
  <c r="E503" i="2"/>
  <c r="C503" i="2"/>
  <c r="B503" i="2"/>
  <c r="E502" i="2"/>
  <c r="C502" i="2"/>
  <c r="B502" i="2"/>
  <c r="E501" i="2"/>
  <c r="C501" i="2"/>
  <c r="B501" i="2"/>
  <c r="E500" i="2"/>
  <c r="C500" i="2"/>
  <c r="B500" i="2"/>
  <c r="E499" i="2"/>
  <c r="C499" i="2"/>
  <c r="B499" i="2"/>
  <c r="E498" i="2"/>
  <c r="C498" i="2"/>
  <c r="B498" i="2"/>
  <c r="E497" i="2"/>
  <c r="C497" i="2"/>
  <c r="B497" i="2"/>
  <c r="E496" i="2"/>
  <c r="C496" i="2"/>
  <c r="B496" i="2"/>
  <c r="E495" i="2"/>
  <c r="C495" i="2"/>
  <c r="B495" i="2"/>
  <c r="E494" i="2"/>
  <c r="C494" i="2"/>
  <c r="B494" i="2"/>
  <c r="E493" i="2"/>
  <c r="C493" i="2"/>
  <c r="B493" i="2"/>
  <c r="E492" i="2"/>
  <c r="C492" i="2"/>
  <c r="B492" i="2"/>
  <c r="E491" i="2"/>
  <c r="C491" i="2"/>
  <c r="B491" i="2"/>
  <c r="E490" i="2"/>
  <c r="C490" i="2"/>
  <c r="B490" i="2"/>
  <c r="E489" i="2"/>
  <c r="C489" i="2"/>
  <c r="B489" i="2"/>
  <c r="E488" i="2"/>
  <c r="C488" i="2"/>
  <c r="B488" i="2"/>
  <c r="E487" i="2"/>
  <c r="C487" i="2"/>
  <c r="B487" i="2"/>
  <c r="E486" i="2"/>
  <c r="C486" i="2"/>
  <c r="B486" i="2"/>
  <c r="E485" i="2"/>
  <c r="C485" i="2"/>
  <c r="B485" i="2"/>
  <c r="E484" i="2"/>
  <c r="C484" i="2"/>
  <c r="B484" i="2"/>
  <c r="E483" i="2"/>
  <c r="C483" i="2"/>
  <c r="B483" i="2"/>
  <c r="E482" i="2"/>
  <c r="C482" i="2"/>
  <c r="B482" i="2"/>
  <c r="E481" i="2"/>
  <c r="C481" i="2"/>
  <c r="B481" i="2"/>
  <c r="E480" i="2"/>
  <c r="C480" i="2"/>
  <c r="B480" i="2"/>
  <c r="E479" i="2"/>
  <c r="C479" i="2"/>
  <c r="B479" i="2"/>
  <c r="E478" i="2"/>
  <c r="C478" i="2"/>
  <c r="B478" i="2"/>
  <c r="E477" i="2"/>
  <c r="C477" i="2"/>
  <c r="B477" i="2"/>
  <c r="E476" i="2"/>
  <c r="C476" i="2"/>
  <c r="B476" i="2"/>
  <c r="E475" i="2"/>
  <c r="C475" i="2"/>
  <c r="B475" i="2"/>
  <c r="E474" i="2"/>
  <c r="C474" i="2"/>
  <c r="B474" i="2"/>
  <c r="E473" i="2"/>
  <c r="C473" i="2"/>
  <c r="B473" i="2"/>
  <c r="E472" i="2"/>
  <c r="C472" i="2"/>
  <c r="B472" i="2"/>
  <c r="E471" i="2"/>
  <c r="C471" i="2"/>
  <c r="B471" i="2"/>
  <c r="E470" i="2"/>
  <c r="C470" i="2"/>
  <c r="B470" i="2"/>
  <c r="E469" i="2"/>
  <c r="C469" i="2"/>
  <c r="B469" i="2"/>
  <c r="E468" i="2"/>
  <c r="C468" i="2"/>
  <c r="B468" i="2"/>
  <c r="E467" i="2"/>
  <c r="C467" i="2"/>
  <c r="B467" i="2"/>
  <c r="E466" i="2"/>
  <c r="C466" i="2"/>
  <c r="B466" i="2"/>
  <c r="E465" i="2"/>
  <c r="C465" i="2"/>
  <c r="B465" i="2"/>
  <c r="E464" i="2"/>
  <c r="C464" i="2"/>
  <c r="B464" i="2"/>
  <c r="E463" i="2"/>
  <c r="C463" i="2"/>
  <c r="B463" i="2"/>
  <c r="E462" i="2"/>
  <c r="C462" i="2"/>
  <c r="B462" i="2"/>
  <c r="E461" i="2"/>
  <c r="C461" i="2"/>
  <c r="B461" i="2"/>
  <c r="E460" i="2"/>
  <c r="C460" i="2"/>
  <c r="B460" i="2"/>
  <c r="E459" i="2"/>
  <c r="C459" i="2"/>
  <c r="B459" i="2"/>
  <c r="E458" i="2"/>
  <c r="C458" i="2"/>
  <c r="B458" i="2"/>
  <c r="E457" i="2"/>
  <c r="C457" i="2"/>
  <c r="B457" i="2"/>
  <c r="E456" i="2"/>
  <c r="C456" i="2"/>
  <c r="B456" i="2"/>
  <c r="E455" i="2"/>
  <c r="C455" i="2"/>
  <c r="B455" i="2"/>
  <c r="E454" i="2"/>
  <c r="C454" i="2"/>
  <c r="B454" i="2"/>
  <c r="E453" i="2"/>
  <c r="C453" i="2"/>
  <c r="B453" i="2"/>
  <c r="E452" i="2"/>
  <c r="D452" i="2"/>
  <c r="C452" i="2"/>
  <c r="B452" i="2"/>
  <c r="E451" i="2"/>
  <c r="D451" i="2"/>
  <c r="C451" i="2"/>
  <c r="B451" i="2"/>
  <c r="E450" i="2"/>
  <c r="D450" i="2"/>
  <c r="C450" i="2"/>
  <c r="B450" i="2"/>
  <c r="E449" i="2"/>
  <c r="D449" i="2"/>
  <c r="C449" i="2"/>
  <c r="B449" i="2"/>
  <c r="E448" i="2"/>
  <c r="D448" i="2"/>
  <c r="C448" i="2"/>
  <c r="B448" i="2"/>
  <c r="E447" i="2"/>
  <c r="D447" i="2"/>
  <c r="C447" i="2"/>
  <c r="B447" i="2"/>
  <c r="E446" i="2"/>
  <c r="D446" i="2"/>
  <c r="C446" i="2"/>
  <c r="B446" i="2"/>
  <c r="E445" i="2"/>
  <c r="D445" i="2"/>
  <c r="C445" i="2"/>
  <c r="B445" i="2"/>
  <c r="E444" i="2"/>
  <c r="D444" i="2"/>
  <c r="C444" i="2"/>
  <c r="B444" i="2"/>
  <c r="E443" i="2"/>
  <c r="D443" i="2"/>
  <c r="C443" i="2"/>
  <c r="B443" i="2"/>
  <c r="E442" i="2"/>
  <c r="D442" i="2"/>
  <c r="C442" i="2"/>
  <c r="B442" i="2"/>
  <c r="E441" i="2"/>
  <c r="D441" i="2"/>
  <c r="C441" i="2"/>
  <c r="B441" i="2"/>
  <c r="E440" i="2"/>
  <c r="D440" i="2"/>
  <c r="C440" i="2"/>
  <c r="B440" i="2"/>
  <c r="E439" i="2"/>
  <c r="D439" i="2"/>
  <c r="C439" i="2"/>
  <c r="B439" i="2"/>
  <c r="E438" i="2"/>
  <c r="D438" i="2"/>
  <c r="C438" i="2"/>
  <c r="B438" i="2"/>
  <c r="E437" i="2"/>
  <c r="D437" i="2"/>
  <c r="C437" i="2"/>
  <c r="B437" i="2"/>
  <c r="E436" i="2"/>
  <c r="D436" i="2"/>
  <c r="C436" i="2"/>
  <c r="B436" i="2"/>
  <c r="E435" i="2"/>
  <c r="C435" i="2"/>
  <c r="B435" i="2"/>
  <c r="E434" i="2"/>
  <c r="C434" i="2"/>
  <c r="B434" i="2"/>
  <c r="E433" i="2"/>
  <c r="C433" i="2"/>
  <c r="B433" i="2"/>
  <c r="E432" i="2"/>
  <c r="C432" i="2"/>
  <c r="B432" i="2"/>
  <c r="E431" i="2"/>
  <c r="C431" i="2"/>
  <c r="B431" i="2"/>
  <c r="E430" i="2"/>
  <c r="C430" i="2"/>
  <c r="B430" i="2"/>
  <c r="E429" i="2"/>
  <c r="C429" i="2"/>
  <c r="B429" i="2"/>
  <c r="E428" i="2"/>
  <c r="C428" i="2"/>
  <c r="B428" i="2"/>
  <c r="E427" i="2"/>
  <c r="C427" i="2"/>
  <c r="B427" i="2"/>
  <c r="E426" i="2"/>
  <c r="C426" i="2"/>
  <c r="B426" i="2"/>
  <c r="E425" i="2"/>
  <c r="C425" i="2"/>
  <c r="B425" i="2"/>
  <c r="E424" i="2"/>
  <c r="C424" i="2"/>
  <c r="B424" i="2"/>
  <c r="E423" i="2"/>
  <c r="C423" i="2"/>
  <c r="B423" i="2"/>
  <c r="E422" i="2"/>
  <c r="C422" i="2"/>
  <c r="B422" i="2"/>
  <c r="E421" i="2"/>
  <c r="C421" i="2"/>
  <c r="B421" i="2"/>
  <c r="E420" i="2"/>
  <c r="C420" i="2"/>
  <c r="B420" i="2"/>
  <c r="E419" i="2"/>
  <c r="C419" i="2"/>
  <c r="B419" i="2"/>
  <c r="E418" i="2"/>
  <c r="C418" i="2"/>
  <c r="B418" i="2"/>
  <c r="E417" i="2"/>
  <c r="C417" i="2"/>
  <c r="B417" i="2"/>
  <c r="E416" i="2"/>
  <c r="C416" i="2"/>
  <c r="B416" i="2"/>
  <c r="E415" i="2"/>
  <c r="C415" i="2"/>
  <c r="B415" i="2"/>
  <c r="E414" i="2"/>
  <c r="C414" i="2"/>
  <c r="B414" i="2"/>
  <c r="E413" i="2"/>
  <c r="C413" i="2"/>
  <c r="B413" i="2"/>
  <c r="E412" i="2"/>
  <c r="C412" i="2"/>
  <c r="B412" i="2"/>
  <c r="E411" i="2"/>
  <c r="C411" i="2"/>
  <c r="B411" i="2"/>
  <c r="E410" i="2"/>
  <c r="C410" i="2"/>
  <c r="B410" i="2"/>
  <c r="E409" i="2"/>
  <c r="C409" i="2"/>
  <c r="B409" i="2"/>
  <c r="E408" i="2"/>
  <c r="C408" i="2"/>
  <c r="B408" i="2"/>
  <c r="E407" i="2"/>
  <c r="C407" i="2"/>
  <c r="B407" i="2"/>
  <c r="E406" i="2"/>
  <c r="C406" i="2"/>
  <c r="B406" i="2"/>
  <c r="E405" i="2"/>
  <c r="C405" i="2"/>
  <c r="B405" i="2"/>
  <c r="E404" i="2"/>
  <c r="C404" i="2"/>
  <c r="B404" i="2"/>
  <c r="E403" i="2"/>
  <c r="C403" i="2"/>
  <c r="B403" i="2"/>
  <c r="E402" i="2"/>
  <c r="C402" i="2"/>
  <c r="B402" i="2"/>
  <c r="E401" i="2"/>
  <c r="C401" i="2"/>
  <c r="B401" i="2"/>
  <c r="E400" i="2"/>
  <c r="C400" i="2"/>
  <c r="B400" i="2"/>
  <c r="E399" i="2"/>
  <c r="C399" i="2"/>
  <c r="B399" i="2"/>
  <c r="E398" i="2"/>
  <c r="C398" i="2"/>
  <c r="B398" i="2"/>
  <c r="E397" i="2"/>
  <c r="C397" i="2"/>
  <c r="B397" i="2"/>
  <c r="E396" i="2"/>
  <c r="C396" i="2"/>
  <c r="B396" i="2"/>
  <c r="E395" i="2"/>
  <c r="C395" i="2"/>
  <c r="B395" i="2"/>
  <c r="E394" i="2"/>
  <c r="C394" i="2"/>
  <c r="B394" i="2"/>
  <c r="E393" i="2"/>
  <c r="C393" i="2"/>
  <c r="B393" i="2"/>
  <c r="E392" i="2"/>
  <c r="C392" i="2"/>
  <c r="B392" i="2"/>
  <c r="E391" i="2"/>
  <c r="C391" i="2"/>
  <c r="B391" i="2"/>
  <c r="E390" i="2"/>
  <c r="C390" i="2"/>
  <c r="B390" i="2"/>
  <c r="E389" i="2"/>
  <c r="C389" i="2"/>
  <c r="B389" i="2"/>
  <c r="E388" i="2"/>
  <c r="C388" i="2"/>
  <c r="B388" i="2"/>
  <c r="E387" i="2"/>
  <c r="C387" i="2"/>
  <c r="B387" i="2"/>
  <c r="E386" i="2"/>
  <c r="C386" i="2"/>
  <c r="B386" i="2"/>
  <c r="E385" i="2"/>
  <c r="C385" i="2"/>
  <c r="B385" i="2"/>
  <c r="E384" i="2"/>
  <c r="C384" i="2"/>
  <c r="B384" i="2"/>
  <c r="E383" i="2"/>
  <c r="C383" i="2"/>
  <c r="B383" i="2"/>
  <c r="E382" i="2"/>
  <c r="C382" i="2"/>
  <c r="B382" i="2"/>
  <c r="E381" i="2"/>
  <c r="C381" i="2"/>
  <c r="B381" i="2"/>
  <c r="E380" i="2"/>
  <c r="C380" i="2"/>
  <c r="B380" i="2"/>
  <c r="E379" i="2"/>
  <c r="C379" i="2"/>
  <c r="B379" i="2"/>
  <c r="E378" i="2"/>
  <c r="C378" i="2"/>
  <c r="B378" i="2"/>
  <c r="E377" i="2"/>
  <c r="C377" i="2"/>
  <c r="B377" i="2"/>
  <c r="E376" i="2"/>
  <c r="C376" i="2"/>
  <c r="B376" i="2"/>
  <c r="E375" i="2"/>
  <c r="C375" i="2"/>
  <c r="B375" i="2"/>
  <c r="E374" i="2"/>
  <c r="C374" i="2"/>
  <c r="B374" i="2"/>
  <c r="E373" i="2"/>
  <c r="C373" i="2"/>
  <c r="B373" i="2"/>
  <c r="E372" i="2"/>
  <c r="C372" i="2"/>
  <c r="B372" i="2"/>
  <c r="E371" i="2"/>
  <c r="C371" i="2"/>
  <c r="B371" i="2"/>
  <c r="E370" i="2"/>
  <c r="D370" i="2"/>
  <c r="C370" i="2"/>
  <c r="B370" i="2"/>
  <c r="E369" i="2"/>
  <c r="D369" i="2"/>
  <c r="C369" i="2"/>
  <c r="B369" i="2"/>
  <c r="E368" i="2"/>
  <c r="D368" i="2"/>
  <c r="C368" i="2"/>
  <c r="B368" i="2"/>
  <c r="E367" i="2"/>
  <c r="D367" i="2"/>
  <c r="C367" i="2"/>
  <c r="B367" i="2"/>
  <c r="E366" i="2"/>
  <c r="D366" i="2"/>
  <c r="C366" i="2"/>
  <c r="B366" i="2"/>
  <c r="E365" i="2"/>
  <c r="D365" i="2"/>
  <c r="C365" i="2"/>
  <c r="B365" i="2"/>
  <c r="E364" i="2"/>
  <c r="D364" i="2"/>
  <c r="C364" i="2"/>
  <c r="B364" i="2"/>
  <c r="E363" i="2"/>
  <c r="D363" i="2"/>
  <c r="C363" i="2"/>
  <c r="B363" i="2"/>
  <c r="E362" i="2"/>
  <c r="D362" i="2"/>
  <c r="C362" i="2"/>
  <c r="B362" i="2"/>
  <c r="E361" i="2"/>
  <c r="D361" i="2"/>
  <c r="C361" i="2"/>
  <c r="B361" i="2"/>
  <c r="E360" i="2"/>
  <c r="D360" i="2"/>
  <c r="C360" i="2"/>
  <c r="B360" i="2"/>
  <c r="E359" i="2"/>
  <c r="D359" i="2"/>
  <c r="C359" i="2"/>
  <c r="B359" i="2"/>
  <c r="E358" i="2"/>
  <c r="D358" i="2"/>
  <c r="C358" i="2"/>
  <c r="B358" i="2"/>
  <c r="E357" i="2"/>
  <c r="D357" i="2"/>
  <c r="C357" i="2"/>
  <c r="B357" i="2"/>
  <c r="E356" i="2"/>
  <c r="D356" i="2"/>
  <c r="C356" i="2"/>
  <c r="B356" i="2"/>
  <c r="E355" i="2"/>
  <c r="D355" i="2"/>
  <c r="C355" i="2"/>
  <c r="B355" i="2"/>
  <c r="E354" i="2"/>
  <c r="D354" i="2"/>
  <c r="C354" i="2"/>
  <c r="B354" i="2"/>
  <c r="E353" i="2"/>
  <c r="C353" i="2"/>
  <c r="B353" i="2"/>
  <c r="E352" i="2"/>
  <c r="C352" i="2"/>
  <c r="B352" i="2"/>
  <c r="E351" i="2"/>
  <c r="C351" i="2"/>
  <c r="B351" i="2"/>
  <c r="E350" i="2"/>
  <c r="C350" i="2"/>
  <c r="B350" i="2"/>
  <c r="E349" i="2"/>
  <c r="C349" i="2"/>
  <c r="B349" i="2"/>
  <c r="E348" i="2"/>
  <c r="C348" i="2"/>
  <c r="B348" i="2"/>
  <c r="E347" i="2"/>
  <c r="C347" i="2"/>
  <c r="B347" i="2"/>
  <c r="E346" i="2"/>
  <c r="C346" i="2"/>
  <c r="B346" i="2"/>
  <c r="E345" i="2"/>
  <c r="C345" i="2"/>
  <c r="B345" i="2"/>
  <c r="E344" i="2"/>
  <c r="C344" i="2"/>
  <c r="B344" i="2"/>
  <c r="E343" i="2"/>
  <c r="C343" i="2"/>
  <c r="B343" i="2"/>
  <c r="E342" i="2"/>
  <c r="C342" i="2"/>
  <c r="B342" i="2"/>
  <c r="E341" i="2"/>
  <c r="C341" i="2"/>
  <c r="B341" i="2"/>
  <c r="E340" i="2"/>
  <c r="C340" i="2"/>
  <c r="B340" i="2"/>
  <c r="E339" i="2"/>
  <c r="C339" i="2"/>
  <c r="B339" i="2"/>
  <c r="E338" i="2"/>
  <c r="C338" i="2"/>
  <c r="B338" i="2"/>
  <c r="E337" i="2"/>
  <c r="C337" i="2"/>
  <c r="B337" i="2"/>
  <c r="E336" i="2"/>
  <c r="C336" i="2"/>
  <c r="B336" i="2"/>
  <c r="E335" i="2"/>
  <c r="C335" i="2"/>
  <c r="B335" i="2"/>
  <c r="E334" i="2"/>
  <c r="C334" i="2"/>
  <c r="B334" i="2"/>
  <c r="E333" i="2"/>
  <c r="C333" i="2"/>
  <c r="B333" i="2"/>
  <c r="E332" i="2"/>
  <c r="C332" i="2"/>
  <c r="B332" i="2"/>
  <c r="E331" i="2"/>
  <c r="C331" i="2"/>
  <c r="B331" i="2"/>
  <c r="E330" i="2"/>
  <c r="C330" i="2"/>
  <c r="B330" i="2"/>
  <c r="E329" i="2"/>
  <c r="C329" i="2"/>
  <c r="B329" i="2"/>
  <c r="E328" i="2"/>
  <c r="C328" i="2"/>
  <c r="B328" i="2"/>
  <c r="E327" i="2"/>
  <c r="C327" i="2"/>
  <c r="B327" i="2"/>
  <c r="E326" i="2"/>
  <c r="C326" i="2"/>
  <c r="B326" i="2"/>
  <c r="E325" i="2"/>
  <c r="C325" i="2"/>
  <c r="B325" i="2"/>
  <c r="E324" i="2"/>
  <c r="C324" i="2"/>
  <c r="B324" i="2"/>
  <c r="E323" i="2"/>
  <c r="C323" i="2"/>
  <c r="B323" i="2"/>
  <c r="E322" i="2"/>
  <c r="C322" i="2"/>
  <c r="B322" i="2"/>
  <c r="E321" i="2"/>
  <c r="C321" i="2"/>
  <c r="B321" i="2"/>
  <c r="E320" i="2"/>
  <c r="C320" i="2"/>
  <c r="B320" i="2"/>
  <c r="E319" i="2"/>
  <c r="C319" i="2"/>
  <c r="B319" i="2"/>
  <c r="E318" i="2"/>
  <c r="C318" i="2"/>
  <c r="B318" i="2"/>
  <c r="E317" i="2"/>
  <c r="C317" i="2"/>
  <c r="B317" i="2"/>
  <c r="E316" i="2"/>
  <c r="C316" i="2"/>
  <c r="B316" i="2"/>
  <c r="E315" i="2"/>
  <c r="C315" i="2"/>
  <c r="B315" i="2"/>
  <c r="E314" i="2"/>
  <c r="C314" i="2"/>
  <c r="B314" i="2"/>
  <c r="E313" i="2"/>
  <c r="C313" i="2"/>
  <c r="B313" i="2"/>
  <c r="E312" i="2"/>
  <c r="C312" i="2"/>
  <c r="B312" i="2"/>
  <c r="E311" i="2"/>
  <c r="C311" i="2"/>
  <c r="B311" i="2"/>
  <c r="E310" i="2"/>
  <c r="C310" i="2"/>
  <c r="B310" i="2"/>
  <c r="E309" i="2"/>
  <c r="C309" i="2"/>
  <c r="B309" i="2"/>
  <c r="E308" i="2"/>
  <c r="C308" i="2"/>
  <c r="B308" i="2"/>
  <c r="E307" i="2"/>
  <c r="C307" i="2"/>
  <c r="B307" i="2"/>
  <c r="E306" i="2"/>
  <c r="C306" i="2"/>
  <c r="B306" i="2"/>
  <c r="E305" i="2"/>
  <c r="C305" i="2"/>
  <c r="B305" i="2"/>
  <c r="E304" i="2"/>
  <c r="C304" i="2"/>
  <c r="B304" i="2"/>
  <c r="E303" i="2"/>
  <c r="C303" i="2"/>
  <c r="B303" i="2"/>
  <c r="E302" i="2"/>
  <c r="C302" i="2"/>
  <c r="B302" i="2"/>
  <c r="E301" i="2"/>
  <c r="C301" i="2"/>
  <c r="B301" i="2"/>
  <c r="E300" i="2"/>
  <c r="C300" i="2"/>
  <c r="B300" i="2"/>
  <c r="E299" i="2"/>
  <c r="C299" i="2"/>
  <c r="B299" i="2"/>
  <c r="E298" i="2"/>
  <c r="C298" i="2"/>
  <c r="B298" i="2"/>
  <c r="E297" i="2"/>
  <c r="C297" i="2"/>
  <c r="B297" i="2"/>
  <c r="E296" i="2"/>
  <c r="C296" i="2"/>
  <c r="B296" i="2"/>
  <c r="E295" i="2"/>
  <c r="C295" i="2"/>
  <c r="B295" i="2"/>
  <c r="E294" i="2"/>
  <c r="D294" i="2"/>
  <c r="C294" i="2"/>
  <c r="B294" i="2"/>
  <c r="E293" i="2"/>
  <c r="D293" i="2"/>
  <c r="C293" i="2"/>
  <c r="B293" i="2"/>
  <c r="E292" i="2"/>
  <c r="D292" i="2"/>
  <c r="C292" i="2"/>
  <c r="B292" i="2"/>
  <c r="E291" i="2"/>
  <c r="D291" i="2"/>
  <c r="C291" i="2"/>
  <c r="B291" i="2"/>
  <c r="E290" i="2"/>
  <c r="D290" i="2"/>
  <c r="C290" i="2"/>
  <c r="B290" i="2"/>
  <c r="E289" i="2"/>
  <c r="D289" i="2"/>
  <c r="C289" i="2"/>
  <c r="B289" i="2"/>
  <c r="E288" i="2"/>
  <c r="D288" i="2"/>
  <c r="C288" i="2"/>
  <c r="B288" i="2"/>
  <c r="E287" i="2"/>
  <c r="D287" i="2"/>
  <c r="C287" i="2"/>
  <c r="B287" i="2"/>
  <c r="E286" i="2"/>
  <c r="D286" i="2"/>
  <c r="C286" i="2"/>
  <c r="B286" i="2"/>
  <c r="E285" i="2"/>
  <c r="D285" i="2"/>
  <c r="C285" i="2"/>
  <c r="B285" i="2"/>
  <c r="E284" i="2"/>
  <c r="D284" i="2"/>
  <c r="C284" i="2"/>
  <c r="B284" i="2"/>
  <c r="E283" i="2"/>
  <c r="D283" i="2"/>
  <c r="C283" i="2"/>
  <c r="B283" i="2"/>
  <c r="E282" i="2"/>
  <c r="D282" i="2"/>
  <c r="C282" i="2"/>
  <c r="B282" i="2"/>
  <c r="E281" i="2"/>
  <c r="D281" i="2"/>
  <c r="C281" i="2"/>
  <c r="B281" i="2"/>
  <c r="E280" i="2"/>
  <c r="D280" i="2"/>
  <c r="C280" i="2"/>
  <c r="B280" i="2"/>
  <c r="E279" i="2"/>
  <c r="D279" i="2"/>
  <c r="C279" i="2"/>
  <c r="B279" i="2"/>
  <c r="E278" i="2"/>
  <c r="D278" i="2"/>
  <c r="C278" i="2"/>
  <c r="B278" i="2"/>
  <c r="E277" i="2"/>
  <c r="C277" i="2"/>
  <c r="B277" i="2"/>
  <c r="E276" i="2"/>
  <c r="C276" i="2"/>
  <c r="B276" i="2"/>
  <c r="E275" i="2"/>
  <c r="C275" i="2"/>
  <c r="B275" i="2"/>
  <c r="E274" i="2"/>
  <c r="C274" i="2"/>
  <c r="B274" i="2"/>
  <c r="E273" i="2"/>
  <c r="C273" i="2"/>
  <c r="B273" i="2"/>
  <c r="E272" i="2"/>
  <c r="C272" i="2"/>
  <c r="B272" i="2"/>
  <c r="E271" i="2"/>
  <c r="C271" i="2"/>
  <c r="B271" i="2"/>
  <c r="E270" i="2"/>
  <c r="C270" i="2"/>
  <c r="B270" i="2"/>
  <c r="E269" i="2"/>
  <c r="C269" i="2"/>
  <c r="B269" i="2"/>
  <c r="E268" i="2"/>
  <c r="C268" i="2"/>
  <c r="B268" i="2"/>
  <c r="E267" i="2"/>
  <c r="C267" i="2"/>
  <c r="B267" i="2"/>
  <c r="E266" i="2"/>
  <c r="C266" i="2"/>
  <c r="B266" i="2"/>
  <c r="E265" i="2"/>
  <c r="C265" i="2"/>
  <c r="B265" i="2"/>
  <c r="E264" i="2"/>
  <c r="C264" i="2"/>
  <c r="B264" i="2"/>
  <c r="E263" i="2"/>
  <c r="C263" i="2"/>
  <c r="B263" i="2"/>
  <c r="E262" i="2"/>
  <c r="C262" i="2"/>
  <c r="B262" i="2"/>
  <c r="E261" i="2"/>
  <c r="C261" i="2"/>
  <c r="B261" i="2"/>
  <c r="E260" i="2"/>
  <c r="C260" i="2"/>
  <c r="B260" i="2"/>
  <c r="E259" i="2"/>
  <c r="C259" i="2"/>
  <c r="B259" i="2"/>
  <c r="E258" i="2"/>
  <c r="C258" i="2"/>
  <c r="B258" i="2"/>
  <c r="E257" i="2"/>
  <c r="C257" i="2"/>
  <c r="B257" i="2"/>
  <c r="E256" i="2"/>
  <c r="C256" i="2"/>
  <c r="B256" i="2"/>
  <c r="E255" i="2"/>
  <c r="C255" i="2"/>
  <c r="B255" i="2"/>
  <c r="E254" i="2"/>
  <c r="C254" i="2"/>
  <c r="B254" i="2"/>
  <c r="E253" i="2"/>
  <c r="C253" i="2"/>
  <c r="B253" i="2"/>
  <c r="E252" i="2"/>
  <c r="C252" i="2"/>
  <c r="B252" i="2"/>
  <c r="E251" i="2"/>
  <c r="C251" i="2"/>
  <c r="B251" i="2"/>
  <c r="E250" i="2"/>
  <c r="C250" i="2"/>
  <c r="B250" i="2"/>
  <c r="E249" i="2"/>
  <c r="C249" i="2"/>
  <c r="B249" i="2"/>
  <c r="E248" i="2"/>
  <c r="C248" i="2"/>
  <c r="B248" i="2"/>
  <c r="E247" i="2"/>
  <c r="C247" i="2"/>
  <c r="B247" i="2"/>
  <c r="E246" i="2"/>
  <c r="C246" i="2"/>
  <c r="B246" i="2"/>
  <c r="E245" i="2"/>
  <c r="C245" i="2"/>
  <c r="B245" i="2"/>
  <c r="E244" i="2"/>
  <c r="C244" i="2"/>
  <c r="B244" i="2"/>
  <c r="E243" i="2"/>
  <c r="C243" i="2"/>
  <c r="B243" i="2"/>
  <c r="E242" i="2"/>
  <c r="C242" i="2"/>
  <c r="B242" i="2"/>
  <c r="E241" i="2"/>
  <c r="C241" i="2"/>
  <c r="B241" i="2"/>
  <c r="E240" i="2"/>
  <c r="C240" i="2"/>
  <c r="B240" i="2"/>
  <c r="E239" i="2"/>
  <c r="C239" i="2"/>
  <c r="B239" i="2"/>
  <c r="E238" i="2"/>
  <c r="C238" i="2"/>
  <c r="B238" i="2"/>
  <c r="E237" i="2"/>
  <c r="C237" i="2"/>
  <c r="B237" i="2"/>
  <c r="E236" i="2"/>
  <c r="C236" i="2"/>
  <c r="B236" i="2"/>
  <c r="E235" i="2"/>
  <c r="C235" i="2"/>
  <c r="B235" i="2"/>
  <c r="E234" i="2"/>
  <c r="C234" i="2"/>
  <c r="B234" i="2"/>
  <c r="E233" i="2"/>
  <c r="C233" i="2"/>
  <c r="B233" i="2"/>
  <c r="E232" i="2"/>
  <c r="C232" i="2"/>
  <c r="B232" i="2"/>
  <c r="E231" i="2"/>
  <c r="C231" i="2"/>
  <c r="B231" i="2"/>
  <c r="E230" i="2"/>
  <c r="C230" i="2"/>
  <c r="B230" i="2"/>
  <c r="E229" i="2"/>
  <c r="C229" i="2"/>
  <c r="B229" i="2"/>
  <c r="E228" i="2"/>
  <c r="C228" i="2"/>
  <c r="B228" i="2"/>
  <c r="E227" i="2"/>
  <c r="C227" i="2"/>
  <c r="B227" i="2"/>
  <c r="E226" i="2"/>
  <c r="C226" i="2"/>
  <c r="B226" i="2"/>
  <c r="E225" i="2"/>
  <c r="C225" i="2"/>
  <c r="B225" i="2"/>
  <c r="E224" i="2"/>
  <c r="C224" i="2"/>
  <c r="B224" i="2"/>
  <c r="E223" i="2"/>
  <c r="C223" i="2"/>
  <c r="B223" i="2"/>
  <c r="E222" i="2"/>
  <c r="C222" i="2"/>
  <c r="B222" i="2"/>
  <c r="E221" i="2"/>
  <c r="C221" i="2"/>
  <c r="B221" i="2"/>
  <c r="E220" i="2"/>
  <c r="C220" i="2"/>
  <c r="B220" i="2"/>
  <c r="E219" i="2"/>
  <c r="D219" i="2"/>
  <c r="C219" i="2"/>
  <c r="B219" i="2"/>
  <c r="E218" i="2"/>
  <c r="D218" i="2"/>
  <c r="C218" i="2"/>
  <c r="B218" i="2"/>
  <c r="E217" i="2"/>
  <c r="D217" i="2"/>
  <c r="C217" i="2"/>
  <c r="B217" i="2"/>
  <c r="E216" i="2"/>
  <c r="D216" i="2"/>
  <c r="C216" i="2"/>
  <c r="B216" i="2"/>
  <c r="E215" i="2"/>
  <c r="D215" i="2"/>
  <c r="C215" i="2"/>
  <c r="B215" i="2"/>
  <c r="E214" i="2"/>
  <c r="D214" i="2"/>
  <c r="C214" i="2"/>
  <c r="B214" i="2"/>
  <c r="E213" i="2"/>
  <c r="D213" i="2"/>
  <c r="C213" i="2"/>
  <c r="B213" i="2"/>
  <c r="E212" i="2"/>
  <c r="D212" i="2"/>
  <c r="C212" i="2"/>
  <c r="B212" i="2"/>
  <c r="E211" i="2"/>
  <c r="D211" i="2"/>
  <c r="C211" i="2"/>
  <c r="B211" i="2"/>
  <c r="E210" i="2"/>
  <c r="D210" i="2"/>
  <c r="C210" i="2"/>
  <c r="B210" i="2"/>
  <c r="E209" i="2"/>
  <c r="D209" i="2"/>
  <c r="C209" i="2"/>
  <c r="B209" i="2"/>
  <c r="E208" i="2"/>
  <c r="D208" i="2"/>
  <c r="C208" i="2"/>
  <c r="B208" i="2"/>
  <c r="E207" i="2"/>
  <c r="D207" i="2"/>
  <c r="C207" i="2"/>
  <c r="B207" i="2"/>
  <c r="E206" i="2"/>
  <c r="D206" i="2"/>
  <c r="C206" i="2"/>
  <c r="B206" i="2"/>
  <c r="E205" i="2"/>
  <c r="D205" i="2"/>
  <c r="C205" i="2"/>
  <c r="B205" i="2"/>
  <c r="E204" i="2"/>
  <c r="D204" i="2"/>
  <c r="C204" i="2"/>
  <c r="B204" i="2"/>
  <c r="E203" i="2"/>
  <c r="D203" i="2"/>
  <c r="C203" i="2"/>
  <c r="B203" i="2"/>
  <c r="E202" i="2"/>
  <c r="C202" i="2"/>
  <c r="B202" i="2"/>
  <c r="E201" i="2"/>
  <c r="C201" i="2"/>
  <c r="B201" i="2"/>
  <c r="E200" i="2"/>
  <c r="C200" i="2"/>
  <c r="B200" i="2"/>
  <c r="E199" i="2"/>
  <c r="C199" i="2"/>
  <c r="B199" i="2"/>
  <c r="E198" i="2"/>
  <c r="C198" i="2"/>
  <c r="B198" i="2"/>
  <c r="E197" i="2"/>
  <c r="C197" i="2"/>
  <c r="B197" i="2"/>
  <c r="E196" i="2"/>
  <c r="C196" i="2"/>
  <c r="B196" i="2"/>
  <c r="E195" i="2"/>
  <c r="C195" i="2"/>
  <c r="B195" i="2"/>
  <c r="E194" i="2"/>
  <c r="C194" i="2"/>
  <c r="B194" i="2"/>
  <c r="E193" i="2"/>
  <c r="C193" i="2"/>
  <c r="B193" i="2"/>
  <c r="E192" i="2"/>
  <c r="C192" i="2"/>
  <c r="B192" i="2"/>
  <c r="E191" i="2"/>
  <c r="C191" i="2"/>
  <c r="B191" i="2"/>
  <c r="E190" i="2"/>
  <c r="C190" i="2"/>
  <c r="B190" i="2"/>
  <c r="E189" i="2"/>
  <c r="C189" i="2"/>
  <c r="B189" i="2"/>
  <c r="E188" i="2"/>
  <c r="C188" i="2"/>
  <c r="B188" i="2"/>
  <c r="E187" i="2"/>
  <c r="C187" i="2"/>
  <c r="B187" i="2"/>
  <c r="E186" i="2"/>
  <c r="C186" i="2"/>
  <c r="B186" i="2"/>
  <c r="E185" i="2"/>
  <c r="C185" i="2"/>
  <c r="B185" i="2"/>
  <c r="E184" i="2"/>
  <c r="C184" i="2"/>
  <c r="B184" i="2"/>
  <c r="E183" i="2"/>
  <c r="C183" i="2"/>
  <c r="B183" i="2"/>
  <c r="E182" i="2"/>
  <c r="C182" i="2"/>
  <c r="B182" i="2"/>
  <c r="E181" i="2"/>
  <c r="C181" i="2"/>
  <c r="B181" i="2"/>
  <c r="E180" i="2"/>
  <c r="C180" i="2"/>
  <c r="B180" i="2"/>
  <c r="E179" i="2"/>
  <c r="C179" i="2"/>
  <c r="B179" i="2"/>
  <c r="E178" i="2"/>
  <c r="C178" i="2"/>
  <c r="B178" i="2"/>
  <c r="E177" i="2"/>
  <c r="C177" i="2"/>
  <c r="B177" i="2"/>
  <c r="E176" i="2"/>
  <c r="C176" i="2"/>
  <c r="B176" i="2"/>
  <c r="E175" i="2"/>
  <c r="C175" i="2"/>
  <c r="B175" i="2"/>
  <c r="E174" i="2"/>
  <c r="C174" i="2"/>
  <c r="B174" i="2"/>
  <c r="E173" i="2"/>
  <c r="C173" i="2"/>
  <c r="B173" i="2"/>
  <c r="E172" i="2"/>
  <c r="C172" i="2"/>
  <c r="B172" i="2"/>
  <c r="E171" i="2"/>
  <c r="C171" i="2"/>
  <c r="B171" i="2"/>
  <c r="E170" i="2"/>
  <c r="C170" i="2"/>
  <c r="B170" i="2"/>
  <c r="E169" i="2"/>
  <c r="C169" i="2"/>
  <c r="B169" i="2"/>
  <c r="E168" i="2"/>
  <c r="C168" i="2"/>
  <c r="B168" i="2"/>
  <c r="E167" i="2"/>
  <c r="C167" i="2"/>
  <c r="B167" i="2"/>
  <c r="E166" i="2"/>
  <c r="C166" i="2"/>
  <c r="B166" i="2"/>
  <c r="E165" i="2"/>
  <c r="C165" i="2"/>
  <c r="B165" i="2"/>
  <c r="E164" i="2"/>
  <c r="C164" i="2"/>
  <c r="B164" i="2"/>
  <c r="E163" i="2"/>
  <c r="C163" i="2"/>
  <c r="B163" i="2"/>
  <c r="E162" i="2"/>
  <c r="C162" i="2"/>
  <c r="B162" i="2"/>
  <c r="E161" i="2"/>
  <c r="C161" i="2"/>
  <c r="B161" i="2"/>
  <c r="E160" i="2"/>
  <c r="C160" i="2"/>
  <c r="B160" i="2"/>
  <c r="E159" i="2"/>
  <c r="C159" i="2"/>
  <c r="B159" i="2"/>
  <c r="E158" i="2"/>
  <c r="C158" i="2"/>
  <c r="B158" i="2"/>
  <c r="E157" i="2"/>
  <c r="C157" i="2"/>
  <c r="B157" i="2"/>
  <c r="E156" i="2"/>
  <c r="C156" i="2"/>
  <c r="B156" i="2"/>
  <c r="E155" i="2"/>
  <c r="C155" i="2"/>
  <c r="B155" i="2"/>
  <c r="E154" i="2"/>
  <c r="C154" i="2"/>
  <c r="B154" i="2"/>
  <c r="E153" i="2"/>
  <c r="C153" i="2"/>
  <c r="B153" i="2"/>
  <c r="E152" i="2"/>
  <c r="C152" i="2"/>
  <c r="B152" i="2"/>
  <c r="E151" i="2"/>
  <c r="D151" i="2"/>
  <c r="C151" i="2"/>
  <c r="B151" i="2"/>
  <c r="E150" i="2"/>
  <c r="D150" i="2"/>
  <c r="C150" i="2"/>
  <c r="B150" i="2"/>
  <c r="E149" i="2"/>
  <c r="D149" i="2"/>
  <c r="C149" i="2"/>
  <c r="B149" i="2"/>
  <c r="E148" i="2"/>
  <c r="D148" i="2"/>
  <c r="C148" i="2"/>
  <c r="B148" i="2"/>
  <c r="E147" i="2"/>
  <c r="D147" i="2"/>
  <c r="C147" i="2"/>
  <c r="B147" i="2"/>
  <c r="E146" i="2"/>
  <c r="D146" i="2"/>
  <c r="C146" i="2"/>
  <c r="B146" i="2"/>
  <c r="E145" i="2"/>
  <c r="D145" i="2"/>
  <c r="C145" i="2"/>
  <c r="B145" i="2"/>
  <c r="E144" i="2"/>
  <c r="D144" i="2"/>
  <c r="C144" i="2"/>
  <c r="B144" i="2"/>
  <c r="E143" i="2"/>
  <c r="D143" i="2"/>
  <c r="C143" i="2"/>
  <c r="B143" i="2"/>
  <c r="E142" i="2"/>
  <c r="D142" i="2"/>
  <c r="C142" i="2"/>
  <c r="B142" i="2"/>
  <c r="E141" i="2"/>
  <c r="D141" i="2"/>
  <c r="C141" i="2"/>
  <c r="B141" i="2"/>
  <c r="E140" i="2"/>
  <c r="D140" i="2"/>
  <c r="C140" i="2"/>
  <c r="B140" i="2"/>
  <c r="E139" i="2"/>
  <c r="D139" i="2"/>
  <c r="C139" i="2"/>
  <c r="B139" i="2"/>
  <c r="E138" i="2"/>
  <c r="D138" i="2"/>
  <c r="C138" i="2"/>
  <c r="B138" i="2"/>
  <c r="E137" i="2"/>
  <c r="D137" i="2"/>
  <c r="C137" i="2"/>
  <c r="B137" i="2"/>
  <c r="E136" i="2"/>
  <c r="D136" i="2"/>
  <c r="C136" i="2"/>
  <c r="B136" i="2"/>
  <c r="E135" i="2"/>
  <c r="D135" i="2"/>
  <c r="C135" i="2"/>
  <c r="B135" i="2"/>
  <c r="E134" i="2"/>
  <c r="C134" i="2"/>
  <c r="B134" i="2"/>
  <c r="E133" i="2"/>
  <c r="C133" i="2"/>
  <c r="B133" i="2"/>
  <c r="E132" i="2"/>
  <c r="C132" i="2"/>
  <c r="B132" i="2"/>
  <c r="E131" i="2"/>
  <c r="C131" i="2"/>
  <c r="B131" i="2"/>
  <c r="E130" i="2"/>
  <c r="C130" i="2"/>
  <c r="B130" i="2"/>
  <c r="E129" i="2"/>
  <c r="C129" i="2"/>
  <c r="B129" i="2"/>
  <c r="E128" i="2"/>
  <c r="C128" i="2"/>
  <c r="B128" i="2"/>
  <c r="E127" i="2"/>
  <c r="C127" i="2"/>
  <c r="B127" i="2"/>
  <c r="E126" i="2"/>
  <c r="C126" i="2"/>
  <c r="B126" i="2"/>
  <c r="E125" i="2"/>
  <c r="C125" i="2"/>
  <c r="B125" i="2"/>
  <c r="E124" i="2"/>
  <c r="C124" i="2"/>
  <c r="B124" i="2"/>
  <c r="E123" i="2"/>
  <c r="C123" i="2"/>
  <c r="B123" i="2"/>
  <c r="E122" i="2"/>
  <c r="C122" i="2"/>
  <c r="B122" i="2"/>
  <c r="E121" i="2"/>
  <c r="C121" i="2"/>
  <c r="B121" i="2"/>
  <c r="E120" i="2"/>
  <c r="C120" i="2"/>
  <c r="B120" i="2"/>
  <c r="E119" i="2"/>
  <c r="C119" i="2"/>
  <c r="B119" i="2"/>
  <c r="E118" i="2"/>
  <c r="C118" i="2"/>
  <c r="B118" i="2"/>
  <c r="E117" i="2"/>
  <c r="C117" i="2"/>
  <c r="B117" i="2"/>
  <c r="E116" i="2"/>
  <c r="C116" i="2"/>
  <c r="B116" i="2"/>
  <c r="E115" i="2"/>
  <c r="C115" i="2"/>
  <c r="B115" i="2"/>
  <c r="E114" i="2"/>
  <c r="C114" i="2"/>
  <c r="B114" i="2"/>
  <c r="E113" i="2"/>
  <c r="C113" i="2"/>
  <c r="B113" i="2"/>
  <c r="E112" i="2"/>
  <c r="C112" i="2"/>
  <c r="B112" i="2"/>
  <c r="E111" i="2"/>
  <c r="C111" i="2"/>
  <c r="B111" i="2"/>
  <c r="E110" i="2"/>
  <c r="C110" i="2"/>
  <c r="B110" i="2"/>
  <c r="E109" i="2"/>
  <c r="C109" i="2"/>
  <c r="B109" i="2"/>
  <c r="E108" i="2"/>
  <c r="C108" i="2"/>
  <c r="B108" i="2"/>
  <c r="E107" i="2"/>
  <c r="C107" i="2"/>
  <c r="B107" i="2"/>
  <c r="E106" i="2"/>
  <c r="C106" i="2"/>
  <c r="B106" i="2"/>
  <c r="E105" i="2"/>
  <c r="C105" i="2"/>
  <c r="B105" i="2"/>
  <c r="E104" i="2"/>
  <c r="C104" i="2"/>
  <c r="B104" i="2"/>
  <c r="E103" i="2"/>
  <c r="C103" i="2"/>
  <c r="B103" i="2"/>
  <c r="E102" i="2"/>
  <c r="C102" i="2"/>
  <c r="B102" i="2"/>
  <c r="E101" i="2"/>
  <c r="C101" i="2"/>
  <c r="B101" i="2"/>
  <c r="E100" i="2"/>
  <c r="C100" i="2"/>
  <c r="B100" i="2"/>
  <c r="E99" i="2"/>
  <c r="C99" i="2"/>
  <c r="B99" i="2"/>
  <c r="E98" i="2"/>
  <c r="C98" i="2"/>
  <c r="B98" i="2"/>
  <c r="E97" i="2"/>
  <c r="C97" i="2"/>
  <c r="B97" i="2"/>
  <c r="E96" i="2"/>
  <c r="C96" i="2"/>
  <c r="B96" i="2"/>
  <c r="E95" i="2"/>
  <c r="C95" i="2"/>
  <c r="B95" i="2"/>
  <c r="E94" i="2"/>
  <c r="C94" i="2"/>
  <c r="B94" i="2"/>
  <c r="E93" i="2"/>
  <c r="C93" i="2"/>
  <c r="B93" i="2"/>
  <c r="E92" i="2"/>
  <c r="C92" i="2"/>
  <c r="B92" i="2"/>
  <c r="E91" i="2"/>
  <c r="C91" i="2"/>
  <c r="B91" i="2"/>
  <c r="E90" i="2"/>
  <c r="C90" i="2"/>
  <c r="B90" i="2"/>
  <c r="E89" i="2"/>
  <c r="C89" i="2"/>
  <c r="B89" i="2"/>
  <c r="E88" i="2"/>
  <c r="C88" i="2"/>
  <c r="B88" i="2"/>
  <c r="E87" i="2"/>
  <c r="C87" i="2"/>
  <c r="B87" i="2"/>
  <c r="E86" i="2"/>
  <c r="C86" i="2"/>
  <c r="B86" i="2"/>
  <c r="E85" i="2"/>
  <c r="C85" i="2"/>
  <c r="B85" i="2"/>
  <c r="E84" i="2"/>
  <c r="C84" i="2"/>
  <c r="B84" i="2"/>
  <c r="E83" i="2"/>
  <c r="C83" i="2"/>
  <c r="B83" i="2"/>
  <c r="E82" i="2"/>
  <c r="C82" i="2"/>
  <c r="B82" i="2"/>
  <c r="E81" i="2"/>
  <c r="C81" i="2"/>
  <c r="B81" i="2"/>
  <c r="E80" i="2"/>
  <c r="C80" i="2"/>
  <c r="B80" i="2"/>
  <c r="E79" i="2"/>
  <c r="C79" i="2"/>
  <c r="B79" i="2"/>
  <c r="E78" i="2"/>
  <c r="C78" i="2"/>
  <c r="B78" i="2"/>
  <c r="E77" i="2"/>
  <c r="C77" i="2"/>
  <c r="B77" i="2"/>
  <c r="E76" i="2"/>
  <c r="C76" i="2"/>
  <c r="B76" i="2"/>
  <c r="E75" i="2"/>
  <c r="D75" i="2"/>
  <c r="C75" i="2"/>
  <c r="B75" i="2"/>
  <c r="E74" i="2"/>
  <c r="D74" i="2"/>
  <c r="C74" i="2"/>
  <c r="B74" i="2"/>
  <c r="E73" i="2"/>
  <c r="D73" i="2"/>
  <c r="C73" i="2"/>
  <c r="B73" i="2"/>
  <c r="E72" i="2"/>
  <c r="D72" i="2"/>
  <c r="C72" i="2"/>
  <c r="B72" i="2"/>
  <c r="E71" i="2"/>
  <c r="D71" i="2"/>
  <c r="C71" i="2"/>
  <c r="B71" i="2"/>
  <c r="E70" i="2"/>
  <c r="D70" i="2"/>
  <c r="C70" i="2"/>
  <c r="B70" i="2"/>
  <c r="E69" i="2"/>
  <c r="D69" i="2"/>
  <c r="C69" i="2"/>
  <c r="B69" i="2"/>
  <c r="E68" i="2"/>
  <c r="D68" i="2"/>
  <c r="C68" i="2"/>
  <c r="B68" i="2"/>
  <c r="E67" i="2"/>
  <c r="D67" i="2"/>
  <c r="C67" i="2"/>
  <c r="B67" i="2"/>
  <c r="E66" i="2"/>
  <c r="D66" i="2"/>
  <c r="C66" i="2"/>
  <c r="B66" i="2"/>
  <c r="E65" i="2"/>
  <c r="D65" i="2"/>
  <c r="C65" i="2"/>
  <c r="B65" i="2"/>
  <c r="E64" i="2"/>
  <c r="D64" i="2"/>
  <c r="C64" i="2"/>
  <c r="B64" i="2"/>
  <c r="E63" i="2"/>
  <c r="D63" i="2"/>
  <c r="C63" i="2"/>
  <c r="B63" i="2"/>
  <c r="E62" i="2"/>
  <c r="D62" i="2"/>
  <c r="C62" i="2"/>
  <c r="B62" i="2"/>
  <c r="E61" i="2"/>
  <c r="D61" i="2"/>
  <c r="C61" i="2"/>
  <c r="B61" i="2"/>
  <c r="E60" i="2"/>
  <c r="D60" i="2"/>
  <c r="C60" i="2"/>
  <c r="B60" i="2"/>
  <c r="E59" i="2"/>
  <c r="D59" i="2"/>
  <c r="C59" i="2"/>
  <c r="B59" i="2"/>
  <c r="E58" i="2"/>
  <c r="C58" i="2"/>
  <c r="B58" i="2"/>
  <c r="E57" i="2"/>
  <c r="C57" i="2"/>
  <c r="B57" i="2"/>
  <c r="E56" i="2"/>
  <c r="C56" i="2"/>
  <c r="B56" i="2"/>
  <c r="E55" i="2"/>
  <c r="C55" i="2"/>
  <c r="B55" i="2"/>
  <c r="E54" i="2"/>
  <c r="C54" i="2"/>
  <c r="B54" i="2"/>
  <c r="E53" i="2"/>
  <c r="C53" i="2"/>
  <c r="B53" i="2"/>
  <c r="E52" i="2"/>
  <c r="C52" i="2"/>
  <c r="B52" i="2"/>
  <c r="E51" i="2"/>
  <c r="C51" i="2"/>
  <c r="B51" i="2"/>
  <c r="E50" i="2"/>
  <c r="C50" i="2"/>
  <c r="B50" i="2"/>
  <c r="E49" i="2"/>
  <c r="C49" i="2"/>
  <c r="B49" i="2"/>
  <c r="E48" i="2"/>
  <c r="C48" i="2"/>
  <c r="B48" i="2"/>
  <c r="E47" i="2"/>
  <c r="C47" i="2"/>
  <c r="B47" i="2"/>
  <c r="E46" i="2"/>
  <c r="C46" i="2"/>
  <c r="B46" i="2"/>
  <c r="E45" i="2"/>
  <c r="C45" i="2"/>
  <c r="B45" i="2"/>
  <c r="E44" i="2"/>
  <c r="C44" i="2"/>
  <c r="B44" i="2"/>
  <c r="E43" i="2"/>
  <c r="C43" i="2"/>
  <c r="B43" i="2"/>
  <c r="E42" i="2"/>
  <c r="C42" i="2"/>
  <c r="B42" i="2"/>
  <c r="E41" i="2"/>
  <c r="C41" i="2"/>
  <c r="B41" i="2"/>
  <c r="E40" i="2"/>
  <c r="C40" i="2"/>
  <c r="B40" i="2"/>
  <c r="E39" i="2"/>
  <c r="C39" i="2"/>
  <c r="B39" i="2"/>
  <c r="E38" i="2"/>
  <c r="C38" i="2"/>
  <c r="B38" i="2"/>
  <c r="E37" i="2"/>
  <c r="C37" i="2"/>
  <c r="B37" i="2"/>
  <c r="E36" i="2"/>
  <c r="C36" i="2"/>
  <c r="B36" i="2"/>
  <c r="E35" i="2"/>
  <c r="C35" i="2"/>
  <c r="B35" i="2"/>
  <c r="E34" i="2"/>
  <c r="C34" i="2"/>
  <c r="B34" i="2"/>
  <c r="E33" i="2"/>
  <c r="C33" i="2"/>
  <c r="B33" i="2"/>
  <c r="E32" i="2"/>
  <c r="C32" i="2"/>
  <c r="B32" i="2"/>
  <c r="E31" i="2"/>
  <c r="C31" i="2"/>
  <c r="B31" i="2"/>
  <c r="E30" i="2"/>
  <c r="C30" i="2"/>
  <c r="B30" i="2"/>
  <c r="E29" i="2"/>
  <c r="C29" i="2"/>
  <c r="B29" i="2"/>
  <c r="E28" i="2"/>
  <c r="C28" i="2"/>
  <c r="B28" i="2"/>
  <c r="E27" i="2"/>
  <c r="C27" i="2"/>
  <c r="B27" i="2"/>
  <c r="E26" i="2"/>
  <c r="C26" i="2"/>
  <c r="B26" i="2"/>
  <c r="E25" i="2"/>
  <c r="C25" i="2"/>
  <c r="B25" i="2"/>
  <c r="E24" i="2"/>
  <c r="C24" i="2"/>
  <c r="B24" i="2"/>
  <c r="E23" i="2"/>
  <c r="C23" i="2"/>
  <c r="B23" i="2"/>
  <c r="E22" i="2"/>
  <c r="C22" i="2"/>
  <c r="B22" i="2"/>
  <c r="E21" i="2"/>
  <c r="C21" i="2"/>
  <c r="B21" i="2"/>
  <c r="E20" i="2"/>
  <c r="C20" i="2"/>
  <c r="B20" i="2"/>
  <c r="E19" i="2"/>
  <c r="C19" i="2"/>
  <c r="B19" i="2"/>
  <c r="E18" i="2"/>
  <c r="C18" i="2"/>
  <c r="B18" i="2"/>
  <c r="E17" i="2"/>
  <c r="C17" i="2"/>
  <c r="B17" i="2"/>
  <c r="E16" i="2"/>
  <c r="C16" i="2"/>
  <c r="B16" i="2"/>
  <c r="E15" i="2"/>
  <c r="C15" i="2"/>
  <c r="B15" i="2"/>
  <c r="E14" i="2"/>
  <c r="C14" i="2"/>
  <c r="B14" i="2"/>
  <c r="E13" i="2"/>
  <c r="C13" i="2"/>
  <c r="B13" i="2"/>
  <c r="E12" i="2"/>
  <c r="C12" i="2"/>
  <c r="B12" i="2"/>
  <c r="E11" i="2"/>
  <c r="C11" i="2"/>
  <c r="B11" i="2"/>
  <c r="E10" i="2"/>
  <c r="C10" i="2"/>
  <c r="B10" i="2"/>
  <c r="E9" i="2"/>
  <c r="C9" i="2"/>
  <c r="B9" i="2"/>
  <c r="E8" i="2"/>
  <c r="C8" i="2"/>
  <c r="B8" i="2"/>
  <c r="E7" i="2"/>
  <c r="C7" i="2"/>
  <c r="B7" i="2"/>
  <c r="E6" i="2"/>
  <c r="C6" i="2"/>
  <c r="B6" i="2"/>
  <c r="E5" i="2"/>
  <c r="C5" i="2"/>
  <c r="B5" i="2"/>
  <c r="E4" i="2"/>
  <c r="C4" i="2"/>
  <c r="B4" i="2"/>
  <c r="E3" i="2"/>
  <c r="C3" i="2"/>
  <c r="B3" i="2"/>
  <c r="E2" i="2"/>
  <c r="C2" i="2"/>
  <c r="B2" i="2"/>
  <c r="F1" i="2"/>
  <c r="E1" i="2"/>
  <c r="D1" i="2"/>
  <c r="C1" i="2"/>
  <c r="B1" i="2"/>
  <c r="A1" i="2"/>
</calcChain>
</file>

<file path=xl/sharedStrings.xml><?xml version="1.0" encoding="utf-8"?>
<sst xmlns="http://schemas.openxmlformats.org/spreadsheetml/2006/main" count="519" uniqueCount="7">
  <si>
    <t>00013203</t>
  </si>
  <si>
    <t>09601936</t>
  </si>
  <si>
    <t>09901228</t>
  </si>
  <si>
    <t>09901326</t>
  </si>
  <si>
    <t>09600395</t>
  </si>
  <si>
    <t>09601748</t>
  </si>
  <si>
    <t>09601307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</si>
</sst>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-40C]_-;\-* #,##0.00\ [$€-40C]_-;_-* &quot;-&quot;??\ [$€-40C]_-;_-@_-"/>
  </numFmts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0F0F4"/>
        <bgColor rgb="FFF0F0F4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CAC9D9"/>
      </left>
      <right style="thin">
        <color rgb="FFCAC9D9"/>
      </right>
      <top style="thin">
        <color rgb="FFCAC9D9"/>
      </top>
      <bottom style="thin">
        <color rgb="FFCAC9D9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2" borderId="1" xfId="0" applyNumberFormat="1" applyFont="1" applyFill="1" applyBorder="1" applyAlignment="1">
      <alignment horizontal="left"/>
    </xf>
    <xf numFmtId="49" fontId="1" fillId="3" borderId="1" xfId="0" applyNumberFormat="1" applyFont="1" applyFill="1" applyBorder="1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2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4" sqref="F4"/>
    </sheetView>
  </sheetViews>
  <sheetFormatPr baseColWidth="10" defaultRowHeight="15" x14ac:dyDescent="0.25"/>
  <cols>
    <col min="5" max="5" width="48.7109375" customWidth="1"/>
    <col min="6" max="6" width="11.85546875" style="4" bestFit="1" customWidth="1"/>
  </cols>
  <sheetData>
    <row r="1" spans="1:6" x14ac:dyDescent="0.25">
      <c r="A1" t="str">
        <f>"Matricule"</f>
        <v>Matricule</v>
      </c>
      <c r="B1" t="str">
        <f>"Nom"</f>
        <v>Nom</v>
      </c>
      <c r="C1" t="str">
        <f>"Prénom"</f>
        <v>Prénom</v>
      </c>
      <c r="D1" t="str">
        <f>"Code Rubrique"</f>
        <v>Code Rubrique</v>
      </c>
      <c r="E1" t="str">
        <f>"Intitulé Rubrique"</f>
        <v>Intitulé Rubrique</v>
      </c>
      <c r="F1" s="4" t="str">
        <f>"Montant salarial"</f>
        <v>Montant salarial</v>
      </c>
    </row>
    <row r="2" spans="1:6" x14ac:dyDescent="0.25">
      <c r="A2" s="1" t="s">
        <v>0</v>
      </c>
      <c r="B2" t="str">
        <f t="shared" ref="B2:B65" si="0">"AUTRAND"</f>
        <v>AUTRAND</v>
      </c>
      <c r="C2" t="str">
        <f t="shared" ref="C2:C65" si="1">"GREGORY"</f>
        <v>GREGORY</v>
      </c>
      <c r="D2">
        <v>1</v>
      </c>
      <c r="E2" t="str">
        <f>"**GMP DU MOIS"</f>
        <v>**GMP DU MOIS</v>
      </c>
      <c r="F2" s="4">
        <v>353.82</v>
      </c>
    </row>
    <row r="3" spans="1:6" x14ac:dyDescent="0.25">
      <c r="A3" s="1" t="s">
        <v>0</v>
      </c>
      <c r="B3" t="str">
        <f t="shared" si="0"/>
        <v>AUTRAND</v>
      </c>
      <c r="C3" t="str">
        <f t="shared" si="1"/>
        <v>GREGORY</v>
      </c>
      <c r="D3">
        <v>10</v>
      </c>
      <c r="E3" t="str">
        <f>"SALAIRE DE BASE"</f>
        <v>SALAIRE DE BASE</v>
      </c>
      <c r="F3" s="4">
        <v>4400</v>
      </c>
    </row>
    <row r="4" spans="1:6" x14ac:dyDescent="0.25">
      <c r="A4" s="1" t="s">
        <v>0</v>
      </c>
      <c r="B4" t="str">
        <f t="shared" si="0"/>
        <v>AUTRAND</v>
      </c>
      <c r="C4" t="str">
        <f t="shared" si="1"/>
        <v>GREGORY</v>
      </c>
      <c r="D4">
        <v>1986</v>
      </c>
      <c r="E4" t="str">
        <f>"DSN - Nb jrs calendaires PSS"</f>
        <v>DSN - Nb jrs calendaires PSS</v>
      </c>
      <c r="F4" s="4">
        <v>30</v>
      </c>
    </row>
    <row r="5" spans="1:6" x14ac:dyDescent="0.25">
      <c r="A5" s="1" t="s">
        <v>0</v>
      </c>
      <c r="B5" t="str">
        <f t="shared" si="0"/>
        <v>AUTRAND</v>
      </c>
      <c r="C5" t="str">
        <f t="shared" si="1"/>
        <v>GREGORY</v>
      </c>
      <c r="D5">
        <v>3014</v>
      </c>
      <c r="E5" t="str">
        <f>"SS VIEIL DEPLAFONNEE"</f>
        <v>SS VIEIL DEPLAFONNEE</v>
      </c>
      <c r="F5" s="4">
        <v>17.600000000000001</v>
      </c>
    </row>
    <row r="6" spans="1:6" x14ac:dyDescent="0.25">
      <c r="A6" s="1" t="s">
        <v>0</v>
      </c>
      <c r="B6" t="str">
        <f t="shared" si="0"/>
        <v>AUTRAND</v>
      </c>
      <c r="C6" t="str">
        <f t="shared" si="1"/>
        <v>GREGORY</v>
      </c>
      <c r="D6">
        <v>3110</v>
      </c>
      <c r="E6" t="str">
        <f>"SS CG VIEILLESSE TA"</f>
        <v>SS CG VIEILLESSE TA</v>
      </c>
      <c r="F6" s="4">
        <v>233.01</v>
      </c>
    </row>
    <row r="7" spans="1:6" x14ac:dyDescent="0.25">
      <c r="A7" s="1" t="s">
        <v>0</v>
      </c>
      <c r="B7" t="str">
        <f t="shared" si="0"/>
        <v>AUTRAND</v>
      </c>
      <c r="C7" t="str">
        <f t="shared" si="1"/>
        <v>GREGORY</v>
      </c>
      <c r="D7">
        <v>3504</v>
      </c>
      <c r="E7" t="str">
        <f>"**LIMITE D'EXO AF"</f>
        <v>**LIMITE D'EXO AF</v>
      </c>
      <c r="F7" s="4">
        <v>2434</v>
      </c>
    </row>
    <row r="8" spans="1:6" x14ac:dyDescent="0.25">
      <c r="A8" s="1" t="s">
        <v>0</v>
      </c>
      <c r="B8" t="str">
        <f t="shared" si="0"/>
        <v>AUTRAND</v>
      </c>
      <c r="C8" t="str">
        <f t="shared" si="1"/>
        <v>GREGORY</v>
      </c>
      <c r="D8">
        <v>3501</v>
      </c>
      <c r="E8" t="str">
        <f>"** HISTORISATION REMUNERATION"</f>
        <v>** HISTORISATION REMUNERATION</v>
      </c>
      <c r="F8" s="4">
        <v>4400</v>
      </c>
    </row>
    <row r="9" spans="1:6" x14ac:dyDescent="0.25">
      <c r="A9" s="1" t="s">
        <v>0</v>
      </c>
      <c r="B9" t="str">
        <f t="shared" si="0"/>
        <v>AUTRAND</v>
      </c>
      <c r="C9" t="str">
        <f t="shared" si="1"/>
        <v>GREGORY</v>
      </c>
      <c r="D9">
        <v>4031</v>
      </c>
      <c r="E9" t="str">
        <f>"Réduction salariale chômage"</f>
        <v>Réduction salariale chômage</v>
      </c>
      <c r="F9" s="4">
        <v>-105.6</v>
      </c>
    </row>
    <row r="10" spans="1:6" x14ac:dyDescent="0.25">
      <c r="A10" s="1" t="s">
        <v>0</v>
      </c>
      <c r="B10" t="str">
        <f t="shared" si="0"/>
        <v>AUTRAND</v>
      </c>
      <c r="C10" t="str">
        <f t="shared" si="1"/>
        <v>GREGORY</v>
      </c>
      <c r="D10">
        <v>4610</v>
      </c>
      <c r="E10" t="str">
        <f>"Retraite T1"</f>
        <v>Retraite T1</v>
      </c>
      <c r="F10" s="4">
        <v>106.38</v>
      </c>
    </row>
    <row r="11" spans="1:6" x14ac:dyDescent="0.25">
      <c r="A11" s="1" t="s">
        <v>0</v>
      </c>
      <c r="B11" t="str">
        <f t="shared" si="0"/>
        <v>AUTRAND</v>
      </c>
      <c r="C11" t="str">
        <f t="shared" si="1"/>
        <v>GREGORY</v>
      </c>
      <c r="D11">
        <v>4615</v>
      </c>
      <c r="E11" t="str">
        <f>"Retraite T2"</f>
        <v>Retraite T2</v>
      </c>
      <c r="F11" s="4">
        <v>88.39</v>
      </c>
    </row>
    <row r="12" spans="1:6" x14ac:dyDescent="0.25">
      <c r="A12" s="1" t="s">
        <v>0</v>
      </c>
      <c r="B12" t="str">
        <f t="shared" si="0"/>
        <v>AUTRAND</v>
      </c>
      <c r="C12" t="str">
        <f t="shared" si="1"/>
        <v>GREGORY</v>
      </c>
      <c r="D12">
        <v>4620</v>
      </c>
      <c r="E12" t="str">
        <f>"Contribut  Equilibre Technique"</f>
        <v>Contribut  Equilibre Technique</v>
      </c>
      <c r="F12" s="4">
        <v>6.16</v>
      </c>
    </row>
    <row r="13" spans="1:6" x14ac:dyDescent="0.25">
      <c r="A13" s="1" t="s">
        <v>0</v>
      </c>
      <c r="B13" t="str">
        <f t="shared" si="0"/>
        <v>AUTRAND</v>
      </c>
      <c r="C13" t="str">
        <f t="shared" si="1"/>
        <v>GREGORY</v>
      </c>
      <c r="D13">
        <v>4625</v>
      </c>
      <c r="E13" t="str">
        <f>"CEG T1"</f>
        <v>CEG T1</v>
      </c>
      <c r="F13" s="4">
        <v>29.04</v>
      </c>
    </row>
    <row r="14" spans="1:6" x14ac:dyDescent="0.25">
      <c r="A14" s="1" t="s">
        <v>0</v>
      </c>
      <c r="B14" t="str">
        <f t="shared" si="0"/>
        <v>AUTRAND</v>
      </c>
      <c r="C14" t="str">
        <f t="shared" si="1"/>
        <v>GREGORY</v>
      </c>
      <c r="D14">
        <v>4630</v>
      </c>
      <c r="E14" t="str">
        <f>"CEG T2"</f>
        <v>CEG T2</v>
      </c>
      <c r="F14" s="4">
        <v>11.05</v>
      </c>
    </row>
    <row r="15" spans="1:6" x14ac:dyDescent="0.25">
      <c r="A15" s="1" t="s">
        <v>0</v>
      </c>
      <c r="B15" t="str">
        <f t="shared" si="0"/>
        <v>AUTRAND</v>
      </c>
      <c r="C15" t="str">
        <f t="shared" si="1"/>
        <v>GREGORY</v>
      </c>
      <c r="D15">
        <v>4635</v>
      </c>
      <c r="E15" t="str">
        <f>"APEC"</f>
        <v>APEC</v>
      </c>
      <c r="F15" s="4">
        <v>1.06</v>
      </c>
    </row>
    <row r="16" spans="1:6" x14ac:dyDescent="0.25">
      <c r="A16" s="1" t="s">
        <v>0</v>
      </c>
      <c r="B16" t="str">
        <f t="shared" si="0"/>
        <v>AUTRAND</v>
      </c>
      <c r="C16" t="str">
        <f t="shared" si="1"/>
        <v>GREGORY</v>
      </c>
      <c r="D16">
        <v>4720</v>
      </c>
      <c r="E16" t="str">
        <f>"PREVOYANCE TA CADRE"</f>
        <v>PREVOYANCE TA CADRE</v>
      </c>
      <c r="F16" s="4">
        <v>7.23</v>
      </c>
    </row>
    <row r="17" spans="1:6" x14ac:dyDescent="0.25">
      <c r="A17" s="1" t="s">
        <v>0</v>
      </c>
      <c r="B17" t="str">
        <f t="shared" si="0"/>
        <v>AUTRAND</v>
      </c>
      <c r="C17" t="str">
        <f t="shared" si="1"/>
        <v>GREGORY</v>
      </c>
      <c r="D17">
        <v>4725</v>
      </c>
      <c r="E17" t="str">
        <f>"PREVOYANCE TB CADRE"</f>
        <v>PREVOYANCE TB CADRE</v>
      </c>
      <c r="F17" s="4">
        <v>6.04</v>
      </c>
    </row>
    <row r="18" spans="1:6" x14ac:dyDescent="0.25">
      <c r="A18" s="1" t="s">
        <v>0</v>
      </c>
      <c r="B18" t="str">
        <f t="shared" si="0"/>
        <v>AUTRAND</v>
      </c>
      <c r="C18" t="str">
        <f t="shared" si="1"/>
        <v>GREGORY</v>
      </c>
      <c r="D18">
        <v>4774</v>
      </c>
      <c r="E18" t="str">
        <f>"MUTUELLE BASE OBLIGAT. CAD (M)"</f>
        <v>MUTUELLE BASE OBLIGAT. CAD (M)</v>
      </c>
      <c r="F18" s="4">
        <v>4.84</v>
      </c>
    </row>
    <row r="19" spans="1:6" x14ac:dyDescent="0.25">
      <c r="A19" s="1" t="s">
        <v>0</v>
      </c>
      <c r="B19" t="str">
        <f t="shared" si="0"/>
        <v>AUTRAND</v>
      </c>
      <c r="C19" t="str">
        <f t="shared" si="1"/>
        <v>GREGORY</v>
      </c>
      <c r="D19">
        <v>4775</v>
      </c>
      <c r="E19" t="str">
        <f>"MUTUELLE BASE CONJOINT CAD (M)"</f>
        <v>MUTUELLE BASE CONJOINT CAD (M)</v>
      </c>
      <c r="F19" s="4">
        <v>37.15</v>
      </c>
    </row>
    <row r="20" spans="1:6" x14ac:dyDescent="0.25">
      <c r="A20" s="1" t="s">
        <v>0</v>
      </c>
      <c r="B20" t="str">
        <f t="shared" si="0"/>
        <v>AUTRAND</v>
      </c>
      <c r="C20" t="str">
        <f t="shared" si="1"/>
        <v>GREGORY</v>
      </c>
      <c r="D20">
        <v>4776</v>
      </c>
      <c r="E20" t="str">
        <f>"MUTUELLE SUR COMPL. CAD (M)"</f>
        <v>MUTUELLE SUR COMPL. CAD (M)</v>
      </c>
      <c r="F20" s="4">
        <v>11.82</v>
      </c>
    </row>
    <row r="21" spans="1:6" x14ac:dyDescent="0.25">
      <c r="A21" s="1" t="s">
        <v>0</v>
      </c>
      <c r="B21" t="str">
        <f t="shared" si="0"/>
        <v>AUTRAND</v>
      </c>
      <c r="C21" t="str">
        <f t="shared" si="1"/>
        <v>GREGORY</v>
      </c>
      <c r="D21">
        <v>4777</v>
      </c>
      <c r="E21" t="str">
        <f>"MUTUELLE S/COMP/CONJ. CAD (M)"</f>
        <v>MUTUELLE S/COMP/CONJ. CAD (M)</v>
      </c>
      <c r="F21" s="4">
        <v>8.1</v>
      </c>
    </row>
    <row r="22" spans="1:6" x14ac:dyDescent="0.25">
      <c r="A22" s="1" t="s">
        <v>0</v>
      </c>
      <c r="B22" t="str">
        <f t="shared" si="0"/>
        <v>AUTRAND</v>
      </c>
      <c r="C22" t="str">
        <f t="shared" si="1"/>
        <v>GREGORY</v>
      </c>
      <c r="D22">
        <v>4797</v>
      </c>
      <c r="E22" t="str">
        <f>"CSG DEDUCTIBLE PREV-MUTUELLE"</f>
        <v>CSG DEDUCTIBLE PREV-MUTUELLE</v>
      </c>
      <c r="F22" s="4">
        <v>7.54</v>
      </c>
    </row>
    <row r="23" spans="1:6" x14ac:dyDescent="0.25">
      <c r="A23" s="1" t="s">
        <v>0</v>
      </c>
      <c r="B23" t="str">
        <f t="shared" si="0"/>
        <v>AUTRAND</v>
      </c>
      <c r="C23" t="str">
        <f t="shared" si="1"/>
        <v>GREGORY</v>
      </c>
      <c r="D23">
        <v>4798</v>
      </c>
      <c r="E23" t="str">
        <f>"CSG/CRDS NON DED.PREV.MUTUELLE"</f>
        <v>CSG/CRDS NON DED.PREV.MUTUELLE</v>
      </c>
      <c r="F23" s="4">
        <v>3.21</v>
      </c>
    </row>
    <row r="24" spans="1:6" x14ac:dyDescent="0.25">
      <c r="A24" s="1" t="s">
        <v>0</v>
      </c>
      <c r="B24" t="str">
        <f t="shared" si="0"/>
        <v>AUTRAND</v>
      </c>
      <c r="C24" t="str">
        <f t="shared" si="1"/>
        <v>GREGORY</v>
      </c>
      <c r="D24">
        <v>4800</v>
      </c>
      <c r="E24" t="str">
        <f>"CSG DEDUCTIBLE"</f>
        <v>CSG DEDUCTIBLE</v>
      </c>
      <c r="F24" s="4">
        <v>293.95999999999998</v>
      </c>
    </row>
    <row r="25" spans="1:6" x14ac:dyDescent="0.25">
      <c r="A25" s="1" t="s">
        <v>0</v>
      </c>
      <c r="B25" t="str">
        <f t="shared" si="0"/>
        <v>AUTRAND</v>
      </c>
      <c r="C25" t="str">
        <f t="shared" si="1"/>
        <v>GREGORY</v>
      </c>
      <c r="D25">
        <v>4801</v>
      </c>
      <c r="E25" t="str">
        <f>"CSG/CRDS NON DEDUCTIBLE"</f>
        <v>CSG/CRDS NON DEDUCTIBLE</v>
      </c>
      <c r="F25" s="4">
        <v>125.37</v>
      </c>
    </row>
    <row r="26" spans="1:6" x14ac:dyDescent="0.25">
      <c r="A26" s="1" t="s">
        <v>0</v>
      </c>
      <c r="B26" t="str">
        <f t="shared" si="0"/>
        <v>AUTRAND</v>
      </c>
      <c r="C26" t="str">
        <f t="shared" si="1"/>
        <v>GREGORY</v>
      </c>
      <c r="D26">
        <v>6014</v>
      </c>
      <c r="E26" t="str">
        <f>"Frais professionnel DSN"</f>
        <v>Frais professionnel DSN</v>
      </c>
      <c r="F26" s="4">
        <v>1806.97</v>
      </c>
    </row>
    <row r="27" spans="1:6" x14ac:dyDescent="0.25">
      <c r="A27" s="1" t="s">
        <v>0</v>
      </c>
      <c r="B27" t="str">
        <f t="shared" si="0"/>
        <v>AUTRAND</v>
      </c>
      <c r="C27" t="str">
        <f t="shared" si="1"/>
        <v>GREGORY</v>
      </c>
      <c r="D27">
        <v>6030</v>
      </c>
      <c r="E27" t="str">
        <f>"TITRES RESTAURANT"</f>
        <v>TITRES RESTAURANT</v>
      </c>
      <c r="F27" s="4">
        <v>-57</v>
      </c>
    </row>
    <row r="28" spans="1:6" x14ac:dyDescent="0.25">
      <c r="A28" s="1" t="s">
        <v>0</v>
      </c>
      <c r="B28" t="str">
        <f t="shared" si="0"/>
        <v>AUTRAND</v>
      </c>
      <c r="C28" t="str">
        <f t="shared" si="1"/>
        <v>GREGORY</v>
      </c>
      <c r="D28">
        <v>6031</v>
      </c>
      <c r="E28" t="str">
        <f>"TITRES RESTAURANT PP"</f>
        <v>TITRES RESTAURANT PP</v>
      </c>
      <c r="F28" s="4">
        <v>-85.5</v>
      </c>
    </row>
    <row r="29" spans="1:6" x14ac:dyDescent="0.25">
      <c r="A29" s="1" t="s">
        <v>0</v>
      </c>
      <c r="B29" t="str">
        <f t="shared" si="0"/>
        <v>AUTRAND</v>
      </c>
      <c r="C29" t="str">
        <f t="shared" si="1"/>
        <v>GREGORY</v>
      </c>
      <c r="D29">
        <v>6210</v>
      </c>
      <c r="E29" t="str">
        <f>"RTT ACQUIS DU MOIS"</f>
        <v>RTT ACQUIS DU MOIS</v>
      </c>
      <c r="F29" s="4">
        <v>0.83</v>
      </c>
    </row>
    <row r="30" spans="1:6" x14ac:dyDescent="0.25">
      <c r="A30" s="1" t="s">
        <v>0</v>
      </c>
      <c r="B30" t="str">
        <f t="shared" si="0"/>
        <v>AUTRAND</v>
      </c>
      <c r="C30" t="str">
        <f t="shared" si="1"/>
        <v>GREGORY</v>
      </c>
      <c r="D30">
        <v>6220</v>
      </c>
      <c r="E30" t="str">
        <f>"RTT SOLDE FIN DE MOIS"</f>
        <v>RTT SOLDE FIN DE MOIS</v>
      </c>
      <c r="F30" s="4">
        <v>2.0499999999999998</v>
      </c>
    </row>
    <row r="31" spans="1:6" x14ac:dyDescent="0.25">
      <c r="A31" s="1" t="s">
        <v>0</v>
      </c>
      <c r="B31" t="str">
        <f t="shared" si="0"/>
        <v>AUTRAND</v>
      </c>
      <c r="C31" t="str">
        <f t="shared" si="1"/>
        <v>GREGORY</v>
      </c>
      <c r="D31">
        <v>6250</v>
      </c>
      <c r="E31" t="str">
        <f>"ACQUIS CP N-1"</f>
        <v>ACQUIS CP N-1</v>
      </c>
      <c r="F31" s="4">
        <v>7.5</v>
      </c>
    </row>
    <row r="32" spans="1:6" x14ac:dyDescent="0.25">
      <c r="A32" s="1" t="s">
        <v>0</v>
      </c>
      <c r="B32" t="str">
        <f t="shared" si="0"/>
        <v>AUTRAND</v>
      </c>
      <c r="C32" t="str">
        <f t="shared" si="1"/>
        <v>GREGORY</v>
      </c>
      <c r="D32">
        <v>6260</v>
      </c>
      <c r="E32" t="str">
        <f>"SOLDE CP N-1"</f>
        <v>SOLDE CP N-1</v>
      </c>
      <c r="F32" s="4">
        <v>7.5</v>
      </c>
    </row>
    <row r="33" spans="1:6" x14ac:dyDescent="0.25">
      <c r="A33" s="1" t="s">
        <v>0</v>
      </c>
      <c r="B33" t="str">
        <f t="shared" si="0"/>
        <v>AUTRAND</v>
      </c>
      <c r="C33" t="str">
        <f t="shared" si="1"/>
        <v>GREGORY</v>
      </c>
      <c r="D33">
        <v>6265</v>
      </c>
      <c r="E33" t="str">
        <f>"ACQUIS CP N"</f>
        <v>ACQUIS CP N</v>
      </c>
      <c r="F33" s="4">
        <v>13.5</v>
      </c>
    </row>
    <row r="34" spans="1:6" x14ac:dyDescent="0.25">
      <c r="A34" s="1" t="s">
        <v>0</v>
      </c>
      <c r="B34" t="str">
        <f t="shared" si="0"/>
        <v>AUTRAND</v>
      </c>
      <c r="C34" t="str">
        <f t="shared" si="1"/>
        <v>GREGORY</v>
      </c>
      <c r="D34">
        <v>7092</v>
      </c>
      <c r="E34" t="str">
        <f>"TX CHG PAT SOC"</f>
        <v>TX CHG PAT SOC</v>
      </c>
      <c r="F34" s="4">
        <v>41.4</v>
      </c>
    </row>
    <row r="35" spans="1:6" x14ac:dyDescent="0.25">
      <c r="A35" s="1" t="s">
        <v>0</v>
      </c>
      <c r="B35" t="str">
        <f t="shared" si="0"/>
        <v>AUTRAND</v>
      </c>
      <c r="C35" t="str">
        <f t="shared" si="1"/>
        <v>GREGORY</v>
      </c>
      <c r="D35">
        <v>7105</v>
      </c>
      <c r="E35" t="str">
        <f>"PROV CP  SALAIRE"</f>
        <v>PROV CP  SALAIRE</v>
      </c>
      <c r="F35" s="4">
        <v>4264.05</v>
      </c>
    </row>
    <row r="36" spans="1:6" x14ac:dyDescent="0.25">
      <c r="A36" s="1" t="s">
        <v>0</v>
      </c>
      <c r="B36" t="str">
        <f t="shared" si="0"/>
        <v>AUTRAND</v>
      </c>
      <c r="C36" t="str">
        <f t="shared" si="1"/>
        <v>GREGORY</v>
      </c>
      <c r="D36">
        <v>7115</v>
      </c>
      <c r="E36" t="str">
        <f>"PROV CP N CHG PAT SOC"</f>
        <v>PROV CP N CHG PAT SOC</v>
      </c>
      <c r="F36" s="4">
        <v>1765.32</v>
      </c>
    </row>
    <row r="37" spans="1:6" x14ac:dyDescent="0.25">
      <c r="A37" s="1" t="s">
        <v>0</v>
      </c>
      <c r="B37" t="str">
        <f t="shared" si="0"/>
        <v>AUTRAND</v>
      </c>
      <c r="C37" t="str">
        <f t="shared" si="1"/>
        <v>GREGORY</v>
      </c>
      <c r="D37">
        <v>7125</v>
      </c>
      <c r="E37" t="str">
        <f>"AN PROV CP N SALAIRE"</f>
        <v>AN PROV CP N SALAIRE</v>
      </c>
      <c r="F37" s="4">
        <v>-3841.71</v>
      </c>
    </row>
    <row r="38" spans="1:6" x14ac:dyDescent="0.25">
      <c r="A38" s="1" t="s">
        <v>0</v>
      </c>
      <c r="B38" t="str">
        <f t="shared" si="0"/>
        <v>AUTRAND</v>
      </c>
      <c r="C38" t="str">
        <f t="shared" si="1"/>
        <v>GREGORY</v>
      </c>
      <c r="D38">
        <v>7135</v>
      </c>
      <c r="E38" t="str">
        <f>"AN PROV CP N CHG PAT SOC"</f>
        <v>AN PROV CP N CHG PAT SOC</v>
      </c>
      <c r="F38" s="4">
        <v>-1590.08</v>
      </c>
    </row>
    <row r="39" spans="1:6" x14ac:dyDescent="0.25">
      <c r="A39" s="1" t="s">
        <v>0</v>
      </c>
      <c r="B39" t="str">
        <f t="shared" si="0"/>
        <v>AUTRAND</v>
      </c>
      <c r="C39" t="str">
        <f t="shared" si="1"/>
        <v>GREGORY</v>
      </c>
      <c r="D39">
        <v>7210</v>
      </c>
      <c r="E39" t="str">
        <f>"PROV RTT SALAIRE"</f>
        <v>PROV RTT SALAIRE</v>
      </c>
      <c r="F39" s="4">
        <v>416.25</v>
      </c>
    </row>
    <row r="40" spans="1:6" x14ac:dyDescent="0.25">
      <c r="A40" s="1" t="s">
        <v>0</v>
      </c>
      <c r="B40" t="str">
        <f t="shared" si="0"/>
        <v>AUTRAND</v>
      </c>
      <c r="C40" t="str">
        <f t="shared" si="1"/>
        <v>GREGORY</v>
      </c>
      <c r="D40">
        <v>7220</v>
      </c>
      <c r="E40" t="str">
        <f>"PROV RTT CHG PAT SOC"</f>
        <v>PROV RTT CHG PAT SOC</v>
      </c>
      <c r="F40" s="4">
        <v>172.33</v>
      </c>
    </row>
    <row r="41" spans="1:6" x14ac:dyDescent="0.25">
      <c r="A41" s="1" t="s">
        <v>0</v>
      </c>
      <c r="B41" t="str">
        <f t="shared" si="0"/>
        <v>AUTRAND</v>
      </c>
      <c r="C41" t="str">
        <f t="shared" si="1"/>
        <v>GREGORY</v>
      </c>
      <c r="D41">
        <v>7230</v>
      </c>
      <c r="E41" t="str">
        <f>"AN PROV RTT SALAIRE"</f>
        <v>AN PROV RTT SALAIRE</v>
      </c>
      <c r="F41" s="4">
        <v>-247.72</v>
      </c>
    </row>
    <row r="42" spans="1:6" x14ac:dyDescent="0.25">
      <c r="A42" s="1" t="s">
        <v>0</v>
      </c>
      <c r="B42" t="str">
        <f t="shared" si="0"/>
        <v>AUTRAND</v>
      </c>
      <c r="C42" t="str">
        <f t="shared" si="1"/>
        <v>GREGORY</v>
      </c>
      <c r="D42">
        <v>7240</v>
      </c>
      <c r="E42" t="str">
        <f>"AN PROV RTT CHG PAT SOC"</f>
        <v>AN PROV RTT CHG PAT SOC</v>
      </c>
      <c r="F42" s="4">
        <v>-102.53</v>
      </c>
    </row>
    <row r="43" spans="1:6" x14ac:dyDescent="0.25">
      <c r="A43" s="1" t="s">
        <v>0</v>
      </c>
      <c r="B43" t="str">
        <f t="shared" si="0"/>
        <v>AUTRAND</v>
      </c>
      <c r="C43" t="str">
        <f t="shared" si="1"/>
        <v>GREGORY</v>
      </c>
      <c r="D43">
        <v>8030</v>
      </c>
      <c r="E43" t="str">
        <f>"NB JOURS CALENDAIRES"</f>
        <v>NB JOURS CALENDAIRES</v>
      </c>
      <c r="F43" s="4">
        <v>30</v>
      </c>
    </row>
    <row r="44" spans="1:6" x14ac:dyDescent="0.25">
      <c r="A44" s="1" t="s">
        <v>0</v>
      </c>
      <c r="B44" t="str">
        <f t="shared" si="0"/>
        <v>AUTRAND</v>
      </c>
      <c r="C44" t="str">
        <f t="shared" si="1"/>
        <v>GREGORY</v>
      </c>
      <c r="D44">
        <v>7305</v>
      </c>
      <c r="E44" t="str">
        <f>"P PrimesVac SALAIRE"</f>
        <v>P PrimesVac SALAIRE</v>
      </c>
      <c r="F44" s="4">
        <v>1103.01</v>
      </c>
    </row>
    <row r="45" spans="1:6" x14ac:dyDescent="0.25">
      <c r="A45" s="1" t="s">
        <v>0</v>
      </c>
      <c r="B45" t="str">
        <f t="shared" si="0"/>
        <v>AUTRAND</v>
      </c>
      <c r="C45" t="str">
        <f t="shared" si="1"/>
        <v>GREGORY</v>
      </c>
      <c r="D45">
        <v>7315</v>
      </c>
      <c r="E45" t="str">
        <f>"P PrimesVac CHG PAT SOC"</f>
        <v>P PrimesVac CHG PAT SOC</v>
      </c>
      <c r="F45" s="4">
        <v>456.65</v>
      </c>
    </row>
    <row r="46" spans="1:6" x14ac:dyDescent="0.25">
      <c r="A46" s="1" t="s">
        <v>0</v>
      </c>
      <c r="B46" t="str">
        <f t="shared" si="0"/>
        <v>AUTRAND</v>
      </c>
      <c r="C46" t="str">
        <f t="shared" si="1"/>
        <v>GREGORY</v>
      </c>
      <c r="D46">
        <v>7325</v>
      </c>
      <c r="E46" t="str">
        <f>"A PROV PrimesVac SALAIRE"</f>
        <v>A PROV PrimesVac SALAIRE</v>
      </c>
      <c r="F46" s="4">
        <v>-922.19</v>
      </c>
    </row>
    <row r="47" spans="1:6" x14ac:dyDescent="0.25">
      <c r="A47" s="1" t="s">
        <v>0</v>
      </c>
      <c r="B47" t="str">
        <f t="shared" si="0"/>
        <v>AUTRAND</v>
      </c>
      <c r="C47" t="str">
        <f t="shared" si="1"/>
        <v>GREGORY</v>
      </c>
      <c r="D47">
        <v>7335</v>
      </c>
      <c r="E47" t="str">
        <f>"A PROV PrimesVac CHG PAT SOC"</f>
        <v>A PROV PrimesVac CHG PAT SOC</v>
      </c>
      <c r="F47" s="4">
        <v>-381.69</v>
      </c>
    </row>
    <row r="48" spans="1:6" x14ac:dyDescent="0.25">
      <c r="A48" s="1" t="s">
        <v>0</v>
      </c>
      <c r="B48" t="str">
        <f t="shared" si="0"/>
        <v>AUTRAND</v>
      </c>
      <c r="C48" t="str">
        <f t="shared" si="1"/>
        <v>GREGORY</v>
      </c>
      <c r="D48">
        <v>7992</v>
      </c>
      <c r="E48" t="str">
        <f>"REINT PP MUTUELLE NET IMPOS"</f>
        <v>REINT PP MUTUELLE NET IMPOS</v>
      </c>
      <c r="F48" s="4">
        <v>75.87</v>
      </c>
    </row>
    <row r="49" spans="1:6" x14ac:dyDescent="0.25">
      <c r="A49" s="1" t="s">
        <v>0</v>
      </c>
      <c r="B49" t="str">
        <f t="shared" si="0"/>
        <v>AUTRAND</v>
      </c>
      <c r="C49" t="str">
        <f t="shared" si="1"/>
        <v>GREGORY</v>
      </c>
      <c r="D49">
        <v>8005</v>
      </c>
      <c r="E49" t="str">
        <f>"HEURES TRAVAILLEES"</f>
        <v>HEURES TRAVAILLEES</v>
      </c>
      <c r="F49" s="4">
        <v>151.66999999999999</v>
      </c>
    </row>
    <row r="50" spans="1:6" x14ac:dyDescent="0.25">
      <c r="A50" s="1" t="s">
        <v>0</v>
      </c>
      <c r="B50" t="str">
        <f t="shared" si="0"/>
        <v>AUTRAND</v>
      </c>
      <c r="C50" t="str">
        <f t="shared" si="1"/>
        <v>GREGORY</v>
      </c>
      <c r="D50">
        <v>8010</v>
      </c>
      <c r="E50" t="str">
        <f>"HEURES REMUNEREES"</f>
        <v>HEURES REMUNEREES</v>
      </c>
      <c r="F50" s="4">
        <v>151.66999999999999</v>
      </c>
    </row>
    <row r="51" spans="1:6" x14ac:dyDescent="0.25">
      <c r="A51" s="1" t="s">
        <v>0</v>
      </c>
      <c r="B51" t="str">
        <f t="shared" si="0"/>
        <v>AUTRAND</v>
      </c>
      <c r="C51" t="str">
        <f t="shared" si="1"/>
        <v>GREGORY</v>
      </c>
      <c r="D51">
        <v>8015</v>
      </c>
      <c r="E51" t="str">
        <f>"HEURES REMUNEREES FILLON"</f>
        <v>HEURES REMUNEREES FILLON</v>
      </c>
      <c r="F51" s="4">
        <v>151.41999999999999</v>
      </c>
    </row>
    <row r="52" spans="1:6" x14ac:dyDescent="0.25">
      <c r="A52" s="1" t="s">
        <v>0</v>
      </c>
      <c r="B52" t="str">
        <f t="shared" si="0"/>
        <v>AUTRAND</v>
      </c>
      <c r="C52" t="str">
        <f t="shared" si="1"/>
        <v>GREGORY</v>
      </c>
      <c r="D52">
        <v>8101</v>
      </c>
      <c r="E52" t="str">
        <f>"Test allègement CAF ET MALADIE"</f>
        <v>Test allègement CAF ET MALADIE</v>
      </c>
      <c r="F52" s="4">
        <v>79.2</v>
      </c>
    </row>
    <row r="53" spans="1:6" x14ac:dyDescent="0.25">
      <c r="A53" s="1" t="s">
        <v>0</v>
      </c>
      <c r="B53" t="str">
        <f t="shared" si="0"/>
        <v>AUTRAND</v>
      </c>
      <c r="C53" t="str">
        <f t="shared" si="1"/>
        <v>GREGORY</v>
      </c>
      <c r="D53">
        <v>8202</v>
      </c>
      <c r="E53" t="str">
        <f>"DUREE REMUNEREE"</f>
        <v>DUREE REMUNEREE</v>
      </c>
      <c r="F53" s="4">
        <v>21.67</v>
      </c>
    </row>
    <row r="54" spans="1:6" x14ac:dyDescent="0.25">
      <c r="A54" s="1" t="s">
        <v>0</v>
      </c>
      <c r="B54" t="str">
        <f t="shared" si="0"/>
        <v>AUTRAND</v>
      </c>
      <c r="C54" t="str">
        <f t="shared" si="1"/>
        <v>GREGORY</v>
      </c>
      <c r="D54">
        <v>8206</v>
      </c>
      <c r="E54" t="str">
        <f>"SALAIRE RETABLI"</f>
        <v>SALAIRE RETABLI</v>
      </c>
      <c r="F54" s="4">
        <v>4400</v>
      </c>
    </row>
    <row r="55" spans="1:6" x14ac:dyDescent="0.25">
      <c r="A55" s="1" t="s">
        <v>0</v>
      </c>
      <c r="B55" t="str">
        <f t="shared" si="0"/>
        <v>AUTRAND</v>
      </c>
      <c r="C55" t="str">
        <f t="shared" si="1"/>
        <v>GREGORY</v>
      </c>
      <c r="D55">
        <v>8208</v>
      </c>
      <c r="E55" t="str">
        <f>"BRUT FISCAL"</f>
        <v>BRUT FISCAL</v>
      </c>
      <c r="F55" s="4">
        <v>4510.82</v>
      </c>
    </row>
    <row r="56" spans="1:6" x14ac:dyDescent="0.25">
      <c r="A56" s="1" t="s">
        <v>0</v>
      </c>
      <c r="B56" t="str">
        <f t="shared" si="0"/>
        <v>AUTRAND</v>
      </c>
      <c r="C56" t="str">
        <f t="shared" si="1"/>
        <v>GREGORY</v>
      </c>
      <c r="D56">
        <v>9994</v>
      </c>
      <c r="E56" t="str">
        <f>"ETP Egalité F/H"</f>
        <v>ETP Egalité F/H</v>
      </c>
      <c r="F56" s="4">
        <v>1</v>
      </c>
    </row>
    <row r="57" spans="1:6" x14ac:dyDescent="0.25">
      <c r="A57" s="1" t="s">
        <v>0</v>
      </c>
      <c r="B57" t="str">
        <f t="shared" si="0"/>
        <v>AUTRAND</v>
      </c>
      <c r="C57" t="str">
        <f t="shared" si="1"/>
        <v>GREGORY</v>
      </c>
      <c r="D57">
        <v>9995</v>
      </c>
      <c r="E57" t="str">
        <f>"ETP PRORTISE JOURS OUVRES"</f>
        <v>ETP PRORTISE JOURS OUVRES</v>
      </c>
      <c r="F57" s="4">
        <v>1</v>
      </c>
    </row>
    <row r="58" spans="1:6" x14ac:dyDescent="0.25">
      <c r="A58" s="1" t="s">
        <v>0</v>
      </c>
      <c r="B58" t="str">
        <f t="shared" si="0"/>
        <v>AUTRAND</v>
      </c>
      <c r="C58" t="str">
        <f t="shared" si="1"/>
        <v>GREGORY</v>
      </c>
      <c r="D58">
        <v>9999</v>
      </c>
      <c r="E58" t="str">
        <f>"**Dont gain pouvoir d'achat**"</f>
        <v>**Dont gain pouvoir d'achat**</v>
      </c>
      <c r="F58" s="4">
        <v>63.23</v>
      </c>
    </row>
    <row r="59" spans="1:6" x14ac:dyDescent="0.25">
      <c r="A59" s="1" t="s">
        <v>0</v>
      </c>
      <c r="B59" t="str">
        <f t="shared" si="0"/>
        <v>AUTRAND</v>
      </c>
      <c r="C59" t="str">
        <f t="shared" si="1"/>
        <v>GREGORY</v>
      </c>
      <c r="D59" t="str">
        <f>"PRESENCE"</f>
        <v>PRESENCE</v>
      </c>
      <c r="E59" t="str">
        <f>"Présence"</f>
        <v>Présence</v>
      </c>
      <c r="F59" s="4">
        <v>151.66999999999999</v>
      </c>
    </row>
    <row r="60" spans="1:6" x14ac:dyDescent="0.25">
      <c r="A60" s="1" t="s">
        <v>0</v>
      </c>
      <c r="B60" t="str">
        <f t="shared" si="0"/>
        <v>AUTRAND</v>
      </c>
      <c r="C60" t="str">
        <f t="shared" si="1"/>
        <v>GREGORY</v>
      </c>
      <c r="D60" t="str">
        <f>"BRUT"</f>
        <v>BRUT</v>
      </c>
      <c r="E60" t="str">
        <f>"Brut"</f>
        <v>Brut</v>
      </c>
      <c r="F60" s="4">
        <v>4400</v>
      </c>
    </row>
    <row r="61" spans="1:6" x14ac:dyDescent="0.25">
      <c r="A61" s="1" t="s">
        <v>0</v>
      </c>
      <c r="B61" t="str">
        <f t="shared" si="0"/>
        <v>AUTRAND</v>
      </c>
      <c r="C61" t="str">
        <f t="shared" si="1"/>
        <v>GREGORY</v>
      </c>
      <c r="D61" t="str">
        <f>"COTISAL"</f>
        <v>COTISAL</v>
      </c>
      <c r="E61" t="str">
        <f>"Cotisations salariales"</f>
        <v>Cotisations salariales</v>
      </c>
      <c r="F61" s="4">
        <v>997.95</v>
      </c>
    </row>
    <row r="62" spans="1:6" x14ac:dyDescent="0.25">
      <c r="A62" s="1" t="s">
        <v>0</v>
      </c>
      <c r="B62" t="str">
        <f t="shared" si="0"/>
        <v>AUTRAND</v>
      </c>
      <c r="C62" t="str">
        <f t="shared" si="1"/>
        <v>GREGORY</v>
      </c>
      <c r="D62" t="str">
        <f>"COTIPAT"</f>
        <v>COTIPAT</v>
      </c>
      <c r="E62" t="str">
        <f>"Cotisations patronales"</f>
        <v>Cotisations patronales</v>
      </c>
      <c r="F62" s="4">
        <v>1933.54</v>
      </c>
    </row>
    <row r="63" spans="1:6" x14ac:dyDescent="0.25">
      <c r="A63" s="1" t="s">
        <v>0</v>
      </c>
      <c r="B63" t="str">
        <f t="shared" si="0"/>
        <v>AUTRAND</v>
      </c>
      <c r="C63" t="str">
        <f t="shared" si="1"/>
        <v>GREGORY</v>
      </c>
      <c r="D63" t="str">
        <f>"NETPAIE"</f>
        <v>NETPAIE</v>
      </c>
      <c r="E63" t="str">
        <f>"Net à payer"</f>
        <v>Net à payer</v>
      </c>
      <c r="F63" s="4">
        <v>3345.05</v>
      </c>
    </row>
    <row r="64" spans="1:6" x14ac:dyDescent="0.25">
      <c r="A64" s="1" t="s">
        <v>0</v>
      </c>
      <c r="B64" t="str">
        <f t="shared" si="0"/>
        <v>AUTRAND</v>
      </c>
      <c r="C64" t="str">
        <f t="shared" si="1"/>
        <v>GREGORY</v>
      </c>
      <c r="D64" t="str">
        <f>"NETIMPO"</f>
        <v>NETIMPO</v>
      </c>
      <c r="E64" t="str">
        <f>"Net imposable"</f>
        <v>Net imposable</v>
      </c>
      <c r="F64" s="4">
        <v>3606.5</v>
      </c>
    </row>
    <row r="65" spans="1:6" x14ac:dyDescent="0.25">
      <c r="A65" s="1" t="s">
        <v>0</v>
      </c>
      <c r="B65" t="str">
        <f t="shared" si="0"/>
        <v>AUTRAND</v>
      </c>
      <c r="C65" t="str">
        <f t="shared" si="1"/>
        <v>GREGORY</v>
      </c>
      <c r="D65" t="str">
        <f>"AVANTUR"</f>
        <v>AVANTUR</v>
      </c>
      <c r="E65" t="str">
        <f>"Avantages en nature"</f>
        <v>Avantages en nature</v>
      </c>
      <c r="F65" s="4">
        <v>0</v>
      </c>
    </row>
    <row r="66" spans="1:6" x14ac:dyDescent="0.25">
      <c r="A66" s="1" t="s">
        <v>0</v>
      </c>
      <c r="B66" t="str">
        <f t="shared" ref="B66:B75" si="2">"AUTRAND"</f>
        <v>AUTRAND</v>
      </c>
      <c r="C66" t="str">
        <f t="shared" ref="C66:C75" si="3">"GREGORY"</f>
        <v>GREGORY</v>
      </c>
      <c r="D66" t="str">
        <f>"TOTALHTRAV"</f>
        <v>TOTALHTRAV</v>
      </c>
      <c r="E66" t="str">
        <f>"Total des heures travaillées"</f>
        <v>Total des heures travaillées</v>
      </c>
      <c r="F66" s="4">
        <v>151.66999999999999</v>
      </c>
    </row>
    <row r="67" spans="1:6" x14ac:dyDescent="0.25">
      <c r="A67" s="1" t="s">
        <v>0</v>
      </c>
      <c r="B67" t="str">
        <f t="shared" si="2"/>
        <v>AUTRAND</v>
      </c>
      <c r="C67" t="str">
        <f t="shared" si="3"/>
        <v>GREGORY</v>
      </c>
      <c r="D67" t="str">
        <f>"TOTALHS"</f>
        <v>TOTALHS</v>
      </c>
      <c r="E67" t="str">
        <f>"Total des hres supplémentaires"</f>
        <v>Total des hres supplémentaires</v>
      </c>
      <c r="F67" s="4">
        <v>0</v>
      </c>
    </row>
    <row r="68" spans="1:6" x14ac:dyDescent="0.25">
      <c r="A68" s="1" t="s">
        <v>0</v>
      </c>
      <c r="B68" t="str">
        <f t="shared" si="2"/>
        <v>AUTRAND</v>
      </c>
      <c r="C68" t="str">
        <f t="shared" si="3"/>
        <v>GREGORY</v>
      </c>
      <c r="D68" t="str">
        <f>"TOTALHC"</f>
        <v>TOTALHC</v>
      </c>
      <c r="E68" t="str">
        <f>"Total des hres complémentaires"</f>
        <v>Total des hres complémentaires</v>
      </c>
      <c r="F68" s="4">
        <v>0</v>
      </c>
    </row>
    <row r="69" spans="1:6" x14ac:dyDescent="0.25">
      <c r="A69" s="1" t="s">
        <v>0</v>
      </c>
      <c r="B69" t="str">
        <f t="shared" si="2"/>
        <v>AUTRAND</v>
      </c>
      <c r="C69" t="str">
        <f t="shared" si="3"/>
        <v>GREGORY</v>
      </c>
      <c r="D69" t="str">
        <f>"TOTALHA"</f>
        <v>TOTALHA</v>
      </c>
      <c r="E69" t="str">
        <f>"Total des heures d'absence"</f>
        <v>Total des heures d'absence</v>
      </c>
      <c r="F69" s="4">
        <v>0</v>
      </c>
    </row>
    <row r="70" spans="1:6" x14ac:dyDescent="0.25">
      <c r="A70" s="1" t="s">
        <v>0</v>
      </c>
      <c r="B70" t="str">
        <f t="shared" si="2"/>
        <v>AUTRAND</v>
      </c>
      <c r="C70" t="str">
        <f t="shared" si="3"/>
        <v>GREGORY</v>
      </c>
      <c r="D70" t="str">
        <f>"ABSENCE"</f>
        <v>ABSENCE</v>
      </c>
      <c r="E70" t="str">
        <f>"Absence"</f>
        <v>Absence</v>
      </c>
      <c r="F70" s="4">
        <v>0</v>
      </c>
    </row>
    <row r="71" spans="1:6" x14ac:dyDescent="0.25">
      <c r="A71" s="1" t="s">
        <v>0</v>
      </c>
      <c r="B71" t="str">
        <f t="shared" si="2"/>
        <v>AUTRAND</v>
      </c>
      <c r="C71" t="str">
        <f t="shared" si="3"/>
        <v>GREGORY</v>
      </c>
      <c r="D71" t="str">
        <f>"COACMOIS"</f>
        <v>COACMOIS</v>
      </c>
      <c r="E71" t="str">
        <f>"Congés acquis dans le mois"</f>
        <v>Congés acquis dans le mois</v>
      </c>
      <c r="F71" s="4">
        <v>2.08</v>
      </c>
    </row>
    <row r="72" spans="1:6" x14ac:dyDescent="0.25">
      <c r="A72" s="1" t="s">
        <v>0</v>
      </c>
      <c r="B72" t="str">
        <f t="shared" si="2"/>
        <v>AUTRAND</v>
      </c>
      <c r="C72" t="str">
        <f t="shared" si="3"/>
        <v>GREGORY</v>
      </c>
      <c r="D72" t="str">
        <f>"COPRIMOI"</f>
        <v>COPRIMOI</v>
      </c>
      <c r="E72" t="str">
        <f>"Congés pris dans le mois"</f>
        <v>Congés pris dans le mois</v>
      </c>
      <c r="F72" s="4">
        <v>0</v>
      </c>
    </row>
    <row r="73" spans="1:6" x14ac:dyDescent="0.25">
      <c r="A73" s="1" t="s">
        <v>0</v>
      </c>
      <c r="B73" t="str">
        <f t="shared" si="2"/>
        <v>AUTRAND</v>
      </c>
      <c r="C73" t="str">
        <f t="shared" si="3"/>
        <v>GREGORY</v>
      </c>
      <c r="D73" t="str">
        <f>"TOTALPRES"</f>
        <v>TOTALPRES</v>
      </c>
      <c r="E73" t="str">
        <f>"Total des heures de présence"</f>
        <v>Total des heures de présence</v>
      </c>
      <c r="F73" s="4">
        <v>151.66999999999999</v>
      </c>
    </row>
    <row r="74" spans="1:6" x14ac:dyDescent="0.25">
      <c r="A74" s="1" t="s">
        <v>0</v>
      </c>
      <c r="B74" t="str">
        <f t="shared" si="2"/>
        <v>AUTRAND</v>
      </c>
      <c r="C74" t="str">
        <f t="shared" si="3"/>
        <v>GREGORY</v>
      </c>
      <c r="D74" t="str">
        <f>"TOTHANA"</f>
        <v>TOTHANA</v>
      </c>
      <c r="E74" t="str">
        <f>"Total des heures / Analytique"</f>
        <v>Total des heures / Analytique</v>
      </c>
      <c r="F74" s="4">
        <v>0</v>
      </c>
    </row>
    <row r="75" spans="1:6" x14ac:dyDescent="0.25">
      <c r="A75" s="1" t="s">
        <v>0</v>
      </c>
      <c r="B75" t="str">
        <f t="shared" si="2"/>
        <v>AUTRAND</v>
      </c>
      <c r="C75" t="str">
        <f t="shared" si="3"/>
        <v>GREGORY</v>
      </c>
      <c r="D75" t="str">
        <f>"COUT_TOTAL"</f>
        <v>COUT_TOTAL</v>
      </c>
      <c r="E75" t="str">
        <f>"Cout total"</f>
        <v>Cout total</v>
      </c>
      <c r="F75" s="4">
        <v>6333.54</v>
      </c>
    </row>
    <row r="76" spans="1:6" x14ac:dyDescent="0.25">
      <c r="A76" s="2" t="s">
        <v>1</v>
      </c>
      <c r="B76" t="str">
        <f t="shared" ref="B76:B139" si="4">"DESCHAMPS"</f>
        <v>DESCHAMPS</v>
      </c>
      <c r="C76" t="str">
        <f t="shared" ref="C76:C139" si="5">"LUDOVIC"</f>
        <v>LUDOVIC</v>
      </c>
      <c r="D76">
        <v>1</v>
      </c>
      <c r="E76" t="str">
        <f>"**GMP DU MOIS"</f>
        <v>**GMP DU MOIS</v>
      </c>
      <c r="F76" s="4">
        <v>353.82</v>
      </c>
    </row>
    <row r="77" spans="1:6" x14ac:dyDescent="0.25">
      <c r="A77" s="2" t="s">
        <v>1</v>
      </c>
      <c r="B77" t="str">
        <f t="shared" si="4"/>
        <v>DESCHAMPS</v>
      </c>
      <c r="C77" t="str">
        <f t="shared" si="5"/>
        <v>LUDOVIC</v>
      </c>
      <c r="D77">
        <v>10</v>
      </c>
      <c r="E77" t="str">
        <f>"SALAIRE DE BASE"</f>
        <v>SALAIRE DE BASE</v>
      </c>
      <c r="F77" s="4">
        <v>2920</v>
      </c>
    </row>
    <row r="78" spans="1:6" x14ac:dyDescent="0.25">
      <c r="A78" s="2" t="s">
        <v>1</v>
      </c>
      <c r="B78" t="str">
        <f t="shared" si="4"/>
        <v>DESCHAMPS</v>
      </c>
      <c r="C78" t="str">
        <f t="shared" si="5"/>
        <v>LUDOVIC</v>
      </c>
      <c r="D78">
        <v>1986</v>
      </c>
      <c r="E78" t="str">
        <f>"DSN - Nb jrs calendaires PSS"</f>
        <v>DSN - Nb jrs calendaires PSS</v>
      </c>
      <c r="F78" s="4">
        <v>30</v>
      </c>
    </row>
    <row r="79" spans="1:6" x14ac:dyDescent="0.25">
      <c r="A79" s="2" t="s">
        <v>1</v>
      </c>
      <c r="B79" t="str">
        <f t="shared" si="4"/>
        <v>DESCHAMPS</v>
      </c>
      <c r="C79" t="str">
        <f t="shared" si="5"/>
        <v>LUDOVIC</v>
      </c>
      <c r="D79">
        <v>3014</v>
      </c>
      <c r="E79" t="str">
        <f>"SS VIEIL DEPLAFONNEE"</f>
        <v>SS VIEIL DEPLAFONNEE</v>
      </c>
      <c r="F79" s="4">
        <v>11.68</v>
      </c>
    </row>
    <row r="80" spans="1:6" x14ac:dyDescent="0.25">
      <c r="A80" s="2" t="s">
        <v>1</v>
      </c>
      <c r="B80" t="str">
        <f t="shared" si="4"/>
        <v>DESCHAMPS</v>
      </c>
      <c r="C80" t="str">
        <f t="shared" si="5"/>
        <v>LUDOVIC</v>
      </c>
      <c r="D80">
        <v>3110</v>
      </c>
      <c r="E80" t="str">
        <f>"SS CG VIEILLESSE TA"</f>
        <v>SS CG VIEILLESSE TA</v>
      </c>
      <c r="F80" s="4">
        <v>201.48</v>
      </c>
    </row>
    <row r="81" spans="1:6" x14ac:dyDescent="0.25">
      <c r="A81" s="2" t="s">
        <v>1</v>
      </c>
      <c r="B81" t="str">
        <f t="shared" si="4"/>
        <v>DESCHAMPS</v>
      </c>
      <c r="C81" t="str">
        <f t="shared" si="5"/>
        <v>LUDOVIC</v>
      </c>
      <c r="D81">
        <v>3504</v>
      </c>
      <c r="E81" t="str">
        <f>"**LIMITE D'EXO AF"</f>
        <v>**LIMITE D'EXO AF</v>
      </c>
      <c r="F81" s="4">
        <v>2434</v>
      </c>
    </row>
    <row r="82" spans="1:6" x14ac:dyDescent="0.25">
      <c r="A82" s="2" t="s">
        <v>1</v>
      </c>
      <c r="B82" t="str">
        <f t="shared" si="4"/>
        <v>DESCHAMPS</v>
      </c>
      <c r="C82" t="str">
        <f t="shared" si="5"/>
        <v>LUDOVIC</v>
      </c>
      <c r="D82">
        <v>3501</v>
      </c>
      <c r="E82" t="str">
        <f>"** HISTORISATION REMUNERATION"</f>
        <v>** HISTORISATION REMUNERATION</v>
      </c>
      <c r="F82" s="4">
        <v>2920</v>
      </c>
    </row>
    <row r="83" spans="1:6" x14ac:dyDescent="0.25">
      <c r="A83" s="2" t="s">
        <v>1</v>
      </c>
      <c r="B83" t="str">
        <f t="shared" si="4"/>
        <v>DESCHAMPS</v>
      </c>
      <c r="C83" t="str">
        <f t="shared" si="5"/>
        <v>LUDOVIC</v>
      </c>
      <c r="D83">
        <v>4031</v>
      </c>
      <c r="E83" t="str">
        <f>"Réduction salariale chômage"</f>
        <v>Réduction salariale chômage</v>
      </c>
      <c r="F83" s="4">
        <v>-70.08</v>
      </c>
    </row>
    <row r="84" spans="1:6" x14ac:dyDescent="0.25">
      <c r="A84" s="2" t="s">
        <v>1</v>
      </c>
      <c r="B84" t="str">
        <f t="shared" si="4"/>
        <v>DESCHAMPS</v>
      </c>
      <c r="C84" t="str">
        <f t="shared" si="5"/>
        <v>LUDOVIC</v>
      </c>
      <c r="D84">
        <v>4610</v>
      </c>
      <c r="E84" t="str">
        <f>"Retraite T1"</f>
        <v>Retraite T1</v>
      </c>
      <c r="F84" s="4">
        <v>91.98</v>
      </c>
    </row>
    <row r="85" spans="1:6" x14ac:dyDescent="0.25">
      <c r="A85" s="2" t="s">
        <v>1</v>
      </c>
      <c r="B85" t="str">
        <f t="shared" si="4"/>
        <v>DESCHAMPS</v>
      </c>
      <c r="C85" t="str">
        <f t="shared" si="5"/>
        <v>LUDOVIC</v>
      </c>
      <c r="D85">
        <v>4625</v>
      </c>
      <c r="E85" t="str">
        <f>"CEG T1"</f>
        <v>CEG T1</v>
      </c>
      <c r="F85" s="4">
        <v>25.11</v>
      </c>
    </row>
    <row r="86" spans="1:6" x14ac:dyDescent="0.25">
      <c r="A86" s="2" t="s">
        <v>1</v>
      </c>
      <c r="B86" t="str">
        <f t="shared" si="4"/>
        <v>DESCHAMPS</v>
      </c>
      <c r="C86" t="str">
        <f t="shared" si="5"/>
        <v>LUDOVIC</v>
      </c>
      <c r="D86">
        <v>4635</v>
      </c>
      <c r="E86" t="str">
        <f>"APEC"</f>
        <v>APEC</v>
      </c>
      <c r="F86" s="4">
        <v>0.7</v>
      </c>
    </row>
    <row r="87" spans="1:6" x14ac:dyDescent="0.25">
      <c r="A87" s="2" t="s">
        <v>1</v>
      </c>
      <c r="B87" t="str">
        <f t="shared" si="4"/>
        <v>DESCHAMPS</v>
      </c>
      <c r="C87" t="str">
        <f t="shared" si="5"/>
        <v>LUDOVIC</v>
      </c>
      <c r="D87">
        <v>4720</v>
      </c>
      <c r="E87" t="str">
        <f>"PREVOYANCE TA CADRE"</f>
        <v>PREVOYANCE TA CADRE</v>
      </c>
      <c r="F87" s="4">
        <v>6.25</v>
      </c>
    </row>
    <row r="88" spans="1:6" x14ac:dyDescent="0.25">
      <c r="A88" s="2" t="s">
        <v>1</v>
      </c>
      <c r="B88" t="str">
        <f t="shared" si="4"/>
        <v>DESCHAMPS</v>
      </c>
      <c r="C88" t="str">
        <f t="shared" si="5"/>
        <v>LUDOVIC</v>
      </c>
      <c r="D88">
        <v>4774</v>
      </c>
      <c r="E88" t="str">
        <f>"MUTUELLE BASE OBLIGAT. CAD (M)"</f>
        <v>MUTUELLE BASE OBLIGAT. CAD (M)</v>
      </c>
      <c r="F88" s="4">
        <v>4.84</v>
      </c>
    </row>
    <row r="89" spans="1:6" x14ac:dyDescent="0.25">
      <c r="A89" s="2" t="s">
        <v>1</v>
      </c>
      <c r="B89" t="str">
        <f t="shared" si="4"/>
        <v>DESCHAMPS</v>
      </c>
      <c r="C89" t="str">
        <f t="shared" si="5"/>
        <v>LUDOVIC</v>
      </c>
      <c r="D89">
        <v>4775</v>
      </c>
      <c r="E89" t="str">
        <f>"MUTUELLE BASE CONJOINT CAD (M)"</f>
        <v>MUTUELLE BASE CONJOINT CAD (M)</v>
      </c>
      <c r="F89" s="4">
        <v>37.15</v>
      </c>
    </row>
    <row r="90" spans="1:6" x14ac:dyDescent="0.25">
      <c r="A90" s="2" t="s">
        <v>1</v>
      </c>
      <c r="B90" t="str">
        <f t="shared" si="4"/>
        <v>DESCHAMPS</v>
      </c>
      <c r="C90" t="str">
        <f t="shared" si="5"/>
        <v>LUDOVIC</v>
      </c>
      <c r="D90">
        <v>4776</v>
      </c>
      <c r="E90" t="str">
        <f>"MUTUELLE SUR COMPL. CAD (M)"</f>
        <v>MUTUELLE SUR COMPL. CAD (M)</v>
      </c>
      <c r="F90" s="4">
        <v>11.82</v>
      </c>
    </row>
    <row r="91" spans="1:6" x14ac:dyDescent="0.25">
      <c r="A91" s="2" t="s">
        <v>1</v>
      </c>
      <c r="B91" t="str">
        <f t="shared" si="4"/>
        <v>DESCHAMPS</v>
      </c>
      <c r="C91" t="str">
        <f t="shared" si="5"/>
        <v>LUDOVIC</v>
      </c>
      <c r="D91">
        <v>4777</v>
      </c>
      <c r="E91" t="str">
        <f>"MUTUELLE S/COMP/CONJ. CAD (M)"</f>
        <v>MUTUELLE S/COMP/CONJ. CAD (M)</v>
      </c>
      <c r="F91" s="4">
        <v>8.1</v>
      </c>
    </row>
    <row r="92" spans="1:6" x14ac:dyDescent="0.25">
      <c r="A92" s="2" t="s">
        <v>1</v>
      </c>
      <c r="B92" t="str">
        <f t="shared" si="4"/>
        <v>DESCHAMPS</v>
      </c>
      <c r="C92" t="str">
        <f t="shared" si="5"/>
        <v>LUDOVIC</v>
      </c>
      <c r="D92">
        <v>4797</v>
      </c>
      <c r="E92" t="str">
        <f>"CSG DEDUCTIBLE PREV-MUTUELLE"</f>
        <v>CSG DEDUCTIBLE PREV-MUTUELLE</v>
      </c>
      <c r="F92" s="4">
        <v>6.86</v>
      </c>
    </row>
    <row r="93" spans="1:6" x14ac:dyDescent="0.25">
      <c r="A93" s="2" t="s">
        <v>1</v>
      </c>
      <c r="B93" t="str">
        <f t="shared" si="4"/>
        <v>DESCHAMPS</v>
      </c>
      <c r="C93" t="str">
        <f t="shared" si="5"/>
        <v>LUDOVIC</v>
      </c>
      <c r="D93">
        <v>4798</v>
      </c>
      <c r="E93" t="str">
        <f>"CSG/CRDS NON DED.PREV.MUTUELLE"</f>
        <v>CSG/CRDS NON DED.PREV.MUTUELLE</v>
      </c>
      <c r="F93" s="4">
        <v>2.93</v>
      </c>
    </row>
    <row r="94" spans="1:6" x14ac:dyDescent="0.25">
      <c r="A94" s="2" t="s">
        <v>1</v>
      </c>
      <c r="B94" t="str">
        <f t="shared" si="4"/>
        <v>DESCHAMPS</v>
      </c>
      <c r="C94" t="str">
        <f t="shared" si="5"/>
        <v>LUDOVIC</v>
      </c>
      <c r="D94">
        <v>4800</v>
      </c>
      <c r="E94" t="str">
        <f>"CSG DEDUCTIBLE"</f>
        <v>CSG DEDUCTIBLE</v>
      </c>
      <c r="F94" s="4">
        <v>195.09</v>
      </c>
    </row>
    <row r="95" spans="1:6" x14ac:dyDescent="0.25">
      <c r="A95" s="2" t="s">
        <v>1</v>
      </c>
      <c r="B95" t="str">
        <f t="shared" si="4"/>
        <v>DESCHAMPS</v>
      </c>
      <c r="C95" t="str">
        <f t="shared" si="5"/>
        <v>LUDOVIC</v>
      </c>
      <c r="D95">
        <v>4801</v>
      </c>
      <c r="E95" t="str">
        <f>"CSG/CRDS NON DEDUCTIBLE"</f>
        <v>CSG/CRDS NON DEDUCTIBLE</v>
      </c>
      <c r="F95" s="4">
        <v>83.2</v>
      </c>
    </row>
    <row r="96" spans="1:6" x14ac:dyDescent="0.25">
      <c r="A96" s="2" t="s">
        <v>1</v>
      </c>
      <c r="B96" t="str">
        <f t="shared" si="4"/>
        <v>DESCHAMPS</v>
      </c>
      <c r="C96" t="str">
        <f t="shared" si="5"/>
        <v>LUDOVIC</v>
      </c>
      <c r="D96">
        <v>6014</v>
      </c>
      <c r="E96" t="str">
        <f>"Frais professionnel DSN"</f>
        <v>Frais professionnel DSN</v>
      </c>
      <c r="F96" s="4">
        <v>502.1</v>
      </c>
    </row>
    <row r="97" spans="1:6" x14ac:dyDescent="0.25">
      <c r="A97" s="2" t="s">
        <v>1</v>
      </c>
      <c r="B97" t="str">
        <f t="shared" si="4"/>
        <v>DESCHAMPS</v>
      </c>
      <c r="C97" t="str">
        <f t="shared" si="5"/>
        <v>LUDOVIC</v>
      </c>
      <c r="D97">
        <v>6030</v>
      </c>
      <c r="E97" t="str">
        <f>"TITRES RESTAURANT"</f>
        <v>TITRES RESTAURANT</v>
      </c>
      <c r="F97" s="4">
        <v>-48</v>
      </c>
    </row>
    <row r="98" spans="1:6" x14ac:dyDescent="0.25">
      <c r="A98" s="2" t="s">
        <v>1</v>
      </c>
      <c r="B98" t="str">
        <f t="shared" si="4"/>
        <v>DESCHAMPS</v>
      </c>
      <c r="C98" t="str">
        <f t="shared" si="5"/>
        <v>LUDOVIC</v>
      </c>
      <c r="D98">
        <v>6031</v>
      </c>
      <c r="E98" t="str">
        <f>"TITRES RESTAURANT PP"</f>
        <v>TITRES RESTAURANT PP</v>
      </c>
      <c r="F98" s="4">
        <v>-72</v>
      </c>
    </row>
    <row r="99" spans="1:6" x14ac:dyDescent="0.25">
      <c r="A99" s="2" t="s">
        <v>1</v>
      </c>
      <c r="B99" t="str">
        <f t="shared" si="4"/>
        <v>DESCHAMPS</v>
      </c>
      <c r="C99" t="str">
        <f t="shared" si="5"/>
        <v>LUDOVIC</v>
      </c>
      <c r="D99">
        <v>6210</v>
      </c>
      <c r="E99" t="str">
        <f>"RTT ACQUIS DU MOIS"</f>
        <v>RTT ACQUIS DU MOIS</v>
      </c>
      <c r="F99" s="4">
        <v>0.83</v>
      </c>
    </row>
    <row r="100" spans="1:6" x14ac:dyDescent="0.25">
      <c r="A100" s="2" t="s">
        <v>1</v>
      </c>
      <c r="B100" t="str">
        <f t="shared" si="4"/>
        <v>DESCHAMPS</v>
      </c>
      <c r="C100" t="str">
        <f t="shared" si="5"/>
        <v>LUDOVIC</v>
      </c>
      <c r="D100">
        <v>6220</v>
      </c>
      <c r="E100" t="str">
        <f>"RTT SOLDE FIN DE MOIS"</f>
        <v>RTT SOLDE FIN DE MOIS</v>
      </c>
      <c r="F100" s="4">
        <v>3.63</v>
      </c>
    </row>
    <row r="101" spans="1:6" x14ac:dyDescent="0.25">
      <c r="A101" s="2" t="s">
        <v>1</v>
      </c>
      <c r="B101" t="str">
        <f t="shared" si="4"/>
        <v>DESCHAMPS</v>
      </c>
      <c r="C101" t="str">
        <f t="shared" si="5"/>
        <v>LUDOVIC</v>
      </c>
      <c r="D101">
        <v>6250</v>
      </c>
      <c r="E101" t="str">
        <f>"ACQUIS CP N-1"</f>
        <v>ACQUIS CP N-1</v>
      </c>
      <c r="F101" s="4">
        <v>15</v>
      </c>
    </row>
    <row r="102" spans="1:6" x14ac:dyDescent="0.25">
      <c r="A102" s="2" t="s">
        <v>1</v>
      </c>
      <c r="B102" t="str">
        <f t="shared" si="4"/>
        <v>DESCHAMPS</v>
      </c>
      <c r="C102" t="str">
        <f t="shared" si="5"/>
        <v>LUDOVIC</v>
      </c>
      <c r="D102">
        <v>6260</v>
      </c>
      <c r="E102" t="str">
        <f>"SOLDE CP N-1"</f>
        <v>SOLDE CP N-1</v>
      </c>
      <c r="F102" s="4">
        <v>15</v>
      </c>
    </row>
    <row r="103" spans="1:6" x14ac:dyDescent="0.25">
      <c r="A103" s="2" t="s">
        <v>1</v>
      </c>
      <c r="B103" t="str">
        <f t="shared" si="4"/>
        <v>DESCHAMPS</v>
      </c>
      <c r="C103" t="str">
        <f t="shared" si="5"/>
        <v>LUDOVIC</v>
      </c>
      <c r="D103">
        <v>6265</v>
      </c>
      <c r="E103" t="str">
        <f>"ACQUIS CP N"</f>
        <v>ACQUIS CP N</v>
      </c>
      <c r="F103" s="4">
        <v>14.5</v>
      </c>
    </row>
    <row r="104" spans="1:6" x14ac:dyDescent="0.25">
      <c r="A104" s="2" t="s">
        <v>1</v>
      </c>
      <c r="B104" t="str">
        <f t="shared" si="4"/>
        <v>DESCHAMPS</v>
      </c>
      <c r="C104" t="str">
        <f t="shared" si="5"/>
        <v>LUDOVIC</v>
      </c>
      <c r="D104">
        <v>7092</v>
      </c>
      <c r="E104" t="str">
        <f>"TX CHG PAT SOC"</f>
        <v>TX CHG PAT SOC</v>
      </c>
      <c r="F104" s="4">
        <v>36.1</v>
      </c>
    </row>
    <row r="105" spans="1:6" x14ac:dyDescent="0.25">
      <c r="A105" s="2" t="s">
        <v>1</v>
      </c>
      <c r="B105" t="str">
        <f t="shared" si="4"/>
        <v>DESCHAMPS</v>
      </c>
      <c r="C105" t="str">
        <f t="shared" si="5"/>
        <v>LUDOVIC</v>
      </c>
      <c r="D105">
        <v>7105</v>
      </c>
      <c r="E105" t="str">
        <f>"PROV CP  SALAIRE"</f>
        <v>PROV CP  SALAIRE</v>
      </c>
      <c r="F105" s="4">
        <v>3975.13</v>
      </c>
    </row>
    <row r="106" spans="1:6" x14ac:dyDescent="0.25">
      <c r="A106" s="2" t="s">
        <v>1</v>
      </c>
      <c r="B106" t="str">
        <f t="shared" si="4"/>
        <v>DESCHAMPS</v>
      </c>
      <c r="C106" t="str">
        <f t="shared" si="5"/>
        <v>LUDOVIC</v>
      </c>
      <c r="D106">
        <v>7115</v>
      </c>
      <c r="E106" t="str">
        <f>"PROV CP N CHG PAT SOC"</f>
        <v>PROV CP N CHG PAT SOC</v>
      </c>
      <c r="F106" s="4">
        <v>1435.02</v>
      </c>
    </row>
    <row r="107" spans="1:6" x14ac:dyDescent="0.25">
      <c r="A107" s="2" t="s">
        <v>1</v>
      </c>
      <c r="B107" t="str">
        <f t="shared" si="4"/>
        <v>DESCHAMPS</v>
      </c>
      <c r="C107" t="str">
        <f t="shared" si="5"/>
        <v>LUDOVIC</v>
      </c>
      <c r="D107">
        <v>7125</v>
      </c>
      <c r="E107" t="str">
        <f>"AN PROV CP N SALAIRE"</f>
        <v>AN PROV CP N SALAIRE</v>
      </c>
      <c r="F107" s="4">
        <v>-3694.85</v>
      </c>
    </row>
    <row r="108" spans="1:6" x14ac:dyDescent="0.25">
      <c r="A108" s="2" t="s">
        <v>1</v>
      </c>
      <c r="B108" t="str">
        <f t="shared" si="4"/>
        <v>DESCHAMPS</v>
      </c>
      <c r="C108" t="str">
        <f t="shared" si="5"/>
        <v>LUDOVIC</v>
      </c>
      <c r="D108">
        <v>7135</v>
      </c>
      <c r="E108" t="str">
        <f>"AN PROV CP N CHG PAT SOC"</f>
        <v>AN PROV CP N CHG PAT SOC</v>
      </c>
      <c r="F108" s="4">
        <v>-1333.47</v>
      </c>
    </row>
    <row r="109" spans="1:6" x14ac:dyDescent="0.25">
      <c r="A109" s="2" t="s">
        <v>1</v>
      </c>
      <c r="B109" t="str">
        <f t="shared" si="4"/>
        <v>DESCHAMPS</v>
      </c>
      <c r="C109" t="str">
        <f t="shared" si="5"/>
        <v>LUDOVIC</v>
      </c>
      <c r="D109">
        <v>7210</v>
      </c>
      <c r="E109" t="str">
        <f>"PROV RTT SALAIRE"</f>
        <v>PROV RTT SALAIRE</v>
      </c>
      <c r="F109" s="4">
        <v>489.14</v>
      </c>
    </row>
    <row r="110" spans="1:6" x14ac:dyDescent="0.25">
      <c r="A110" s="2" t="s">
        <v>1</v>
      </c>
      <c r="B110" t="str">
        <f t="shared" si="4"/>
        <v>DESCHAMPS</v>
      </c>
      <c r="C110" t="str">
        <f t="shared" si="5"/>
        <v>LUDOVIC</v>
      </c>
      <c r="D110">
        <v>7220</v>
      </c>
      <c r="E110" t="str">
        <f>"PROV RTT CHG PAT SOC"</f>
        <v>PROV RTT CHG PAT SOC</v>
      </c>
      <c r="F110" s="4">
        <v>176.58</v>
      </c>
    </row>
    <row r="111" spans="1:6" x14ac:dyDescent="0.25">
      <c r="A111" s="2" t="s">
        <v>1</v>
      </c>
      <c r="B111" t="str">
        <f t="shared" si="4"/>
        <v>DESCHAMPS</v>
      </c>
      <c r="C111" t="str">
        <f t="shared" si="5"/>
        <v>LUDOVIC</v>
      </c>
      <c r="D111">
        <v>7230</v>
      </c>
      <c r="E111" t="str">
        <f>"AN PROV RTT SALAIRE"</f>
        <v>AN PROV RTT SALAIRE</v>
      </c>
      <c r="F111" s="4">
        <v>-377.3</v>
      </c>
    </row>
    <row r="112" spans="1:6" x14ac:dyDescent="0.25">
      <c r="A112" s="2" t="s">
        <v>1</v>
      </c>
      <c r="B112" t="str">
        <f t="shared" si="4"/>
        <v>DESCHAMPS</v>
      </c>
      <c r="C112" t="str">
        <f t="shared" si="5"/>
        <v>LUDOVIC</v>
      </c>
      <c r="D112">
        <v>7240</v>
      </c>
      <c r="E112" t="str">
        <f>"AN PROV RTT CHG PAT SOC"</f>
        <v>AN PROV RTT CHG PAT SOC</v>
      </c>
      <c r="F112" s="4">
        <v>-136.16999999999999</v>
      </c>
    </row>
    <row r="113" spans="1:6" x14ac:dyDescent="0.25">
      <c r="A113" s="2" t="s">
        <v>1</v>
      </c>
      <c r="B113" t="str">
        <f t="shared" si="4"/>
        <v>DESCHAMPS</v>
      </c>
      <c r="C113" t="str">
        <f t="shared" si="5"/>
        <v>LUDOVIC</v>
      </c>
      <c r="D113">
        <v>8030</v>
      </c>
      <c r="E113" t="str">
        <f>"NB JOURS CALENDAIRES"</f>
        <v>NB JOURS CALENDAIRES</v>
      </c>
      <c r="F113" s="4">
        <v>30</v>
      </c>
    </row>
    <row r="114" spans="1:6" x14ac:dyDescent="0.25">
      <c r="A114" s="2" t="s">
        <v>1</v>
      </c>
      <c r="B114" t="str">
        <f t="shared" si="4"/>
        <v>DESCHAMPS</v>
      </c>
      <c r="C114" t="str">
        <f t="shared" si="5"/>
        <v>LUDOVIC</v>
      </c>
      <c r="D114">
        <v>7305</v>
      </c>
      <c r="E114" t="str">
        <f>"P PrimesVac SALAIRE"</f>
        <v>P PrimesVac SALAIRE</v>
      </c>
      <c r="F114" s="4">
        <v>732</v>
      </c>
    </row>
    <row r="115" spans="1:6" x14ac:dyDescent="0.25">
      <c r="A115" s="2" t="s">
        <v>1</v>
      </c>
      <c r="B115" t="str">
        <f t="shared" si="4"/>
        <v>DESCHAMPS</v>
      </c>
      <c r="C115" t="str">
        <f t="shared" si="5"/>
        <v>LUDOVIC</v>
      </c>
      <c r="D115">
        <v>7315</v>
      </c>
      <c r="E115" t="str">
        <f>"P PrimesVac CHG PAT SOC"</f>
        <v>P PrimesVac CHG PAT SOC</v>
      </c>
      <c r="F115" s="4">
        <v>264.25</v>
      </c>
    </row>
    <row r="116" spans="1:6" x14ac:dyDescent="0.25">
      <c r="A116" s="2" t="s">
        <v>1</v>
      </c>
      <c r="B116" t="str">
        <f t="shared" si="4"/>
        <v>DESCHAMPS</v>
      </c>
      <c r="C116" t="str">
        <f t="shared" si="5"/>
        <v>LUDOVIC</v>
      </c>
      <c r="D116">
        <v>7325</v>
      </c>
      <c r="E116" t="str">
        <f>"A PROV PrimesVac SALAIRE"</f>
        <v>A PROV PrimesVac SALAIRE</v>
      </c>
      <c r="F116" s="4">
        <v>-612</v>
      </c>
    </row>
    <row r="117" spans="1:6" x14ac:dyDescent="0.25">
      <c r="A117" s="2" t="s">
        <v>1</v>
      </c>
      <c r="B117" t="str">
        <f t="shared" si="4"/>
        <v>DESCHAMPS</v>
      </c>
      <c r="C117" t="str">
        <f t="shared" si="5"/>
        <v>LUDOVIC</v>
      </c>
      <c r="D117">
        <v>7335</v>
      </c>
      <c r="E117" t="str">
        <f>"A PROV PrimesVac CHG PAT SOC"</f>
        <v>A PROV PrimesVac CHG PAT SOC</v>
      </c>
      <c r="F117" s="4">
        <v>-220.87</v>
      </c>
    </row>
    <row r="118" spans="1:6" x14ac:dyDescent="0.25">
      <c r="A118" s="2" t="s">
        <v>1</v>
      </c>
      <c r="B118" t="str">
        <f t="shared" si="4"/>
        <v>DESCHAMPS</v>
      </c>
      <c r="C118" t="str">
        <f t="shared" si="5"/>
        <v>LUDOVIC</v>
      </c>
      <c r="D118">
        <v>7355</v>
      </c>
      <c r="E118" t="str">
        <f>"P PRIME SALAIRE"</f>
        <v>P PRIME SALAIRE</v>
      </c>
      <c r="F118" s="4">
        <v>915.07</v>
      </c>
    </row>
    <row r="119" spans="1:6" x14ac:dyDescent="0.25">
      <c r="A119" s="2" t="s">
        <v>1</v>
      </c>
      <c r="B119" t="str">
        <f t="shared" si="4"/>
        <v>DESCHAMPS</v>
      </c>
      <c r="C119" t="str">
        <f t="shared" si="5"/>
        <v>LUDOVIC</v>
      </c>
      <c r="D119">
        <v>7365</v>
      </c>
      <c r="E119" t="str">
        <f>"P PRIME CHG PAT SOC"</f>
        <v>P PRIME CHG PAT SOC</v>
      </c>
      <c r="F119" s="4">
        <v>330.34</v>
      </c>
    </row>
    <row r="120" spans="1:6" x14ac:dyDescent="0.25">
      <c r="A120" s="2" t="s">
        <v>1</v>
      </c>
      <c r="B120" t="str">
        <f t="shared" si="4"/>
        <v>DESCHAMPS</v>
      </c>
      <c r="C120" t="str">
        <f t="shared" si="5"/>
        <v>LUDOVIC</v>
      </c>
      <c r="D120">
        <v>7375</v>
      </c>
      <c r="E120" t="str">
        <f>"A PRIME SALAIRE"</f>
        <v>A PRIME SALAIRE</v>
      </c>
      <c r="F120" s="4">
        <v>-832.88</v>
      </c>
    </row>
    <row r="121" spans="1:6" x14ac:dyDescent="0.25">
      <c r="A121" s="2" t="s">
        <v>1</v>
      </c>
      <c r="B121" t="str">
        <f t="shared" si="4"/>
        <v>DESCHAMPS</v>
      </c>
      <c r="C121" t="str">
        <f t="shared" si="5"/>
        <v>LUDOVIC</v>
      </c>
      <c r="D121">
        <v>7385</v>
      </c>
      <c r="E121" t="str">
        <f>"A PRIME CHG PAT SOC"</f>
        <v>A PRIME CHG PAT SOC</v>
      </c>
      <c r="F121" s="4">
        <v>-300.58999999999997</v>
      </c>
    </row>
    <row r="122" spans="1:6" x14ac:dyDescent="0.25">
      <c r="A122" s="2" t="s">
        <v>1</v>
      </c>
      <c r="B122" t="str">
        <f t="shared" si="4"/>
        <v>DESCHAMPS</v>
      </c>
      <c r="C122" t="str">
        <f t="shared" si="5"/>
        <v>LUDOVIC</v>
      </c>
      <c r="D122">
        <v>7992</v>
      </c>
      <c r="E122" t="str">
        <f>"REINT PP MUTUELLE NET IMPOS"</f>
        <v>REINT PP MUTUELLE NET IMPOS</v>
      </c>
      <c r="F122" s="4">
        <v>75.87</v>
      </c>
    </row>
    <row r="123" spans="1:6" x14ac:dyDescent="0.25">
      <c r="A123" s="2" t="s">
        <v>1</v>
      </c>
      <c r="B123" t="str">
        <f t="shared" si="4"/>
        <v>DESCHAMPS</v>
      </c>
      <c r="C123" t="str">
        <f t="shared" si="5"/>
        <v>LUDOVIC</v>
      </c>
      <c r="D123">
        <v>8005</v>
      </c>
      <c r="E123" t="str">
        <f>"HEURES TRAVAILLEES"</f>
        <v>HEURES TRAVAILLEES</v>
      </c>
      <c r="F123" s="4">
        <v>151.66999999999999</v>
      </c>
    </row>
    <row r="124" spans="1:6" x14ac:dyDescent="0.25">
      <c r="A124" s="2" t="s">
        <v>1</v>
      </c>
      <c r="B124" t="str">
        <f t="shared" si="4"/>
        <v>DESCHAMPS</v>
      </c>
      <c r="C124" t="str">
        <f t="shared" si="5"/>
        <v>LUDOVIC</v>
      </c>
      <c r="D124">
        <v>8010</v>
      </c>
      <c r="E124" t="str">
        <f>"HEURES REMUNEREES"</f>
        <v>HEURES REMUNEREES</v>
      </c>
      <c r="F124" s="4">
        <v>151.66999999999999</v>
      </c>
    </row>
    <row r="125" spans="1:6" x14ac:dyDescent="0.25">
      <c r="A125" s="2" t="s">
        <v>1</v>
      </c>
      <c r="B125" t="str">
        <f t="shared" si="4"/>
        <v>DESCHAMPS</v>
      </c>
      <c r="C125" t="str">
        <f t="shared" si="5"/>
        <v>LUDOVIC</v>
      </c>
      <c r="D125">
        <v>8015</v>
      </c>
      <c r="E125" t="str">
        <f>"HEURES REMUNEREES FILLON"</f>
        <v>HEURES REMUNEREES FILLON</v>
      </c>
      <c r="F125" s="4">
        <v>151.63</v>
      </c>
    </row>
    <row r="126" spans="1:6" x14ac:dyDescent="0.25">
      <c r="A126" s="2" t="s">
        <v>1</v>
      </c>
      <c r="B126" t="str">
        <f t="shared" si="4"/>
        <v>DESCHAMPS</v>
      </c>
      <c r="C126" t="str">
        <f t="shared" si="5"/>
        <v>LUDOVIC</v>
      </c>
      <c r="D126">
        <v>8101</v>
      </c>
      <c r="E126" t="str">
        <f>"Test allègement CAF ET MALADIE"</f>
        <v>Test allègement CAF ET MALADIE</v>
      </c>
      <c r="F126" s="4">
        <v>227.76</v>
      </c>
    </row>
    <row r="127" spans="1:6" x14ac:dyDescent="0.25">
      <c r="A127" s="2" t="s">
        <v>1</v>
      </c>
      <c r="B127" t="str">
        <f t="shared" si="4"/>
        <v>DESCHAMPS</v>
      </c>
      <c r="C127" t="str">
        <f t="shared" si="5"/>
        <v>LUDOVIC</v>
      </c>
      <c r="D127">
        <v>8202</v>
      </c>
      <c r="E127" t="str">
        <f>"DUREE REMUNEREE"</f>
        <v>DUREE REMUNEREE</v>
      </c>
      <c r="F127" s="4">
        <v>21.67</v>
      </c>
    </row>
    <row r="128" spans="1:6" x14ac:dyDescent="0.25">
      <c r="A128" s="2" t="s">
        <v>1</v>
      </c>
      <c r="B128" t="str">
        <f t="shared" si="4"/>
        <v>DESCHAMPS</v>
      </c>
      <c r="C128" t="str">
        <f t="shared" si="5"/>
        <v>LUDOVIC</v>
      </c>
      <c r="D128">
        <v>8206</v>
      </c>
      <c r="E128" t="str">
        <f>"SALAIRE RETABLI"</f>
        <v>SALAIRE RETABLI</v>
      </c>
      <c r="F128" s="4">
        <v>2920</v>
      </c>
    </row>
    <row r="129" spans="1:6" x14ac:dyDescent="0.25">
      <c r="A129" s="2" t="s">
        <v>1</v>
      </c>
      <c r="B129" t="str">
        <f t="shared" si="4"/>
        <v>DESCHAMPS</v>
      </c>
      <c r="C129" t="str">
        <f t="shared" si="5"/>
        <v>LUDOVIC</v>
      </c>
      <c r="D129">
        <v>8208</v>
      </c>
      <c r="E129" t="str">
        <f>"BRUT FISCAL"</f>
        <v>BRUT FISCAL</v>
      </c>
      <c r="F129" s="4">
        <v>3020.87</v>
      </c>
    </row>
    <row r="130" spans="1:6" x14ac:dyDescent="0.25">
      <c r="A130" s="2" t="s">
        <v>1</v>
      </c>
      <c r="B130" t="str">
        <f t="shared" si="4"/>
        <v>DESCHAMPS</v>
      </c>
      <c r="C130" t="str">
        <f t="shared" si="5"/>
        <v>LUDOVIC</v>
      </c>
      <c r="D130">
        <v>9896</v>
      </c>
      <c r="E130" t="str">
        <f>"Prélèvement à la source"</f>
        <v>Prélèvement à la source</v>
      </c>
      <c r="F130" s="4">
        <v>-112.56</v>
      </c>
    </row>
    <row r="131" spans="1:6" x14ac:dyDescent="0.25">
      <c r="A131" s="2" t="s">
        <v>1</v>
      </c>
      <c r="B131" t="str">
        <f t="shared" si="4"/>
        <v>DESCHAMPS</v>
      </c>
      <c r="C131" t="str">
        <f t="shared" si="5"/>
        <v>LUDOVIC</v>
      </c>
      <c r="D131">
        <v>9899</v>
      </c>
      <c r="E131" t="str">
        <f>"Extourne Net à Payer après PAS"</f>
        <v>Extourne Net à Payer après PAS</v>
      </c>
      <c r="F131" s="4">
        <v>-112.56</v>
      </c>
    </row>
    <row r="132" spans="1:6" x14ac:dyDescent="0.25">
      <c r="A132" s="2" t="s">
        <v>1</v>
      </c>
      <c r="B132" t="str">
        <f t="shared" si="4"/>
        <v>DESCHAMPS</v>
      </c>
      <c r="C132" t="str">
        <f t="shared" si="5"/>
        <v>LUDOVIC</v>
      </c>
      <c r="D132">
        <v>9994</v>
      </c>
      <c r="E132" t="str">
        <f>"ETP Egalité F/H"</f>
        <v>ETP Egalité F/H</v>
      </c>
      <c r="F132" s="4">
        <v>1</v>
      </c>
    </row>
    <row r="133" spans="1:6" x14ac:dyDescent="0.25">
      <c r="A133" s="2" t="s">
        <v>1</v>
      </c>
      <c r="B133" t="str">
        <f t="shared" si="4"/>
        <v>DESCHAMPS</v>
      </c>
      <c r="C133" t="str">
        <f t="shared" si="5"/>
        <v>LUDOVIC</v>
      </c>
      <c r="D133">
        <v>9995</v>
      </c>
      <c r="E133" t="str">
        <f>"ETP PRORTISE JOURS OUVRES"</f>
        <v>ETP PRORTISE JOURS OUVRES</v>
      </c>
      <c r="F133" s="4">
        <v>1</v>
      </c>
    </row>
    <row r="134" spans="1:6" x14ac:dyDescent="0.25">
      <c r="A134" s="2" t="s">
        <v>1</v>
      </c>
      <c r="B134" t="str">
        <f t="shared" si="4"/>
        <v>DESCHAMPS</v>
      </c>
      <c r="C134" t="str">
        <f t="shared" si="5"/>
        <v>LUDOVIC</v>
      </c>
      <c r="D134">
        <v>9999</v>
      </c>
      <c r="E134" t="str">
        <f>"**Dont gain pouvoir d'achat**"</f>
        <v>**Dont gain pouvoir d'achat**</v>
      </c>
      <c r="F134" s="4">
        <v>41.49</v>
      </c>
    </row>
    <row r="135" spans="1:6" x14ac:dyDescent="0.25">
      <c r="A135" s="2" t="s">
        <v>1</v>
      </c>
      <c r="B135" t="str">
        <f t="shared" si="4"/>
        <v>DESCHAMPS</v>
      </c>
      <c r="C135" t="str">
        <f t="shared" si="5"/>
        <v>LUDOVIC</v>
      </c>
      <c r="D135" t="str">
        <f>"PRESENCE"</f>
        <v>PRESENCE</v>
      </c>
      <c r="E135" t="str">
        <f>"Présence"</f>
        <v>Présence</v>
      </c>
      <c r="F135" s="4">
        <v>151.66999999999999</v>
      </c>
    </row>
    <row r="136" spans="1:6" x14ac:dyDescent="0.25">
      <c r="A136" s="2" t="s">
        <v>1</v>
      </c>
      <c r="B136" t="str">
        <f t="shared" si="4"/>
        <v>DESCHAMPS</v>
      </c>
      <c r="C136" t="str">
        <f t="shared" si="5"/>
        <v>LUDOVIC</v>
      </c>
      <c r="D136" t="str">
        <f>"BRUT"</f>
        <v>BRUT</v>
      </c>
      <c r="E136" t="str">
        <f>"Brut"</f>
        <v>Brut</v>
      </c>
      <c r="F136" s="4">
        <v>2920</v>
      </c>
    </row>
    <row r="137" spans="1:6" x14ac:dyDescent="0.25">
      <c r="A137" s="2" t="s">
        <v>1</v>
      </c>
      <c r="B137" t="str">
        <f t="shared" si="4"/>
        <v>DESCHAMPS</v>
      </c>
      <c r="C137" t="str">
        <f t="shared" si="5"/>
        <v>LUDOVIC</v>
      </c>
      <c r="D137" t="str">
        <f>"COTISAL"</f>
        <v>COTISAL</v>
      </c>
      <c r="E137" t="str">
        <f>"Cotisations salariales"</f>
        <v>Cotisations salariales</v>
      </c>
      <c r="F137" s="4">
        <v>687.19</v>
      </c>
    </row>
    <row r="138" spans="1:6" x14ac:dyDescent="0.25">
      <c r="A138" s="2" t="s">
        <v>1</v>
      </c>
      <c r="B138" t="str">
        <f t="shared" si="4"/>
        <v>DESCHAMPS</v>
      </c>
      <c r="C138" t="str">
        <f t="shared" si="5"/>
        <v>LUDOVIC</v>
      </c>
      <c r="D138" t="str">
        <f>"COTIPAT"</f>
        <v>COTIPAT</v>
      </c>
      <c r="E138" t="str">
        <f>"Cotisations patronales"</f>
        <v>Cotisations patronales</v>
      </c>
      <c r="F138" s="4">
        <v>1131.29</v>
      </c>
    </row>
    <row r="139" spans="1:6" x14ac:dyDescent="0.25">
      <c r="A139" s="2" t="s">
        <v>1</v>
      </c>
      <c r="B139" t="str">
        <f t="shared" si="4"/>
        <v>DESCHAMPS</v>
      </c>
      <c r="C139" t="str">
        <f t="shared" si="5"/>
        <v>LUDOVIC</v>
      </c>
      <c r="D139" t="str">
        <f>"NETPAIE"</f>
        <v>NETPAIE</v>
      </c>
      <c r="E139" t="str">
        <f>"Net à payer"</f>
        <v>Net à payer</v>
      </c>
      <c r="F139" s="4">
        <v>2072.25</v>
      </c>
    </row>
    <row r="140" spans="1:6" x14ac:dyDescent="0.25">
      <c r="A140" s="2" t="s">
        <v>1</v>
      </c>
      <c r="B140" t="str">
        <f t="shared" ref="B140:B151" si="6">"DESCHAMPS"</f>
        <v>DESCHAMPS</v>
      </c>
      <c r="C140" t="str">
        <f t="shared" ref="C140:C151" si="7">"LUDOVIC"</f>
        <v>LUDOVIC</v>
      </c>
      <c r="D140" t="str">
        <f>"NETIMPO"</f>
        <v>NETIMPO</v>
      </c>
      <c r="E140" t="str">
        <f>"Net imposable"</f>
        <v>Net imposable</v>
      </c>
      <c r="F140" s="4">
        <v>2394.81</v>
      </c>
    </row>
    <row r="141" spans="1:6" x14ac:dyDescent="0.25">
      <c r="A141" s="2" t="s">
        <v>1</v>
      </c>
      <c r="B141" t="str">
        <f t="shared" si="6"/>
        <v>DESCHAMPS</v>
      </c>
      <c r="C141" t="str">
        <f t="shared" si="7"/>
        <v>LUDOVIC</v>
      </c>
      <c r="D141" t="str">
        <f>"AVANTUR"</f>
        <v>AVANTUR</v>
      </c>
      <c r="E141" t="str">
        <f>"Avantages en nature"</f>
        <v>Avantages en nature</v>
      </c>
      <c r="F141" s="4">
        <v>0</v>
      </c>
    </row>
    <row r="142" spans="1:6" x14ac:dyDescent="0.25">
      <c r="A142" s="2" t="s">
        <v>1</v>
      </c>
      <c r="B142" t="str">
        <f t="shared" si="6"/>
        <v>DESCHAMPS</v>
      </c>
      <c r="C142" t="str">
        <f t="shared" si="7"/>
        <v>LUDOVIC</v>
      </c>
      <c r="D142" t="str">
        <f>"TOTALHTRAV"</f>
        <v>TOTALHTRAV</v>
      </c>
      <c r="E142" t="str">
        <f>"Total des heures travaillées"</f>
        <v>Total des heures travaillées</v>
      </c>
      <c r="F142" s="4">
        <v>151.66999999999999</v>
      </c>
    </row>
    <row r="143" spans="1:6" x14ac:dyDescent="0.25">
      <c r="A143" s="2" t="s">
        <v>1</v>
      </c>
      <c r="B143" t="str">
        <f t="shared" si="6"/>
        <v>DESCHAMPS</v>
      </c>
      <c r="C143" t="str">
        <f t="shared" si="7"/>
        <v>LUDOVIC</v>
      </c>
      <c r="D143" t="str">
        <f>"TOTALHS"</f>
        <v>TOTALHS</v>
      </c>
      <c r="E143" t="str">
        <f>"Total des hres supplémentaires"</f>
        <v>Total des hres supplémentaires</v>
      </c>
      <c r="F143" s="4">
        <v>0</v>
      </c>
    </row>
    <row r="144" spans="1:6" x14ac:dyDescent="0.25">
      <c r="A144" s="2" t="s">
        <v>1</v>
      </c>
      <c r="B144" t="str">
        <f t="shared" si="6"/>
        <v>DESCHAMPS</v>
      </c>
      <c r="C144" t="str">
        <f t="shared" si="7"/>
        <v>LUDOVIC</v>
      </c>
      <c r="D144" t="str">
        <f>"TOTALHC"</f>
        <v>TOTALHC</v>
      </c>
      <c r="E144" t="str">
        <f>"Total des hres complémentaires"</f>
        <v>Total des hres complémentaires</v>
      </c>
      <c r="F144" s="4">
        <v>0</v>
      </c>
    </row>
    <row r="145" spans="1:6" x14ac:dyDescent="0.25">
      <c r="A145" s="2" t="s">
        <v>1</v>
      </c>
      <c r="B145" t="str">
        <f t="shared" si="6"/>
        <v>DESCHAMPS</v>
      </c>
      <c r="C145" t="str">
        <f t="shared" si="7"/>
        <v>LUDOVIC</v>
      </c>
      <c r="D145" t="str">
        <f>"TOTALHA"</f>
        <v>TOTALHA</v>
      </c>
      <c r="E145" t="str">
        <f>"Total des heures d'absence"</f>
        <v>Total des heures d'absence</v>
      </c>
      <c r="F145" s="4">
        <v>0</v>
      </c>
    </row>
    <row r="146" spans="1:6" x14ac:dyDescent="0.25">
      <c r="A146" s="2" t="s">
        <v>1</v>
      </c>
      <c r="B146" t="str">
        <f t="shared" si="6"/>
        <v>DESCHAMPS</v>
      </c>
      <c r="C146" t="str">
        <f t="shared" si="7"/>
        <v>LUDOVIC</v>
      </c>
      <c r="D146" t="str">
        <f>"ABSENCE"</f>
        <v>ABSENCE</v>
      </c>
      <c r="E146" t="str">
        <f>"Absence"</f>
        <v>Absence</v>
      </c>
      <c r="F146" s="4">
        <v>0</v>
      </c>
    </row>
    <row r="147" spans="1:6" x14ac:dyDescent="0.25">
      <c r="A147" s="2" t="s">
        <v>1</v>
      </c>
      <c r="B147" t="str">
        <f t="shared" si="6"/>
        <v>DESCHAMPS</v>
      </c>
      <c r="C147" t="str">
        <f t="shared" si="7"/>
        <v>LUDOVIC</v>
      </c>
      <c r="D147" t="str">
        <f>"COACMOIS"</f>
        <v>COACMOIS</v>
      </c>
      <c r="E147" t="str">
        <f>"Congés acquis dans le mois"</f>
        <v>Congés acquis dans le mois</v>
      </c>
      <c r="F147" s="4">
        <v>2.08</v>
      </c>
    </row>
    <row r="148" spans="1:6" x14ac:dyDescent="0.25">
      <c r="A148" s="2" t="s">
        <v>1</v>
      </c>
      <c r="B148" t="str">
        <f t="shared" si="6"/>
        <v>DESCHAMPS</v>
      </c>
      <c r="C148" t="str">
        <f t="shared" si="7"/>
        <v>LUDOVIC</v>
      </c>
      <c r="D148" t="str">
        <f>"COPRIMOI"</f>
        <v>COPRIMOI</v>
      </c>
      <c r="E148" t="str">
        <f>"Congés pris dans le mois"</f>
        <v>Congés pris dans le mois</v>
      </c>
      <c r="F148" s="4">
        <v>0</v>
      </c>
    </row>
    <row r="149" spans="1:6" x14ac:dyDescent="0.25">
      <c r="A149" s="2" t="s">
        <v>1</v>
      </c>
      <c r="B149" t="str">
        <f t="shared" si="6"/>
        <v>DESCHAMPS</v>
      </c>
      <c r="C149" t="str">
        <f t="shared" si="7"/>
        <v>LUDOVIC</v>
      </c>
      <c r="D149" t="str">
        <f>"TOTALPRES"</f>
        <v>TOTALPRES</v>
      </c>
      <c r="E149" t="str">
        <f>"Total des heures de présence"</f>
        <v>Total des heures de présence</v>
      </c>
      <c r="F149" s="4">
        <v>151.66999999999999</v>
      </c>
    </row>
    <row r="150" spans="1:6" x14ac:dyDescent="0.25">
      <c r="A150" s="2" t="s">
        <v>1</v>
      </c>
      <c r="B150" t="str">
        <f t="shared" si="6"/>
        <v>DESCHAMPS</v>
      </c>
      <c r="C150" t="str">
        <f t="shared" si="7"/>
        <v>LUDOVIC</v>
      </c>
      <c r="D150" t="str">
        <f>"TOTHANA"</f>
        <v>TOTHANA</v>
      </c>
      <c r="E150" t="str">
        <f>"Total des heures / Analytique"</f>
        <v>Total des heures / Analytique</v>
      </c>
      <c r="F150" s="4">
        <v>0</v>
      </c>
    </row>
    <row r="151" spans="1:6" x14ac:dyDescent="0.25">
      <c r="A151" s="2" t="s">
        <v>1</v>
      </c>
      <c r="B151" t="str">
        <f t="shared" si="6"/>
        <v>DESCHAMPS</v>
      </c>
      <c r="C151" t="str">
        <f t="shared" si="7"/>
        <v>LUDOVIC</v>
      </c>
      <c r="D151" t="str">
        <f>"COUT_TOTAL"</f>
        <v>COUT_TOTAL</v>
      </c>
      <c r="E151" t="str">
        <f>"Cout total"</f>
        <v>Cout total</v>
      </c>
      <c r="F151" s="4">
        <v>4051.29</v>
      </c>
    </row>
    <row r="152" spans="1:6" x14ac:dyDescent="0.25">
      <c r="A152" s="2" t="s">
        <v>2</v>
      </c>
      <c r="B152" t="str">
        <f t="shared" ref="B152:B215" si="8">"KASKASSIAN"</f>
        <v>KASKASSIAN</v>
      </c>
      <c r="C152" t="str">
        <f t="shared" ref="C152:C215" si="9">"Alexandra"</f>
        <v>Alexandra</v>
      </c>
      <c r="D152">
        <v>10</v>
      </c>
      <c r="E152" t="str">
        <f>"SALAIRE DE BASE"</f>
        <v>SALAIRE DE BASE</v>
      </c>
      <c r="F152" s="4">
        <v>2080</v>
      </c>
    </row>
    <row r="153" spans="1:6" x14ac:dyDescent="0.25">
      <c r="A153" s="2" t="s">
        <v>2</v>
      </c>
      <c r="B153" t="str">
        <f t="shared" si="8"/>
        <v>KASKASSIAN</v>
      </c>
      <c r="C153" t="str">
        <f t="shared" si="9"/>
        <v>Alexandra</v>
      </c>
      <c r="D153">
        <v>270</v>
      </c>
      <c r="E153" t="str">
        <f>"ABS CONGES PAYES (J)"</f>
        <v>ABS CONGES PAYES (J)</v>
      </c>
      <c r="F153" s="4">
        <v>-95.99</v>
      </c>
    </row>
    <row r="154" spans="1:6" x14ac:dyDescent="0.25">
      <c r="A154" s="2" t="s">
        <v>2</v>
      </c>
      <c r="B154" t="str">
        <f t="shared" si="8"/>
        <v>KASKASSIAN</v>
      </c>
      <c r="C154" t="str">
        <f t="shared" si="9"/>
        <v>Alexandra</v>
      </c>
      <c r="D154">
        <v>300</v>
      </c>
      <c r="E154" t="str">
        <f>"IND CONGES PAYES (J)"</f>
        <v>IND CONGES PAYES (J)</v>
      </c>
      <c r="F154" s="4">
        <v>95.99</v>
      </c>
    </row>
    <row r="155" spans="1:6" x14ac:dyDescent="0.25">
      <c r="A155" s="2" t="s">
        <v>2</v>
      </c>
      <c r="B155" t="str">
        <f t="shared" si="8"/>
        <v>KASKASSIAN</v>
      </c>
      <c r="C155" t="str">
        <f t="shared" si="9"/>
        <v>Alexandra</v>
      </c>
      <c r="D155">
        <v>1986</v>
      </c>
      <c r="E155" t="str">
        <f>"DSN - Nb jrs calendaires PSS"</f>
        <v>DSN - Nb jrs calendaires PSS</v>
      </c>
      <c r="F155" s="4">
        <v>30</v>
      </c>
    </row>
    <row r="156" spans="1:6" x14ac:dyDescent="0.25">
      <c r="A156" s="2" t="s">
        <v>2</v>
      </c>
      <c r="B156" t="str">
        <f t="shared" si="8"/>
        <v>KASKASSIAN</v>
      </c>
      <c r="C156" t="str">
        <f t="shared" si="9"/>
        <v>Alexandra</v>
      </c>
      <c r="D156">
        <v>3014</v>
      </c>
      <c r="E156" t="str">
        <f>"SS VIEIL DEPLAFONNEE"</f>
        <v>SS VIEIL DEPLAFONNEE</v>
      </c>
      <c r="F156" s="4">
        <v>8.32</v>
      </c>
    </row>
    <row r="157" spans="1:6" x14ac:dyDescent="0.25">
      <c r="A157" s="2" t="s">
        <v>2</v>
      </c>
      <c r="B157" t="str">
        <f t="shared" si="8"/>
        <v>KASKASSIAN</v>
      </c>
      <c r="C157" t="str">
        <f t="shared" si="9"/>
        <v>Alexandra</v>
      </c>
      <c r="D157">
        <v>3110</v>
      </c>
      <c r="E157" t="str">
        <f>"SS CG VIEILLESSE TA"</f>
        <v>SS CG VIEILLESSE TA</v>
      </c>
      <c r="F157" s="4">
        <v>143.52000000000001</v>
      </c>
    </row>
    <row r="158" spans="1:6" x14ac:dyDescent="0.25">
      <c r="A158" s="2" t="s">
        <v>2</v>
      </c>
      <c r="B158" t="str">
        <f t="shared" si="8"/>
        <v>KASKASSIAN</v>
      </c>
      <c r="C158" t="str">
        <f t="shared" si="9"/>
        <v>Alexandra</v>
      </c>
      <c r="D158">
        <v>3504</v>
      </c>
      <c r="E158" t="str">
        <f>"**LIMITE D'EXO AF"</f>
        <v>**LIMITE D'EXO AF</v>
      </c>
      <c r="F158" s="4">
        <v>2434</v>
      </c>
    </row>
    <row r="159" spans="1:6" x14ac:dyDescent="0.25">
      <c r="A159" s="2" t="s">
        <v>2</v>
      </c>
      <c r="B159" t="str">
        <f t="shared" si="8"/>
        <v>KASKASSIAN</v>
      </c>
      <c r="C159" t="str">
        <f t="shared" si="9"/>
        <v>Alexandra</v>
      </c>
      <c r="D159">
        <v>3501</v>
      </c>
      <c r="E159" t="str">
        <f>"** HISTORISATION REMUNERATION"</f>
        <v>** HISTORISATION REMUNERATION</v>
      </c>
      <c r="F159" s="4">
        <v>2080</v>
      </c>
    </row>
    <row r="160" spans="1:6" x14ac:dyDescent="0.25">
      <c r="A160" s="2" t="s">
        <v>2</v>
      </c>
      <c r="B160" t="str">
        <f t="shared" si="8"/>
        <v>KASKASSIAN</v>
      </c>
      <c r="C160" t="str">
        <f t="shared" si="9"/>
        <v>Alexandra</v>
      </c>
      <c r="D160">
        <v>4031</v>
      </c>
      <c r="E160" t="str">
        <f>"Réduction salariale chômage"</f>
        <v>Réduction salariale chômage</v>
      </c>
      <c r="F160" s="4">
        <v>-49.92</v>
      </c>
    </row>
    <row r="161" spans="1:6" x14ac:dyDescent="0.25">
      <c r="A161" s="2" t="s">
        <v>2</v>
      </c>
      <c r="B161" t="str">
        <f t="shared" si="8"/>
        <v>KASKASSIAN</v>
      </c>
      <c r="C161" t="str">
        <f t="shared" si="9"/>
        <v>Alexandra</v>
      </c>
      <c r="D161">
        <v>4610</v>
      </c>
      <c r="E161" t="str">
        <f>"Retraite T1"</f>
        <v>Retraite T1</v>
      </c>
      <c r="F161" s="4">
        <v>65.52</v>
      </c>
    </row>
    <row r="162" spans="1:6" x14ac:dyDescent="0.25">
      <c r="A162" s="2" t="s">
        <v>2</v>
      </c>
      <c r="B162" t="str">
        <f t="shared" si="8"/>
        <v>KASKASSIAN</v>
      </c>
      <c r="C162" t="str">
        <f t="shared" si="9"/>
        <v>Alexandra</v>
      </c>
      <c r="D162">
        <v>4625</v>
      </c>
      <c r="E162" t="str">
        <f>"CEG T1"</f>
        <v>CEG T1</v>
      </c>
      <c r="F162" s="4">
        <v>17.89</v>
      </c>
    </row>
    <row r="163" spans="1:6" x14ac:dyDescent="0.25">
      <c r="A163" s="2" t="s">
        <v>2</v>
      </c>
      <c r="B163" t="str">
        <f t="shared" si="8"/>
        <v>KASKASSIAN</v>
      </c>
      <c r="C163" t="str">
        <f t="shared" si="9"/>
        <v>Alexandra</v>
      </c>
      <c r="D163">
        <v>4723</v>
      </c>
      <c r="E163" t="str">
        <f>"PREVOYANCE TA NON CADRE"</f>
        <v>PREVOYANCE TA NON CADRE</v>
      </c>
      <c r="F163" s="4">
        <v>3.74</v>
      </c>
    </row>
    <row r="164" spans="1:6" x14ac:dyDescent="0.25">
      <c r="A164" s="2" t="s">
        <v>2</v>
      </c>
      <c r="B164" t="str">
        <f t="shared" si="8"/>
        <v>KASKASSIAN</v>
      </c>
      <c r="C164" t="str">
        <f t="shared" si="9"/>
        <v>Alexandra</v>
      </c>
      <c r="D164">
        <v>4797</v>
      </c>
      <c r="E164" t="str">
        <f>"CSG DEDUCTIBLE PREV-MUTUELLE"</f>
        <v>CSG DEDUCTIBLE PREV-MUTUELLE</v>
      </c>
      <c r="F164" s="4">
        <v>1.02</v>
      </c>
    </row>
    <row r="165" spans="1:6" x14ac:dyDescent="0.25">
      <c r="A165" s="2" t="s">
        <v>2</v>
      </c>
      <c r="B165" t="str">
        <f t="shared" si="8"/>
        <v>KASKASSIAN</v>
      </c>
      <c r="C165" t="str">
        <f t="shared" si="9"/>
        <v>Alexandra</v>
      </c>
      <c r="D165">
        <v>4798</v>
      </c>
      <c r="E165" t="str">
        <f>"CSG/CRDS NON DED.PREV.MUTUELLE"</f>
        <v>CSG/CRDS NON DED.PREV.MUTUELLE</v>
      </c>
      <c r="F165" s="4">
        <v>0.43</v>
      </c>
    </row>
    <row r="166" spans="1:6" x14ac:dyDescent="0.25">
      <c r="A166" s="2" t="s">
        <v>2</v>
      </c>
      <c r="B166" t="str">
        <f t="shared" si="8"/>
        <v>KASKASSIAN</v>
      </c>
      <c r="C166" t="str">
        <f t="shared" si="9"/>
        <v>Alexandra</v>
      </c>
      <c r="D166">
        <v>4800</v>
      </c>
      <c r="E166" t="str">
        <f>"CSG DEDUCTIBLE"</f>
        <v>CSG DEDUCTIBLE</v>
      </c>
      <c r="F166" s="4">
        <v>138.96</v>
      </c>
    </row>
    <row r="167" spans="1:6" x14ac:dyDescent="0.25">
      <c r="A167" s="2" t="s">
        <v>2</v>
      </c>
      <c r="B167" t="str">
        <f t="shared" si="8"/>
        <v>KASKASSIAN</v>
      </c>
      <c r="C167" t="str">
        <f t="shared" si="9"/>
        <v>Alexandra</v>
      </c>
      <c r="D167">
        <v>4801</v>
      </c>
      <c r="E167" t="str">
        <f>"CSG/CRDS NON DEDUCTIBLE"</f>
        <v>CSG/CRDS NON DEDUCTIBLE</v>
      </c>
      <c r="F167" s="4">
        <v>59.26</v>
      </c>
    </row>
    <row r="168" spans="1:6" x14ac:dyDescent="0.25">
      <c r="A168" s="2" t="s">
        <v>2</v>
      </c>
      <c r="B168" t="str">
        <f t="shared" si="8"/>
        <v>KASKASSIAN</v>
      </c>
      <c r="C168" t="str">
        <f t="shared" si="9"/>
        <v>Alexandra</v>
      </c>
      <c r="D168">
        <v>6014</v>
      </c>
      <c r="E168" t="str">
        <f>"Frais professionnel DSN"</f>
        <v>Frais professionnel DSN</v>
      </c>
      <c r="F168" s="4">
        <v>13.12</v>
      </c>
    </row>
    <row r="169" spans="1:6" x14ac:dyDescent="0.25">
      <c r="A169" s="2" t="s">
        <v>2</v>
      </c>
      <c r="B169" t="str">
        <f t="shared" si="8"/>
        <v>KASKASSIAN</v>
      </c>
      <c r="C169" t="str">
        <f t="shared" si="9"/>
        <v>Alexandra</v>
      </c>
      <c r="D169">
        <v>6030</v>
      </c>
      <c r="E169" t="str">
        <f>"TITRES RESTAURANT"</f>
        <v>TITRES RESTAURANT</v>
      </c>
      <c r="F169" s="4">
        <v>-54</v>
      </c>
    </row>
    <row r="170" spans="1:6" x14ac:dyDescent="0.25">
      <c r="A170" s="2" t="s">
        <v>2</v>
      </c>
      <c r="B170" t="str">
        <f t="shared" si="8"/>
        <v>KASKASSIAN</v>
      </c>
      <c r="C170" t="str">
        <f t="shared" si="9"/>
        <v>Alexandra</v>
      </c>
      <c r="D170">
        <v>6031</v>
      </c>
      <c r="E170" t="str">
        <f>"TITRES RESTAURANT PP"</f>
        <v>TITRES RESTAURANT PP</v>
      </c>
      <c r="F170" s="4">
        <v>-81</v>
      </c>
    </row>
    <row r="171" spans="1:6" x14ac:dyDescent="0.25">
      <c r="A171" s="2" t="s">
        <v>2</v>
      </c>
      <c r="B171" t="str">
        <f t="shared" si="8"/>
        <v>KASKASSIAN</v>
      </c>
      <c r="C171" t="str">
        <f t="shared" si="9"/>
        <v>Alexandra</v>
      </c>
      <c r="D171">
        <v>6210</v>
      </c>
      <c r="E171" t="str">
        <f>"RTT ACQUIS DU MOIS"</f>
        <v>RTT ACQUIS DU MOIS</v>
      </c>
      <c r="F171" s="4">
        <v>0.83</v>
      </c>
    </row>
    <row r="172" spans="1:6" x14ac:dyDescent="0.25">
      <c r="A172" s="2" t="s">
        <v>2</v>
      </c>
      <c r="B172" t="str">
        <f t="shared" si="8"/>
        <v>KASKASSIAN</v>
      </c>
      <c r="C172" t="str">
        <f t="shared" si="9"/>
        <v>Alexandra</v>
      </c>
      <c r="D172">
        <v>6220</v>
      </c>
      <c r="E172" t="str">
        <f>"RTT SOLDE FIN DE MOIS"</f>
        <v>RTT SOLDE FIN DE MOIS</v>
      </c>
      <c r="F172" s="4">
        <v>4.87</v>
      </c>
    </row>
    <row r="173" spans="1:6" x14ac:dyDescent="0.25">
      <c r="A173" s="2" t="s">
        <v>2</v>
      </c>
      <c r="B173" t="str">
        <f t="shared" si="8"/>
        <v>KASKASSIAN</v>
      </c>
      <c r="C173" t="str">
        <f t="shared" si="9"/>
        <v>Alexandra</v>
      </c>
      <c r="D173">
        <v>6250</v>
      </c>
      <c r="E173" t="str">
        <f>"ACQUIS CP N-1"</f>
        <v>ACQUIS CP N-1</v>
      </c>
      <c r="F173" s="4">
        <v>10</v>
      </c>
    </row>
    <row r="174" spans="1:6" x14ac:dyDescent="0.25">
      <c r="A174" s="2" t="s">
        <v>2</v>
      </c>
      <c r="B174" t="str">
        <f t="shared" si="8"/>
        <v>KASKASSIAN</v>
      </c>
      <c r="C174" t="str">
        <f t="shared" si="9"/>
        <v>Alexandra</v>
      </c>
      <c r="D174">
        <v>6255</v>
      </c>
      <c r="E174" t="str">
        <f>"PRIS CPN-1"</f>
        <v>PRIS CPN-1</v>
      </c>
      <c r="F174" s="4">
        <v>1</v>
      </c>
    </row>
    <row r="175" spans="1:6" x14ac:dyDescent="0.25">
      <c r="A175" s="2" t="s">
        <v>2</v>
      </c>
      <c r="B175" t="str">
        <f t="shared" si="8"/>
        <v>KASKASSIAN</v>
      </c>
      <c r="C175" t="str">
        <f t="shared" si="9"/>
        <v>Alexandra</v>
      </c>
      <c r="D175">
        <v>6260</v>
      </c>
      <c r="E175" t="str">
        <f>"SOLDE CP N-1"</f>
        <v>SOLDE CP N-1</v>
      </c>
      <c r="F175" s="4">
        <v>9</v>
      </c>
    </row>
    <row r="176" spans="1:6" x14ac:dyDescent="0.25">
      <c r="A176" s="2" t="s">
        <v>2</v>
      </c>
      <c r="B176" t="str">
        <f t="shared" si="8"/>
        <v>KASKASSIAN</v>
      </c>
      <c r="C176" t="str">
        <f t="shared" si="9"/>
        <v>Alexandra</v>
      </c>
      <c r="D176">
        <v>6265</v>
      </c>
      <c r="E176" t="str">
        <f>"ACQUIS CP N"</f>
        <v>ACQUIS CP N</v>
      </c>
      <c r="F176" s="4">
        <v>12.5</v>
      </c>
    </row>
    <row r="177" spans="1:6" x14ac:dyDescent="0.25">
      <c r="A177" s="2" t="s">
        <v>2</v>
      </c>
      <c r="B177" t="str">
        <f t="shared" si="8"/>
        <v>KASKASSIAN</v>
      </c>
      <c r="C177" t="str">
        <f t="shared" si="9"/>
        <v>Alexandra</v>
      </c>
      <c r="D177">
        <v>7092</v>
      </c>
      <c r="E177" t="str">
        <f>"TX CHG PAT SOC"</f>
        <v>TX CHG PAT SOC</v>
      </c>
      <c r="F177" s="4">
        <v>27.91</v>
      </c>
    </row>
    <row r="178" spans="1:6" x14ac:dyDescent="0.25">
      <c r="A178" s="2" t="s">
        <v>2</v>
      </c>
      <c r="B178" t="str">
        <f t="shared" si="8"/>
        <v>KASKASSIAN</v>
      </c>
      <c r="C178" t="str">
        <f t="shared" si="9"/>
        <v>Alexandra</v>
      </c>
      <c r="D178">
        <v>7105</v>
      </c>
      <c r="E178" t="str">
        <f>"PROV CP  SALAIRE"</f>
        <v>PROV CP  SALAIRE</v>
      </c>
      <c r="F178" s="4">
        <v>2063.79</v>
      </c>
    </row>
    <row r="179" spans="1:6" x14ac:dyDescent="0.25">
      <c r="A179" s="2" t="s">
        <v>2</v>
      </c>
      <c r="B179" t="str">
        <f t="shared" si="8"/>
        <v>KASKASSIAN</v>
      </c>
      <c r="C179" t="str">
        <f t="shared" si="9"/>
        <v>Alexandra</v>
      </c>
      <c r="D179">
        <v>7115</v>
      </c>
      <c r="E179" t="str">
        <f>"PROV CP N CHG PAT SOC"</f>
        <v>PROV CP N CHG PAT SOC</v>
      </c>
      <c r="F179" s="4">
        <v>576</v>
      </c>
    </row>
    <row r="180" spans="1:6" x14ac:dyDescent="0.25">
      <c r="A180" s="2" t="s">
        <v>2</v>
      </c>
      <c r="B180" t="str">
        <f t="shared" si="8"/>
        <v>KASKASSIAN</v>
      </c>
      <c r="C180" t="str">
        <f t="shared" si="9"/>
        <v>Alexandra</v>
      </c>
      <c r="D180">
        <v>7125</v>
      </c>
      <c r="E180" t="str">
        <f>"AN PROV CP N SALAIRE"</f>
        <v>AN PROV CP N SALAIRE</v>
      </c>
      <c r="F180" s="4">
        <v>-1960.12</v>
      </c>
    </row>
    <row r="181" spans="1:6" x14ac:dyDescent="0.25">
      <c r="A181" s="2" t="s">
        <v>2</v>
      </c>
      <c r="B181" t="str">
        <f t="shared" si="8"/>
        <v>KASKASSIAN</v>
      </c>
      <c r="C181" t="str">
        <f t="shared" si="9"/>
        <v>Alexandra</v>
      </c>
      <c r="D181">
        <v>7135</v>
      </c>
      <c r="E181" t="str">
        <f>"AN PROV CP N CHG PAT SOC"</f>
        <v>AN PROV CP N CHG PAT SOC</v>
      </c>
      <c r="F181" s="4">
        <v>-554.13</v>
      </c>
    </row>
    <row r="182" spans="1:6" x14ac:dyDescent="0.25">
      <c r="A182" s="2" t="s">
        <v>2</v>
      </c>
      <c r="B182" t="str">
        <f t="shared" si="8"/>
        <v>KASKASSIAN</v>
      </c>
      <c r="C182" t="str">
        <f t="shared" si="9"/>
        <v>Alexandra</v>
      </c>
      <c r="D182">
        <v>7210</v>
      </c>
      <c r="E182" t="str">
        <f>"PROV RTT SALAIRE"</f>
        <v>PROV RTT SALAIRE</v>
      </c>
      <c r="F182" s="4">
        <v>467.47</v>
      </c>
    </row>
    <row r="183" spans="1:6" x14ac:dyDescent="0.25">
      <c r="A183" s="2" t="s">
        <v>2</v>
      </c>
      <c r="B183" t="str">
        <f t="shared" si="8"/>
        <v>KASKASSIAN</v>
      </c>
      <c r="C183" t="str">
        <f t="shared" si="9"/>
        <v>Alexandra</v>
      </c>
      <c r="D183">
        <v>7220</v>
      </c>
      <c r="E183" t="str">
        <f>"PROV RTT CHG PAT SOC"</f>
        <v>PROV RTT CHG PAT SOC</v>
      </c>
      <c r="F183" s="4">
        <v>130.47</v>
      </c>
    </row>
    <row r="184" spans="1:6" x14ac:dyDescent="0.25">
      <c r="A184" s="2" t="s">
        <v>2</v>
      </c>
      <c r="B184" t="str">
        <f t="shared" si="8"/>
        <v>KASKASSIAN</v>
      </c>
      <c r="C184" t="str">
        <f t="shared" si="9"/>
        <v>Alexandra</v>
      </c>
      <c r="D184">
        <v>7230</v>
      </c>
      <c r="E184" t="str">
        <f>"AN PROV RTT SALAIRE"</f>
        <v>AN PROV RTT SALAIRE</v>
      </c>
      <c r="F184" s="4">
        <v>-387.8</v>
      </c>
    </row>
    <row r="185" spans="1:6" x14ac:dyDescent="0.25">
      <c r="A185" s="2" t="s">
        <v>2</v>
      </c>
      <c r="B185" t="str">
        <f t="shared" si="8"/>
        <v>KASKASSIAN</v>
      </c>
      <c r="C185" t="str">
        <f t="shared" si="9"/>
        <v>Alexandra</v>
      </c>
      <c r="D185">
        <v>7240</v>
      </c>
      <c r="E185" t="str">
        <f>"AN PROV RTT CHG PAT SOC"</f>
        <v>AN PROV RTT CHG PAT SOC</v>
      </c>
      <c r="F185" s="4">
        <v>-109.63</v>
      </c>
    </row>
    <row r="186" spans="1:6" x14ac:dyDescent="0.25">
      <c r="A186" s="2" t="s">
        <v>2</v>
      </c>
      <c r="B186" t="str">
        <f t="shared" si="8"/>
        <v>KASKASSIAN</v>
      </c>
      <c r="C186" t="str">
        <f t="shared" si="9"/>
        <v>Alexandra</v>
      </c>
      <c r="D186">
        <v>8030</v>
      </c>
      <c r="E186" t="str">
        <f>"NB JOURS CALENDAIRES"</f>
        <v>NB JOURS CALENDAIRES</v>
      </c>
      <c r="F186" s="4">
        <v>30</v>
      </c>
    </row>
    <row r="187" spans="1:6" x14ac:dyDescent="0.25">
      <c r="A187" s="2" t="s">
        <v>2</v>
      </c>
      <c r="B187" t="str">
        <f t="shared" si="8"/>
        <v>KASKASSIAN</v>
      </c>
      <c r="C187" t="str">
        <f t="shared" si="9"/>
        <v>Alexandra</v>
      </c>
      <c r="D187">
        <v>7305</v>
      </c>
      <c r="E187" t="str">
        <f>"P PrimesVac SALAIRE"</f>
        <v>P PrimesVac SALAIRE</v>
      </c>
      <c r="F187" s="4">
        <v>521.41999999999996</v>
      </c>
    </row>
    <row r="188" spans="1:6" x14ac:dyDescent="0.25">
      <c r="A188" s="2" t="s">
        <v>2</v>
      </c>
      <c r="B188" t="str">
        <f t="shared" si="8"/>
        <v>KASKASSIAN</v>
      </c>
      <c r="C188" t="str">
        <f t="shared" si="9"/>
        <v>Alexandra</v>
      </c>
      <c r="D188">
        <v>7315</v>
      </c>
      <c r="E188" t="str">
        <f>"P PrimesVac CHG PAT SOC"</f>
        <v>P PrimesVac CHG PAT SOC</v>
      </c>
      <c r="F188" s="4">
        <v>145.53</v>
      </c>
    </row>
    <row r="189" spans="1:6" x14ac:dyDescent="0.25">
      <c r="A189" s="2" t="s">
        <v>2</v>
      </c>
      <c r="B189" t="str">
        <f t="shared" si="8"/>
        <v>KASKASSIAN</v>
      </c>
      <c r="C189" t="str">
        <f t="shared" si="9"/>
        <v>Alexandra</v>
      </c>
      <c r="D189">
        <v>7325</v>
      </c>
      <c r="E189" t="str">
        <f>"A PROV PrimesVac SALAIRE"</f>
        <v>A PROV PrimesVac SALAIRE</v>
      </c>
      <c r="F189" s="4">
        <v>-435.95</v>
      </c>
    </row>
    <row r="190" spans="1:6" x14ac:dyDescent="0.25">
      <c r="A190" s="2" t="s">
        <v>2</v>
      </c>
      <c r="B190" t="str">
        <f t="shared" si="8"/>
        <v>KASKASSIAN</v>
      </c>
      <c r="C190" t="str">
        <f t="shared" si="9"/>
        <v>Alexandra</v>
      </c>
      <c r="D190">
        <v>7335</v>
      </c>
      <c r="E190" t="str">
        <f>"A PROV PrimesVac CHG PAT SOC"</f>
        <v>A PROV PrimesVac CHG PAT SOC</v>
      </c>
      <c r="F190" s="4">
        <v>-123.24</v>
      </c>
    </row>
    <row r="191" spans="1:6" x14ac:dyDescent="0.25">
      <c r="A191" s="2" t="s">
        <v>2</v>
      </c>
      <c r="B191" t="str">
        <f t="shared" si="8"/>
        <v>KASKASSIAN</v>
      </c>
      <c r="C191" t="str">
        <f t="shared" si="9"/>
        <v>Alexandra</v>
      </c>
      <c r="D191">
        <v>8005</v>
      </c>
      <c r="E191" t="str">
        <f>"HEURES TRAVAILLEES"</f>
        <v>HEURES TRAVAILLEES</v>
      </c>
      <c r="F191" s="4">
        <v>151.66999999999999</v>
      </c>
    </row>
    <row r="192" spans="1:6" x14ac:dyDescent="0.25">
      <c r="A192" s="2" t="s">
        <v>2</v>
      </c>
      <c r="B192" t="str">
        <f t="shared" si="8"/>
        <v>KASKASSIAN</v>
      </c>
      <c r="C192" t="str">
        <f t="shared" si="9"/>
        <v>Alexandra</v>
      </c>
      <c r="D192">
        <v>8010</v>
      </c>
      <c r="E192" t="str">
        <f>"HEURES REMUNEREES"</f>
        <v>HEURES REMUNEREES</v>
      </c>
      <c r="F192" s="4">
        <v>151.66999999999999</v>
      </c>
    </row>
    <row r="193" spans="1:6" x14ac:dyDescent="0.25">
      <c r="A193" s="2" t="s">
        <v>2</v>
      </c>
      <c r="B193" t="str">
        <f t="shared" si="8"/>
        <v>KASKASSIAN</v>
      </c>
      <c r="C193" t="str">
        <f t="shared" si="9"/>
        <v>Alexandra</v>
      </c>
      <c r="D193">
        <v>8015</v>
      </c>
      <c r="E193" t="str">
        <f>"HEURES REMUNEREES FILLON"</f>
        <v>HEURES REMUNEREES FILLON</v>
      </c>
      <c r="F193" s="4">
        <v>151.66999999999999</v>
      </c>
    </row>
    <row r="194" spans="1:6" x14ac:dyDescent="0.25">
      <c r="A194" s="2" t="s">
        <v>2</v>
      </c>
      <c r="B194" t="str">
        <f t="shared" si="8"/>
        <v>KASKASSIAN</v>
      </c>
      <c r="C194" t="str">
        <f t="shared" si="9"/>
        <v>Alexandra</v>
      </c>
      <c r="D194">
        <v>8101</v>
      </c>
      <c r="E194" t="str">
        <f>"Test allègement CAF ET MALADIE"</f>
        <v>Test allègement CAF ET MALADIE</v>
      </c>
      <c r="F194" s="4">
        <v>162.24</v>
      </c>
    </row>
    <row r="195" spans="1:6" x14ac:dyDescent="0.25">
      <c r="A195" s="2" t="s">
        <v>2</v>
      </c>
      <c r="B195" t="str">
        <f t="shared" si="8"/>
        <v>KASKASSIAN</v>
      </c>
      <c r="C195" t="str">
        <f t="shared" si="9"/>
        <v>Alexandra</v>
      </c>
      <c r="D195">
        <v>8202</v>
      </c>
      <c r="E195" t="str">
        <f>"DUREE REMUNEREE"</f>
        <v>DUREE REMUNEREE</v>
      </c>
      <c r="F195" s="4">
        <v>151.66999999999999</v>
      </c>
    </row>
    <row r="196" spans="1:6" x14ac:dyDescent="0.25">
      <c r="A196" s="2" t="s">
        <v>2</v>
      </c>
      <c r="B196" t="str">
        <f t="shared" si="8"/>
        <v>KASKASSIAN</v>
      </c>
      <c r="C196" t="str">
        <f t="shared" si="9"/>
        <v>Alexandra</v>
      </c>
      <c r="D196">
        <v>8206</v>
      </c>
      <c r="E196" t="str">
        <f>"SALAIRE RETABLI"</f>
        <v>SALAIRE RETABLI</v>
      </c>
      <c r="F196" s="4">
        <v>2080</v>
      </c>
    </row>
    <row r="197" spans="1:6" x14ac:dyDescent="0.25">
      <c r="A197" s="2" t="s">
        <v>2</v>
      </c>
      <c r="B197" t="str">
        <f t="shared" si="8"/>
        <v>KASKASSIAN</v>
      </c>
      <c r="C197" t="str">
        <f t="shared" si="9"/>
        <v>Alexandra</v>
      </c>
      <c r="D197">
        <v>8208</v>
      </c>
      <c r="E197" t="str">
        <f>"BRUT FISCAL"</f>
        <v>BRUT FISCAL</v>
      </c>
      <c r="F197" s="4">
        <v>2094.98</v>
      </c>
    </row>
    <row r="198" spans="1:6" x14ac:dyDescent="0.25">
      <c r="A198" s="2" t="s">
        <v>2</v>
      </c>
      <c r="B198" t="str">
        <f t="shared" si="8"/>
        <v>KASKASSIAN</v>
      </c>
      <c r="C198" t="str">
        <f t="shared" si="9"/>
        <v>Alexandra</v>
      </c>
      <c r="D198">
        <v>9896</v>
      </c>
      <c r="E198" t="str">
        <f>"Prélèvement à la source"</f>
        <v>Prélèvement à la source</v>
      </c>
      <c r="F198" s="4">
        <v>-182.01</v>
      </c>
    </row>
    <row r="199" spans="1:6" x14ac:dyDescent="0.25">
      <c r="A199" s="2" t="s">
        <v>2</v>
      </c>
      <c r="B199" t="str">
        <f t="shared" si="8"/>
        <v>KASKASSIAN</v>
      </c>
      <c r="C199" t="str">
        <f t="shared" si="9"/>
        <v>Alexandra</v>
      </c>
      <c r="D199">
        <v>9899</v>
      </c>
      <c r="E199" t="str">
        <f>"Extourne Net à Payer après PAS"</f>
        <v>Extourne Net à Payer après PAS</v>
      </c>
      <c r="F199" s="4">
        <v>-182.01</v>
      </c>
    </row>
    <row r="200" spans="1:6" x14ac:dyDescent="0.25">
      <c r="A200" s="2" t="s">
        <v>2</v>
      </c>
      <c r="B200" t="str">
        <f t="shared" si="8"/>
        <v>KASKASSIAN</v>
      </c>
      <c r="C200" t="str">
        <f t="shared" si="9"/>
        <v>Alexandra</v>
      </c>
      <c r="D200">
        <v>9994</v>
      </c>
      <c r="E200" t="str">
        <f>"ETP Egalité F/H"</f>
        <v>ETP Egalité F/H</v>
      </c>
      <c r="F200" s="4">
        <v>1</v>
      </c>
    </row>
    <row r="201" spans="1:6" x14ac:dyDescent="0.25">
      <c r="A201" s="2" t="s">
        <v>2</v>
      </c>
      <c r="B201" t="str">
        <f t="shared" si="8"/>
        <v>KASKASSIAN</v>
      </c>
      <c r="C201" t="str">
        <f t="shared" si="9"/>
        <v>Alexandra</v>
      </c>
      <c r="D201">
        <v>9995</v>
      </c>
      <c r="E201" t="str">
        <f>"ETP PRORTISE JOURS OUVRES"</f>
        <v>ETP PRORTISE JOURS OUVRES</v>
      </c>
      <c r="F201" s="4">
        <v>1</v>
      </c>
    </row>
    <row r="202" spans="1:6" x14ac:dyDescent="0.25">
      <c r="A202" s="2" t="s">
        <v>2</v>
      </c>
      <c r="B202" t="str">
        <f t="shared" si="8"/>
        <v>KASKASSIAN</v>
      </c>
      <c r="C202" t="str">
        <f t="shared" si="9"/>
        <v>Alexandra</v>
      </c>
      <c r="D202">
        <v>9999</v>
      </c>
      <c r="E202" t="str">
        <f>"**Dont gain pouvoir d'achat**"</f>
        <v>**Dont gain pouvoir d'achat**</v>
      </c>
      <c r="F202" s="4">
        <v>30.52</v>
      </c>
    </row>
    <row r="203" spans="1:6" x14ac:dyDescent="0.25">
      <c r="A203" s="2" t="s">
        <v>2</v>
      </c>
      <c r="B203" t="str">
        <f t="shared" si="8"/>
        <v>KASKASSIAN</v>
      </c>
      <c r="C203" t="str">
        <f t="shared" si="9"/>
        <v>Alexandra</v>
      </c>
      <c r="D203" t="str">
        <f>"PRESENCE"</f>
        <v>PRESENCE</v>
      </c>
      <c r="E203" t="str">
        <f>"Présence"</f>
        <v>Présence</v>
      </c>
      <c r="F203" s="4">
        <v>151.66999999999999</v>
      </c>
    </row>
    <row r="204" spans="1:6" x14ac:dyDescent="0.25">
      <c r="A204" s="2" t="s">
        <v>2</v>
      </c>
      <c r="B204" t="str">
        <f t="shared" si="8"/>
        <v>KASKASSIAN</v>
      </c>
      <c r="C204" t="str">
        <f t="shared" si="9"/>
        <v>Alexandra</v>
      </c>
      <c r="D204" t="str">
        <f>"BRUT"</f>
        <v>BRUT</v>
      </c>
      <c r="E204" t="str">
        <f>"Brut"</f>
        <v>Brut</v>
      </c>
      <c r="F204" s="4">
        <v>2080</v>
      </c>
    </row>
    <row r="205" spans="1:6" x14ac:dyDescent="0.25">
      <c r="A205" s="2" t="s">
        <v>2</v>
      </c>
      <c r="B205" t="str">
        <f t="shared" si="8"/>
        <v>KASKASSIAN</v>
      </c>
      <c r="C205" t="str">
        <f t="shared" si="9"/>
        <v>Alexandra</v>
      </c>
      <c r="D205" t="str">
        <f>"COTISAL"</f>
        <v>COTISAL</v>
      </c>
      <c r="E205" t="str">
        <f>"Cotisations salariales"</f>
        <v>Cotisations salariales</v>
      </c>
      <c r="F205" s="4">
        <v>438.66</v>
      </c>
    </row>
    <row r="206" spans="1:6" x14ac:dyDescent="0.25">
      <c r="A206" s="2" t="s">
        <v>2</v>
      </c>
      <c r="B206" t="str">
        <f t="shared" si="8"/>
        <v>KASKASSIAN</v>
      </c>
      <c r="C206" t="str">
        <f t="shared" si="9"/>
        <v>Alexandra</v>
      </c>
      <c r="D206" t="str">
        <f>"COTIPAT"</f>
        <v>COTIPAT</v>
      </c>
      <c r="E206" t="str">
        <f>"Cotisations patronales"</f>
        <v>Cotisations patronales</v>
      </c>
      <c r="F206" s="4">
        <v>558.20000000000005</v>
      </c>
    </row>
    <row r="207" spans="1:6" x14ac:dyDescent="0.25">
      <c r="A207" s="2" t="s">
        <v>2</v>
      </c>
      <c r="B207" t="str">
        <f t="shared" si="8"/>
        <v>KASKASSIAN</v>
      </c>
      <c r="C207" t="str">
        <f t="shared" si="9"/>
        <v>Alexandra</v>
      </c>
      <c r="D207" t="str">
        <f>"NETPAIE"</f>
        <v>NETPAIE</v>
      </c>
      <c r="E207" t="str">
        <f>"Net à payer"</f>
        <v>Net à payer</v>
      </c>
      <c r="F207" s="4">
        <v>1405.33</v>
      </c>
    </row>
    <row r="208" spans="1:6" x14ac:dyDescent="0.25">
      <c r="A208" s="2" t="s">
        <v>2</v>
      </c>
      <c r="B208" t="str">
        <f t="shared" si="8"/>
        <v>KASKASSIAN</v>
      </c>
      <c r="C208" t="str">
        <f t="shared" si="9"/>
        <v>Alexandra</v>
      </c>
      <c r="D208" t="str">
        <f>"NETIMPO"</f>
        <v>NETIMPO</v>
      </c>
      <c r="E208" t="str">
        <f>"Net imposable"</f>
        <v>Net imposable</v>
      </c>
      <c r="F208" s="4">
        <v>1701.03</v>
      </c>
    </row>
    <row r="209" spans="1:6" x14ac:dyDescent="0.25">
      <c r="A209" s="2" t="s">
        <v>2</v>
      </c>
      <c r="B209" t="str">
        <f t="shared" si="8"/>
        <v>KASKASSIAN</v>
      </c>
      <c r="C209" t="str">
        <f t="shared" si="9"/>
        <v>Alexandra</v>
      </c>
      <c r="D209" t="str">
        <f>"AVANTUR"</f>
        <v>AVANTUR</v>
      </c>
      <c r="E209" t="str">
        <f>"Avantages en nature"</f>
        <v>Avantages en nature</v>
      </c>
      <c r="F209" s="4">
        <v>0</v>
      </c>
    </row>
    <row r="210" spans="1:6" x14ac:dyDescent="0.25">
      <c r="A210" s="2" t="s">
        <v>2</v>
      </c>
      <c r="B210" t="str">
        <f t="shared" si="8"/>
        <v>KASKASSIAN</v>
      </c>
      <c r="C210" t="str">
        <f t="shared" si="9"/>
        <v>Alexandra</v>
      </c>
      <c r="D210" t="str">
        <f>"TOTALHTRAV"</f>
        <v>TOTALHTRAV</v>
      </c>
      <c r="E210" t="str">
        <f>"Total des heures travaillées"</f>
        <v>Total des heures travaillées</v>
      </c>
      <c r="F210" s="4">
        <v>151.66999999999999</v>
      </c>
    </row>
    <row r="211" spans="1:6" x14ac:dyDescent="0.25">
      <c r="A211" s="2" t="s">
        <v>2</v>
      </c>
      <c r="B211" t="str">
        <f t="shared" si="8"/>
        <v>KASKASSIAN</v>
      </c>
      <c r="C211" t="str">
        <f t="shared" si="9"/>
        <v>Alexandra</v>
      </c>
      <c r="D211" t="str">
        <f>"TOTALHS"</f>
        <v>TOTALHS</v>
      </c>
      <c r="E211" t="str">
        <f>"Total des hres supplémentaires"</f>
        <v>Total des hres supplémentaires</v>
      </c>
      <c r="F211" s="4">
        <v>0</v>
      </c>
    </row>
    <row r="212" spans="1:6" x14ac:dyDescent="0.25">
      <c r="A212" s="2" t="s">
        <v>2</v>
      </c>
      <c r="B212" t="str">
        <f t="shared" si="8"/>
        <v>KASKASSIAN</v>
      </c>
      <c r="C212" t="str">
        <f t="shared" si="9"/>
        <v>Alexandra</v>
      </c>
      <c r="D212" t="str">
        <f>"TOTALHC"</f>
        <v>TOTALHC</v>
      </c>
      <c r="E212" t="str">
        <f>"Total des hres complémentaires"</f>
        <v>Total des hres complémentaires</v>
      </c>
      <c r="F212" s="4">
        <v>0</v>
      </c>
    </row>
    <row r="213" spans="1:6" x14ac:dyDescent="0.25">
      <c r="A213" s="2" t="s">
        <v>2</v>
      </c>
      <c r="B213" t="str">
        <f t="shared" si="8"/>
        <v>KASKASSIAN</v>
      </c>
      <c r="C213" t="str">
        <f t="shared" si="9"/>
        <v>Alexandra</v>
      </c>
      <c r="D213" t="str">
        <f>"TOTALHA"</f>
        <v>TOTALHA</v>
      </c>
      <c r="E213" t="str">
        <f>"Total des heures d'absence"</f>
        <v>Total des heures d'absence</v>
      </c>
      <c r="F213" s="4">
        <v>0</v>
      </c>
    </row>
    <row r="214" spans="1:6" x14ac:dyDescent="0.25">
      <c r="A214" s="2" t="s">
        <v>2</v>
      </c>
      <c r="B214" t="str">
        <f t="shared" si="8"/>
        <v>KASKASSIAN</v>
      </c>
      <c r="C214" t="str">
        <f t="shared" si="9"/>
        <v>Alexandra</v>
      </c>
      <c r="D214" t="str">
        <f>"ABSENCE"</f>
        <v>ABSENCE</v>
      </c>
      <c r="E214" t="str">
        <f>"Absence"</f>
        <v>Absence</v>
      </c>
      <c r="F214" s="4">
        <v>0</v>
      </c>
    </row>
    <row r="215" spans="1:6" x14ac:dyDescent="0.25">
      <c r="A215" s="2" t="s">
        <v>2</v>
      </c>
      <c r="B215" t="str">
        <f t="shared" si="8"/>
        <v>KASKASSIAN</v>
      </c>
      <c r="C215" t="str">
        <f t="shared" si="9"/>
        <v>Alexandra</v>
      </c>
      <c r="D215" t="str">
        <f>"COACMOIS"</f>
        <v>COACMOIS</v>
      </c>
      <c r="E215" t="str">
        <f>"Congés acquis dans le mois"</f>
        <v>Congés acquis dans le mois</v>
      </c>
      <c r="F215" s="4">
        <v>2.08</v>
      </c>
    </row>
    <row r="216" spans="1:6" x14ac:dyDescent="0.25">
      <c r="A216" s="2" t="s">
        <v>2</v>
      </c>
      <c r="B216" t="str">
        <f t="shared" ref="B216:B219" si="10">"KASKASSIAN"</f>
        <v>KASKASSIAN</v>
      </c>
      <c r="C216" t="str">
        <f t="shared" ref="C216:C219" si="11">"Alexandra"</f>
        <v>Alexandra</v>
      </c>
      <c r="D216" t="str">
        <f>"COPRIMOI"</f>
        <v>COPRIMOI</v>
      </c>
      <c r="E216" t="str">
        <f>"Congés pris dans le mois"</f>
        <v>Congés pris dans le mois</v>
      </c>
      <c r="F216" s="4">
        <v>1</v>
      </c>
    </row>
    <row r="217" spans="1:6" x14ac:dyDescent="0.25">
      <c r="A217" s="2" t="s">
        <v>2</v>
      </c>
      <c r="B217" t="str">
        <f t="shared" si="10"/>
        <v>KASKASSIAN</v>
      </c>
      <c r="C217" t="str">
        <f t="shared" si="11"/>
        <v>Alexandra</v>
      </c>
      <c r="D217" t="str">
        <f>"TOTALPRES"</f>
        <v>TOTALPRES</v>
      </c>
      <c r="E217" t="str">
        <f>"Total des heures de présence"</f>
        <v>Total des heures de présence</v>
      </c>
      <c r="F217" s="4">
        <v>151.66999999999999</v>
      </c>
    </row>
    <row r="218" spans="1:6" x14ac:dyDescent="0.25">
      <c r="A218" s="2" t="s">
        <v>2</v>
      </c>
      <c r="B218" t="str">
        <f t="shared" si="10"/>
        <v>KASKASSIAN</v>
      </c>
      <c r="C218" t="str">
        <f t="shared" si="11"/>
        <v>Alexandra</v>
      </c>
      <c r="D218" t="str">
        <f>"TOTHANA"</f>
        <v>TOTHANA</v>
      </c>
      <c r="E218" t="str">
        <f>"Total des heures / Analytique"</f>
        <v>Total des heures / Analytique</v>
      </c>
      <c r="F218" s="4">
        <v>0</v>
      </c>
    </row>
    <row r="219" spans="1:6" x14ac:dyDescent="0.25">
      <c r="A219" s="2" t="s">
        <v>2</v>
      </c>
      <c r="B219" t="str">
        <f t="shared" si="10"/>
        <v>KASKASSIAN</v>
      </c>
      <c r="C219" t="str">
        <f t="shared" si="11"/>
        <v>Alexandra</v>
      </c>
      <c r="D219" t="str">
        <f>"COUT_TOTAL"</f>
        <v>COUT_TOTAL</v>
      </c>
      <c r="E219" t="str">
        <f>"Cout total"</f>
        <v>Cout total</v>
      </c>
      <c r="F219" s="4">
        <v>2638.2</v>
      </c>
    </row>
    <row r="220" spans="1:6" x14ac:dyDescent="0.25">
      <c r="A220" s="2" t="s">
        <v>3</v>
      </c>
      <c r="B220" t="str">
        <f t="shared" ref="B220:B283" si="12">"PERRISSOUD"</f>
        <v>PERRISSOUD</v>
      </c>
      <c r="C220" t="str">
        <f t="shared" ref="C220:C283" si="13">"NADIA"</f>
        <v>NADIA</v>
      </c>
      <c r="D220">
        <v>1</v>
      </c>
      <c r="E220" t="str">
        <f>"**GMP DU MOIS"</f>
        <v>**GMP DU MOIS</v>
      </c>
      <c r="F220" s="4">
        <v>353.82</v>
      </c>
    </row>
    <row r="221" spans="1:6" x14ac:dyDescent="0.25">
      <c r="A221" s="2" t="s">
        <v>3</v>
      </c>
      <c r="B221" t="str">
        <f t="shared" si="12"/>
        <v>PERRISSOUD</v>
      </c>
      <c r="C221" t="str">
        <f t="shared" si="13"/>
        <v>NADIA</v>
      </c>
      <c r="D221">
        <v>10</v>
      </c>
      <c r="E221" t="str">
        <f>"SALAIRE DE BASE"</f>
        <v>SALAIRE DE BASE</v>
      </c>
      <c r="F221" s="4">
        <v>4148</v>
      </c>
    </row>
    <row r="222" spans="1:6" x14ac:dyDescent="0.25">
      <c r="A222" s="2" t="s">
        <v>3</v>
      </c>
      <c r="B222" t="str">
        <f t="shared" si="12"/>
        <v>PERRISSOUD</v>
      </c>
      <c r="C222" t="str">
        <f t="shared" si="13"/>
        <v>NADIA</v>
      </c>
      <c r="D222">
        <v>1750</v>
      </c>
      <c r="E222" t="str">
        <f>"AVANTAGE EN NATURE VOITURE"</f>
        <v>AVANTAGE EN NATURE VOITURE</v>
      </c>
      <c r="F222" s="4">
        <v>151.9</v>
      </c>
    </row>
    <row r="223" spans="1:6" x14ac:dyDescent="0.25">
      <c r="A223" s="2" t="s">
        <v>3</v>
      </c>
      <c r="B223" t="str">
        <f t="shared" si="12"/>
        <v>PERRISSOUD</v>
      </c>
      <c r="C223" t="str">
        <f t="shared" si="13"/>
        <v>NADIA</v>
      </c>
      <c r="D223">
        <v>1986</v>
      </c>
      <c r="E223" t="str">
        <f>"DSN - Nb jrs calendaires PSS"</f>
        <v>DSN - Nb jrs calendaires PSS</v>
      </c>
      <c r="F223" s="4">
        <v>30</v>
      </c>
    </row>
    <row r="224" spans="1:6" x14ac:dyDescent="0.25">
      <c r="A224" s="2" t="s">
        <v>3</v>
      </c>
      <c r="B224" t="str">
        <f t="shared" si="12"/>
        <v>PERRISSOUD</v>
      </c>
      <c r="C224" t="str">
        <f t="shared" si="13"/>
        <v>NADIA</v>
      </c>
      <c r="D224">
        <v>3014</v>
      </c>
      <c r="E224" t="str">
        <f>"SS VIEIL DEPLAFONNEE"</f>
        <v>SS VIEIL DEPLAFONNEE</v>
      </c>
      <c r="F224" s="4">
        <v>17.2</v>
      </c>
    </row>
    <row r="225" spans="1:6" x14ac:dyDescent="0.25">
      <c r="A225" s="2" t="s">
        <v>3</v>
      </c>
      <c r="B225" t="str">
        <f t="shared" si="12"/>
        <v>PERRISSOUD</v>
      </c>
      <c r="C225" t="str">
        <f t="shared" si="13"/>
        <v>NADIA</v>
      </c>
      <c r="D225">
        <v>3110</v>
      </c>
      <c r="E225" t="str">
        <f>"SS CG VIEILLESSE TA"</f>
        <v>SS CG VIEILLESSE TA</v>
      </c>
      <c r="F225" s="4">
        <v>233.01</v>
      </c>
    </row>
    <row r="226" spans="1:6" x14ac:dyDescent="0.25">
      <c r="A226" s="2" t="s">
        <v>3</v>
      </c>
      <c r="B226" t="str">
        <f t="shared" si="12"/>
        <v>PERRISSOUD</v>
      </c>
      <c r="C226" t="str">
        <f t="shared" si="13"/>
        <v>NADIA</v>
      </c>
      <c r="D226">
        <v>3504</v>
      </c>
      <c r="E226" t="str">
        <f>"**LIMITE D'EXO AF"</f>
        <v>**LIMITE D'EXO AF</v>
      </c>
      <c r="F226" s="4">
        <v>1947.1</v>
      </c>
    </row>
    <row r="227" spans="1:6" x14ac:dyDescent="0.25">
      <c r="A227" s="2" t="s">
        <v>3</v>
      </c>
      <c r="B227" t="str">
        <f t="shared" si="12"/>
        <v>PERRISSOUD</v>
      </c>
      <c r="C227" t="str">
        <f t="shared" si="13"/>
        <v>NADIA</v>
      </c>
      <c r="D227">
        <v>3501</v>
      </c>
      <c r="E227" t="str">
        <f>"** HISTORISATION REMUNERATION"</f>
        <v>** HISTORISATION REMUNERATION</v>
      </c>
      <c r="F227" s="4">
        <v>4299.8999999999996</v>
      </c>
    </row>
    <row r="228" spans="1:6" x14ac:dyDescent="0.25">
      <c r="A228" s="2" t="s">
        <v>3</v>
      </c>
      <c r="B228" t="str">
        <f t="shared" si="12"/>
        <v>PERRISSOUD</v>
      </c>
      <c r="C228" t="str">
        <f t="shared" si="13"/>
        <v>NADIA</v>
      </c>
      <c r="D228">
        <v>4031</v>
      </c>
      <c r="E228" t="str">
        <f>"Réduction salariale chômage"</f>
        <v>Réduction salariale chômage</v>
      </c>
      <c r="F228" s="4">
        <v>-103.2</v>
      </c>
    </row>
    <row r="229" spans="1:6" x14ac:dyDescent="0.25">
      <c r="A229" s="2" t="s">
        <v>3</v>
      </c>
      <c r="B229" t="str">
        <f t="shared" si="12"/>
        <v>PERRISSOUD</v>
      </c>
      <c r="C229" t="str">
        <f t="shared" si="13"/>
        <v>NADIA</v>
      </c>
      <c r="D229">
        <v>4610</v>
      </c>
      <c r="E229" t="str">
        <f>"Retraite T1"</f>
        <v>Retraite T1</v>
      </c>
      <c r="F229" s="4">
        <v>106.38</v>
      </c>
    </row>
    <row r="230" spans="1:6" x14ac:dyDescent="0.25">
      <c r="A230" s="2" t="s">
        <v>3</v>
      </c>
      <c r="B230" t="str">
        <f t="shared" si="12"/>
        <v>PERRISSOUD</v>
      </c>
      <c r="C230" t="str">
        <f t="shared" si="13"/>
        <v>NADIA</v>
      </c>
      <c r="D230">
        <v>4615</v>
      </c>
      <c r="E230" t="str">
        <f>"Retraite T2"</f>
        <v>Retraite T2</v>
      </c>
      <c r="F230" s="4">
        <v>79.739999999999995</v>
      </c>
    </row>
    <row r="231" spans="1:6" x14ac:dyDescent="0.25">
      <c r="A231" s="2" t="s">
        <v>3</v>
      </c>
      <c r="B231" t="str">
        <f t="shared" si="12"/>
        <v>PERRISSOUD</v>
      </c>
      <c r="C231" t="str">
        <f t="shared" si="13"/>
        <v>NADIA</v>
      </c>
      <c r="D231">
        <v>4620</v>
      </c>
      <c r="E231" t="str">
        <f>"Contribut  Equilibre Technique"</f>
        <v>Contribut  Equilibre Technique</v>
      </c>
      <c r="F231" s="4">
        <v>6.02</v>
      </c>
    </row>
    <row r="232" spans="1:6" x14ac:dyDescent="0.25">
      <c r="A232" s="2" t="s">
        <v>3</v>
      </c>
      <c r="B232" t="str">
        <f t="shared" si="12"/>
        <v>PERRISSOUD</v>
      </c>
      <c r="C232" t="str">
        <f t="shared" si="13"/>
        <v>NADIA</v>
      </c>
      <c r="D232">
        <v>4625</v>
      </c>
      <c r="E232" t="str">
        <f>"CEG T1"</f>
        <v>CEG T1</v>
      </c>
      <c r="F232" s="4">
        <v>29.04</v>
      </c>
    </row>
    <row r="233" spans="1:6" x14ac:dyDescent="0.25">
      <c r="A233" s="2" t="s">
        <v>3</v>
      </c>
      <c r="B233" t="str">
        <f t="shared" si="12"/>
        <v>PERRISSOUD</v>
      </c>
      <c r="C233" t="str">
        <f t="shared" si="13"/>
        <v>NADIA</v>
      </c>
      <c r="D233">
        <v>4630</v>
      </c>
      <c r="E233" t="str">
        <f>"CEG T2"</f>
        <v>CEG T2</v>
      </c>
      <c r="F233" s="4">
        <v>9.9700000000000006</v>
      </c>
    </row>
    <row r="234" spans="1:6" x14ac:dyDescent="0.25">
      <c r="A234" s="2" t="s">
        <v>3</v>
      </c>
      <c r="B234" t="str">
        <f t="shared" si="12"/>
        <v>PERRISSOUD</v>
      </c>
      <c r="C234" t="str">
        <f t="shared" si="13"/>
        <v>NADIA</v>
      </c>
      <c r="D234">
        <v>4635</v>
      </c>
      <c r="E234" t="str">
        <f>"APEC"</f>
        <v>APEC</v>
      </c>
      <c r="F234" s="4">
        <v>1.03</v>
      </c>
    </row>
    <row r="235" spans="1:6" x14ac:dyDescent="0.25">
      <c r="A235" s="2" t="s">
        <v>3</v>
      </c>
      <c r="B235" t="str">
        <f t="shared" si="12"/>
        <v>PERRISSOUD</v>
      </c>
      <c r="C235" t="str">
        <f t="shared" si="13"/>
        <v>NADIA</v>
      </c>
      <c r="D235">
        <v>4720</v>
      </c>
      <c r="E235" t="str">
        <f>"PREVOYANCE TA CADRE"</f>
        <v>PREVOYANCE TA CADRE</v>
      </c>
      <c r="F235" s="4">
        <v>7.23</v>
      </c>
    </row>
    <row r="236" spans="1:6" x14ac:dyDescent="0.25">
      <c r="A236" s="2" t="s">
        <v>3</v>
      </c>
      <c r="B236" t="str">
        <f t="shared" si="12"/>
        <v>PERRISSOUD</v>
      </c>
      <c r="C236" t="str">
        <f t="shared" si="13"/>
        <v>NADIA</v>
      </c>
      <c r="D236">
        <v>4725</v>
      </c>
      <c r="E236" t="str">
        <f>"PREVOYANCE TB CADRE"</f>
        <v>PREVOYANCE TB CADRE</v>
      </c>
      <c r="F236" s="4">
        <v>5.45</v>
      </c>
    </row>
    <row r="237" spans="1:6" x14ac:dyDescent="0.25">
      <c r="A237" s="2" t="s">
        <v>3</v>
      </c>
      <c r="B237" t="str">
        <f t="shared" si="12"/>
        <v>PERRISSOUD</v>
      </c>
      <c r="C237" t="str">
        <f t="shared" si="13"/>
        <v>NADIA</v>
      </c>
      <c r="D237">
        <v>4774</v>
      </c>
      <c r="E237" t="str">
        <f>"MUTUELLE BASE OBLIGAT. CAD (M)"</f>
        <v>MUTUELLE BASE OBLIGAT. CAD (M)</v>
      </c>
      <c r="F237" s="4">
        <v>4.84</v>
      </c>
    </row>
    <row r="238" spans="1:6" x14ac:dyDescent="0.25">
      <c r="A238" s="2" t="s">
        <v>3</v>
      </c>
      <c r="B238" t="str">
        <f t="shared" si="12"/>
        <v>PERRISSOUD</v>
      </c>
      <c r="C238" t="str">
        <f t="shared" si="13"/>
        <v>NADIA</v>
      </c>
      <c r="D238">
        <v>4776</v>
      </c>
      <c r="E238" t="str">
        <f>"MUTUELLE SUR COMPL. CAD (M)"</f>
        <v>MUTUELLE SUR COMPL. CAD (M)</v>
      </c>
      <c r="F238" s="4">
        <v>11.82</v>
      </c>
    </row>
    <row r="239" spans="1:6" x14ac:dyDescent="0.25">
      <c r="A239" s="2" t="s">
        <v>3</v>
      </c>
      <c r="B239" t="str">
        <f t="shared" si="12"/>
        <v>PERRISSOUD</v>
      </c>
      <c r="C239" t="str">
        <f t="shared" si="13"/>
        <v>NADIA</v>
      </c>
      <c r="D239">
        <v>4797</v>
      </c>
      <c r="E239" t="str">
        <f>"CSG DEDUCTIBLE PREV-MUTUELLE"</f>
        <v>CSG DEDUCTIBLE PREV-MUTUELLE</v>
      </c>
      <c r="F239" s="4">
        <v>7.5</v>
      </c>
    </row>
    <row r="240" spans="1:6" x14ac:dyDescent="0.25">
      <c r="A240" s="2" t="s">
        <v>3</v>
      </c>
      <c r="B240" t="str">
        <f t="shared" si="12"/>
        <v>PERRISSOUD</v>
      </c>
      <c r="C240" t="str">
        <f t="shared" si="13"/>
        <v>NADIA</v>
      </c>
      <c r="D240">
        <v>4798</v>
      </c>
      <c r="E240" t="str">
        <f>"CSG/CRDS NON DED.PREV.MUTUELLE"</f>
        <v>CSG/CRDS NON DED.PREV.MUTUELLE</v>
      </c>
      <c r="F240" s="4">
        <v>3.2</v>
      </c>
    </row>
    <row r="241" spans="1:6" x14ac:dyDescent="0.25">
      <c r="A241" s="2" t="s">
        <v>3</v>
      </c>
      <c r="B241" t="str">
        <f t="shared" si="12"/>
        <v>PERRISSOUD</v>
      </c>
      <c r="C241" t="str">
        <f t="shared" si="13"/>
        <v>NADIA</v>
      </c>
      <c r="D241">
        <v>4800</v>
      </c>
      <c r="E241" t="str">
        <f>"CSG DEDUCTIBLE"</f>
        <v>CSG DEDUCTIBLE</v>
      </c>
      <c r="F241" s="4">
        <v>287.27999999999997</v>
      </c>
    </row>
    <row r="242" spans="1:6" x14ac:dyDescent="0.25">
      <c r="A242" s="2" t="s">
        <v>3</v>
      </c>
      <c r="B242" t="str">
        <f t="shared" si="12"/>
        <v>PERRISSOUD</v>
      </c>
      <c r="C242" t="str">
        <f t="shared" si="13"/>
        <v>NADIA</v>
      </c>
      <c r="D242">
        <v>4801</v>
      </c>
      <c r="E242" t="str">
        <f>"CSG/CRDS NON DEDUCTIBLE"</f>
        <v>CSG/CRDS NON DEDUCTIBLE</v>
      </c>
      <c r="F242" s="4">
        <v>122.51</v>
      </c>
    </row>
    <row r="243" spans="1:6" x14ac:dyDescent="0.25">
      <c r="A243" s="2" t="s">
        <v>3</v>
      </c>
      <c r="B243" t="str">
        <f t="shared" si="12"/>
        <v>PERRISSOUD</v>
      </c>
      <c r="C243" t="str">
        <f t="shared" si="13"/>
        <v>NADIA</v>
      </c>
      <c r="D243">
        <v>6010</v>
      </c>
      <c r="E243" t="str">
        <f>"AVANTAGE EN NATURE"</f>
        <v>AVANTAGE EN NATURE</v>
      </c>
      <c r="F243" s="4">
        <v>-151.9</v>
      </c>
    </row>
    <row r="244" spans="1:6" x14ac:dyDescent="0.25">
      <c r="A244" s="2" t="s">
        <v>3</v>
      </c>
      <c r="B244" t="str">
        <f t="shared" si="12"/>
        <v>PERRISSOUD</v>
      </c>
      <c r="C244" t="str">
        <f t="shared" si="13"/>
        <v>NADIA</v>
      </c>
      <c r="D244">
        <v>6014</v>
      </c>
      <c r="E244" t="str">
        <f>"Frais professionnel DSN"</f>
        <v>Frais professionnel DSN</v>
      </c>
      <c r="F244" s="4">
        <v>1113.1199999999999</v>
      </c>
    </row>
    <row r="245" spans="1:6" x14ac:dyDescent="0.25">
      <c r="A245" s="2" t="s">
        <v>3</v>
      </c>
      <c r="B245" t="str">
        <f t="shared" si="12"/>
        <v>PERRISSOUD</v>
      </c>
      <c r="C245" t="str">
        <f t="shared" si="13"/>
        <v>NADIA</v>
      </c>
      <c r="D245">
        <v>6030</v>
      </c>
      <c r="E245" t="str">
        <f>"TITRES RESTAURANT"</f>
        <v>TITRES RESTAURANT</v>
      </c>
      <c r="F245" s="4">
        <v>-27</v>
      </c>
    </row>
    <row r="246" spans="1:6" x14ac:dyDescent="0.25">
      <c r="A246" s="2" t="s">
        <v>3</v>
      </c>
      <c r="B246" t="str">
        <f t="shared" si="12"/>
        <v>PERRISSOUD</v>
      </c>
      <c r="C246" t="str">
        <f t="shared" si="13"/>
        <v>NADIA</v>
      </c>
      <c r="D246">
        <v>6031</v>
      </c>
      <c r="E246" t="str">
        <f>"TITRES RESTAURANT PP"</f>
        <v>TITRES RESTAURANT PP</v>
      </c>
      <c r="F246" s="4">
        <v>-40.5</v>
      </c>
    </row>
    <row r="247" spans="1:6" x14ac:dyDescent="0.25">
      <c r="A247" s="2" t="s">
        <v>3</v>
      </c>
      <c r="B247" t="str">
        <f t="shared" si="12"/>
        <v>PERRISSOUD</v>
      </c>
      <c r="C247" t="str">
        <f t="shared" si="13"/>
        <v>NADIA</v>
      </c>
      <c r="D247">
        <v>6210</v>
      </c>
      <c r="E247" t="str">
        <f>"RTT ACQUIS DU MOIS"</f>
        <v>RTT ACQUIS DU MOIS</v>
      </c>
      <c r="F247" s="4">
        <v>0.66</v>
      </c>
    </row>
    <row r="248" spans="1:6" x14ac:dyDescent="0.25">
      <c r="A248" s="2" t="s">
        <v>3</v>
      </c>
      <c r="B248" t="str">
        <f t="shared" si="12"/>
        <v>PERRISSOUD</v>
      </c>
      <c r="C248" t="str">
        <f t="shared" si="13"/>
        <v>NADIA</v>
      </c>
      <c r="D248">
        <v>6220</v>
      </c>
      <c r="E248" t="str">
        <f>"RTT SOLDE FIN DE MOIS"</f>
        <v>RTT SOLDE FIN DE MOIS</v>
      </c>
      <c r="F248" s="4">
        <v>2.08</v>
      </c>
    </row>
    <row r="249" spans="1:6" x14ac:dyDescent="0.25">
      <c r="A249" s="2" t="s">
        <v>3</v>
      </c>
      <c r="B249" t="str">
        <f t="shared" si="12"/>
        <v>PERRISSOUD</v>
      </c>
      <c r="C249" t="str">
        <f t="shared" si="13"/>
        <v>NADIA</v>
      </c>
      <c r="D249">
        <v>6250</v>
      </c>
      <c r="E249" t="str">
        <f>"ACQUIS CP N-1"</f>
        <v>ACQUIS CP N-1</v>
      </c>
      <c r="F249" s="4">
        <v>19.5</v>
      </c>
    </row>
    <row r="250" spans="1:6" x14ac:dyDescent="0.25">
      <c r="A250" s="2" t="s">
        <v>3</v>
      </c>
      <c r="B250" t="str">
        <f t="shared" si="12"/>
        <v>PERRISSOUD</v>
      </c>
      <c r="C250" t="str">
        <f t="shared" si="13"/>
        <v>NADIA</v>
      </c>
      <c r="D250">
        <v>6260</v>
      </c>
      <c r="E250" t="str">
        <f>"SOLDE CP N-1"</f>
        <v>SOLDE CP N-1</v>
      </c>
      <c r="F250" s="4">
        <v>19.5</v>
      </c>
    </row>
    <row r="251" spans="1:6" x14ac:dyDescent="0.25">
      <c r="A251" s="2" t="s">
        <v>3</v>
      </c>
      <c r="B251" t="str">
        <f t="shared" si="12"/>
        <v>PERRISSOUD</v>
      </c>
      <c r="C251" t="str">
        <f t="shared" si="13"/>
        <v>NADIA</v>
      </c>
      <c r="D251">
        <v>6265</v>
      </c>
      <c r="E251" t="str">
        <f>"ACQUIS CP N"</f>
        <v>ACQUIS CP N</v>
      </c>
      <c r="F251" s="4">
        <v>10</v>
      </c>
    </row>
    <row r="252" spans="1:6" x14ac:dyDescent="0.25">
      <c r="A252" s="2" t="s">
        <v>3</v>
      </c>
      <c r="B252" t="str">
        <f t="shared" si="12"/>
        <v>PERRISSOUD</v>
      </c>
      <c r="C252" t="str">
        <f t="shared" si="13"/>
        <v>NADIA</v>
      </c>
      <c r="D252">
        <v>7092</v>
      </c>
      <c r="E252" t="str">
        <f>"TX CHG PAT SOC"</f>
        <v>TX CHG PAT SOC</v>
      </c>
      <c r="F252" s="4">
        <v>43.13</v>
      </c>
    </row>
    <row r="253" spans="1:6" x14ac:dyDescent="0.25">
      <c r="A253" s="2" t="s">
        <v>3</v>
      </c>
      <c r="B253" t="str">
        <f t="shared" si="12"/>
        <v>PERRISSOUD</v>
      </c>
      <c r="C253" t="str">
        <f t="shared" si="13"/>
        <v>NADIA</v>
      </c>
      <c r="D253">
        <v>7105</v>
      </c>
      <c r="E253" t="str">
        <f>"PROV CP  SALAIRE"</f>
        <v>PROV CP  SALAIRE</v>
      </c>
      <c r="F253" s="4">
        <v>5646.89</v>
      </c>
    </row>
    <row r="254" spans="1:6" x14ac:dyDescent="0.25">
      <c r="A254" s="2" t="s">
        <v>3</v>
      </c>
      <c r="B254" t="str">
        <f t="shared" si="12"/>
        <v>PERRISSOUD</v>
      </c>
      <c r="C254" t="str">
        <f t="shared" si="13"/>
        <v>NADIA</v>
      </c>
      <c r="D254">
        <v>7115</v>
      </c>
      <c r="E254" t="str">
        <f>"PROV CP N CHG PAT SOC"</f>
        <v>PROV CP N CHG PAT SOC</v>
      </c>
      <c r="F254" s="4">
        <v>2435.5</v>
      </c>
    </row>
    <row r="255" spans="1:6" x14ac:dyDescent="0.25">
      <c r="A255" s="2" t="s">
        <v>3</v>
      </c>
      <c r="B255" t="str">
        <f t="shared" si="12"/>
        <v>PERRISSOUD</v>
      </c>
      <c r="C255" t="str">
        <f t="shared" si="13"/>
        <v>NADIA</v>
      </c>
      <c r="D255">
        <v>7125</v>
      </c>
      <c r="E255" t="str">
        <f>"AN PROV CP N SALAIRE"</f>
        <v>AN PROV CP N SALAIRE</v>
      </c>
      <c r="F255" s="4">
        <v>-5327.22</v>
      </c>
    </row>
    <row r="256" spans="1:6" x14ac:dyDescent="0.25">
      <c r="A256" s="2" t="s">
        <v>3</v>
      </c>
      <c r="B256" t="str">
        <f t="shared" si="12"/>
        <v>PERRISSOUD</v>
      </c>
      <c r="C256" t="str">
        <f t="shared" si="13"/>
        <v>NADIA</v>
      </c>
      <c r="D256">
        <v>7135</v>
      </c>
      <c r="E256" t="str">
        <f>"AN PROV CP N CHG PAT SOC"</f>
        <v>AN PROV CP N CHG PAT SOC</v>
      </c>
      <c r="F256" s="4">
        <v>-2296.56</v>
      </c>
    </row>
    <row r="257" spans="1:6" x14ac:dyDescent="0.25">
      <c r="A257" s="2" t="s">
        <v>3</v>
      </c>
      <c r="B257" t="str">
        <f t="shared" si="12"/>
        <v>PERRISSOUD</v>
      </c>
      <c r="C257" t="str">
        <f t="shared" si="13"/>
        <v>NADIA</v>
      </c>
      <c r="D257">
        <v>7210</v>
      </c>
      <c r="E257" t="str">
        <f>"PROV RTT SALAIRE"</f>
        <v>PROV RTT SALAIRE</v>
      </c>
      <c r="F257" s="4">
        <v>398.15</v>
      </c>
    </row>
    <row r="258" spans="1:6" x14ac:dyDescent="0.25">
      <c r="A258" s="2" t="s">
        <v>3</v>
      </c>
      <c r="B258" t="str">
        <f t="shared" si="12"/>
        <v>PERRISSOUD</v>
      </c>
      <c r="C258" t="str">
        <f t="shared" si="13"/>
        <v>NADIA</v>
      </c>
      <c r="D258">
        <v>7220</v>
      </c>
      <c r="E258" t="str">
        <f>"PROV RTT CHG PAT SOC"</f>
        <v>PROV RTT CHG PAT SOC</v>
      </c>
      <c r="F258" s="4">
        <v>171.72</v>
      </c>
    </row>
    <row r="259" spans="1:6" x14ac:dyDescent="0.25">
      <c r="A259" s="2" t="s">
        <v>3</v>
      </c>
      <c r="B259" t="str">
        <f t="shared" si="12"/>
        <v>PERRISSOUD</v>
      </c>
      <c r="C259" t="str">
        <f t="shared" si="13"/>
        <v>NADIA</v>
      </c>
      <c r="D259">
        <v>7230</v>
      </c>
      <c r="E259" t="str">
        <f>"AN PROV RTT SALAIRE"</f>
        <v>AN PROV RTT SALAIRE</v>
      </c>
      <c r="F259" s="4">
        <v>-271.82</v>
      </c>
    </row>
    <row r="260" spans="1:6" x14ac:dyDescent="0.25">
      <c r="A260" s="2" t="s">
        <v>3</v>
      </c>
      <c r="B260" t="str">
        <f t="shared" si="12"/>
        <v>PERRISSOUD</v>
      </c>
      <c r="C260" t="str">
        <f t="shared" si="13"/>
        <v>NADIA</v>
      </c>
      <c r="D260">
        <v>7240</v>
      </c>
      <c r="E260" t="str">
        <f>"AN PROV RTT CHG PAT SOC"</f>
        <v>AN PROV RTT CHG PAT SOC</v>
      </c>
      <c r="F260" s="4">
        <v>-117.18</v>
      </c>
    </row>
    <row r="261" spans="1:6" x14ac:dyDescent="0.25">
      <c r="A261" s="2" t="s">
        <v>3</v>
      </c>
      <c r="B261" t="str">
        <f t="shared" si="12"/>
        <v>PERRISSOUD</v>
      </c>
      <c r="C261" t="str">
        <f t="shared" si="13"/>
        <v>NADIA</v>
      </c>
      <c r="D261">
        <v>8030</v>
      </c>
      <c r="E261" t="str">
        <f>"NB JOURS CALENDAIRES"</f>
        <v>NB JOURS CALENDAIRES</v>
      </c>
      <c r="F261" s="4">
        <v>30</v>
      </c>
    </row>
    <row r="262" spans="1:6" x14ac:dyDescent="0.25">
      <c r="A262" s="2" t="s">
        <v>3</v>
      </c>
      <c r="B262" t="str">
        <f t="shared" si="12"/>
        <v>PERRISSOUD</v>
      </c>
      <c r="C262" t="str">
        <f t="shared" si="13"/>
        <v>NADIA</v>
      </c>
      <c r="D262">
        <v>7305</v>
      </c>
      <c r="E262" t="str">
        <f>"P PrimesVac SALAIRE"</f>
        <v>P PrimesVac SALAIRE</v>
      </c>
      <c r="F262" s="4">
        <v>1039.8399999999999</v>
      </c>
    </row>
    <row r="263" spans="1:6" x14ac:dyDescent="0.25">
      <c r="A263" s="2" t="s">
        <v>3</v>
      </c>
      <c r="B263" t="str">
        <f t="shared" si="12"/>
        <v>PERRISSOUD</v>
      </c>
      <c r="C263" t="str">
        <f t="shared" si="13"/>
        <v>NADIA</v>
      </c>
      <c r="D263">
        <v>7315</v>
      </c>
      <c r="E263" t="str">
        <f>"P PrimesVac CHG PAT SOC"</f>
        <v>P PrimesVac CHG PAT SOC</v>
      </c>
      <c r="F263" s="4">
        <v>448.48</v>
      </c>
    </row>
    <row r="264" spans="1:6" x14ac:dyDescent="0.25">
      <c r="A264" s="2" t="s">
        <v>3</v>
      </c>
      <c r="B264" t="str">
        <f t="shared" si="12"/>
        <v>PERRISSOUD</v>
      </c>
      <c r="C264" t="str">
        <f t="shared" si="13"/>
        <v>NADIA</v>
      </c>
      <c r="D264">
        <v>7325</v>
      </c>
      <c r="E264" t="str">
        <f>"A PROV PrimesVac SALAIRE"</f>
        <v>A PROV PrimesVac SALAIRE</v>
      </c>
      <c r="F264" s="4">
        <v>-869.38</v>
      </c>
    </row>
    <row r="265" spans="1:6" x14ac:dyDescent="0.25">
      <c r="A265" s="2" t="s">
        <v>3</v>
      </c>
      <c r="B265" t="str">
        <f t="shared" si="12"/>
        <v>PERRISSOUD</v>
      </c>
      <c r="C265" t="str">
        <f t="shared" si="13"/>
        <v>NADIA</v>
      </c>
      <c r="D265">
        <v>7335</v>
      </c>
      <c r="E265" t="str">
        <f>"A PROV PrimesVac CHG PAT SOC"</f>
        <v>A PROV PrimesVac CHG PAT SOC</v>
      </c>
      <c r="F265" s="4">
        <v>-374.79</v>
      </c>
    </row>
    <row r="266" spans="1:6" x14ac:dyDescent="0.25">
      <c r="A266" s="2" t="s">
        <v>3</v>
      </c>
      <c r="B266" t="str">
        <f t="shared" si="12"/>
        <v>PERRISSOUD</v>
      </c>
      <c r="C266" t="str">
        <f t="shared" si="13"/>
        <v>NADIA</v>
      </c>
      <c r="D266">
        <v>7992</v>
      </c>
      <c r="E266" t="str">
        <f>"REINT PP MUTUELLE NET IMPOS"</f>
        <v>REINT PP MUTUELLE NET IMPOS</v>
      </c>
      <c r="F266" s="4">
        <v>75.87</v>
      </c>
    </row>
    <row r="267" spans="1:6" x14ac:dyDescent="0.25">
      <c r="A267" s="2" t="s">
        <v>3</v>
      </c>
      <c r="B267" t="str">
        <f t="shared" si="12"/>
        <v>PERRISSOUD</v>
      </c>
      <c r="C267" t="str">
        <f t="shared" si="13"/>
        <v>NADIA</v>
      </c>
      <c r="D267">
        <v>8005</v>
      </c>
      <c r="E267" t="str">
        <f>"HEURES TRAVAILLEES"</f>
        <v>HEURES TRAVAILLEES</v>
      </c>
      <c r="F267" s="4">
        <v>121.33</v>
      </c>
    </row>
    <row r="268" spans="1:6" x14ac:dyDescent="0.25">
      <c r="A268" s="2" t="s">
        <v>3</v>
      </c>
      <c r="B268" t="str">
        <f t="shared" si="12"/>
        <v>PERRISSOUD</v>
      </c>
      <c r="C268" t="str">
        <f t="shared" si="13"/>
        <v>NADIA</v>
      </c>
      <c r="D268">
        <v>8010</v>
      </c>
      <c r="E268" t="str">
        <f>"HEURES REMUNEREES"</f>
        <v>HEURES REMUNEREES</v>
      </c>
      <c r="F268" s="4">
        <v>121.33</v>
      </c>
    </row>
    <row r="269" spans="1:6" x14ac:dyDescent="0.25">
      <c r="A269" s="2" t="s">
        <v>3</v>
      </c>
      <c r="B269" t="str">
        <f t="shared" si="12"/>
        <v>PERRISSOUD</v>
      </c>
      <c r="C269" t="str">
        <f t="shared" si="13"/>
        <v>NADIA</v>
      </c>
      <c r="D269">
        <v>8015</v>
      </c>
      <c r="E269" t="str">
        <f>"HEURES REMUNEREES FILLON"</f>
        <v>HEURES REMUNEREES FILLON</v>
      </c>
      <c r="F269" s="4">
        <v>121.13</v>
      </c>
    </row>
    <row r="270" spans="1:6" x14ac:dyDescent="0.25">
      <c r="A270" s="2" t="s">
        <v>3</v>
      </c>
      <c r="B270" t="str">
        <f t="shared" si="12"/>
        <v>PERRISSOUD</v>
      </c>
      <c r="C270" t="str">
        <f t="shared" si="13"/>
        <v>NADIA</v>
      </c>
      <c r="D270">
        <v>8202</v>
      </c>
      <c r="E270" t="str">
        <f>"DUREE REMUNEREE"</f>
        <v>DUREE REMUNEREE</v>
      </c>
      <c r="F270" s="4">
        <v>17.329999999999998</v>
      </c>
    </row>
    <row r="271" spans="1:6" x14ac:dyDescent="0.25">
      <c r="A271" s="2" t="s">
        <v>3</v>
      </c>
      <c r="B271" t="str">
        <f t="shared" si="12"/>
        <v>PERRISSOUD</v>
      </c>
      <c r="C271" t="str">
        <f t="shared" si="13"/>
        <v>NADIA</v>
      </c>
      <c r="D271">
        <v>8206</v>
      </c>
      <c r="E271" t="str">
        <f>"SALAIRE RETABLI"</f>
        <v>SALAIRE RETABLI</v>
      </c>
      <c r="F271" s="4">
        <v>4299.8999999999996</v>
      </c>
    </row>
    <row r="272" spans="1:6" x14ac:dyDescent="0.25">
      <c r="A272" s="2" t="s">
        <v>3</v>
      </c>
      <c r="B272" t="str">
        <f t="shared" si="12"/>
        <v>PERRISSOUD</v>
      </c>
      <c r="C272" t="str">
        <f t="shared" si="13"/>
        <v>NADIA</v>
      </c>
      <c r="D272">
        <v>8208</v>
      </c>
      <c r="E272" t="str">
        <f>"BRUT FISCAL"</f>
        <v>BRUT FISCAL</v>
      </c>
      <c r="F272" s="4">
        <v>4410.13</v>
      </c>
    </row>
    <row r="273" spans="1:6" x14ac:dyDescent="0.25">
      <c r="A273" s="2" t="s">
        <v>3</v>
      </c>
      <c r="B273" t="str">
        <f t="shared" si="12"/>
        <v>PERRISSOUD</v>
      </c>
      <c r="C273" t="str">
        <f t="shared" si="13"/>
        <v>NADIA</v>
      </c>
      <c r="D273">
        <v>9896</v>
      </c>
      <c r="E273" t="str">
        <f>"Prélèvement à la source"</f>
        <v>Prélèvement à la source</v>
      </c>
      <c r="F273" s="4">
        <v>-256.99</v>
      </c>
    </row>
    <row r="274" spans="1:6" x14ac:dyDescent="0.25">
      <c r="A274" s="2" t="s">
        <v>3</v>
      </c>
      <c r="B274" t="str">
        <f t="shared" si="12"/>
        <v>PERRISSOUD</v>
      </c>
      <c r="C274" t="str">
        <f t="shared" si="13"/>
        <v>NADIA</v>
      </c>
      <c r="D274">
        <v>9899</v>
      </c>
      <c r="E274" t="str">
        <f>"Extourne Net à Payer après PAS"</f>
        <v>Extourne Net à Payer après PAS</v>
      </c>
      <c r="F274" s="4">
        <v>-256.99</v>
      </c>
    </row>
    <row r="275" spans="1:6" x14ac:dyDescent="0.25">
      <c r="A275" s="2" t="s">
        <v>3</v>
      </c>
      <c r="B275" t="str">
        <f t="shared" si="12"/>
        <v>PERRISSOUD</v>
      </c>
      <c r="C275" t="str">
        <f t="shared" si="13"/>
        <v>NADIA</v>
      </c>
      <c r="D275">
        <v>9994</v>
      </c>
      <c r="E275" t="str">
        <f>"ETP Egalité F/H"</f>
        <v>ETP Egalité F/H</v>
      </c>
      <c r="F275" s="4">
        <v>0.8</v>
      </c>
    </row>
    <row r="276" spans="1:6" x14ac:dyDescent="0.25">
      <c r="A276" s="2" t="s">
        <v>3</v>
      </c>
      <c r="B276" t="str">
        <f t="shared" si="12"/>
        <v>PERRISSOUD</v>
      </c>
      <c r="C276" t="str">
        <f t="shared" si="13"/>
        <v>NADIA</v>
      </c>
      <c r="D276">
        <v>9995</v>
      </c>
      <c r="E276" t="str">
        <f>"ETP PRORTISE JOURS OUVRES"</f>
        <v>ETP PRORTISE JOURS OUVRES</v>
      </c>
      <c r="F276" s="4">
        <v>0.8</v>
      </c>
    </row>
    <row r="277" spans="1:6" x14ac:dyDescent="0.25">
      <c r="A277" s="2" t="s">
        <v>3</v>
      </c>
      <c r="B277" t="str">
        <f t="shared" si="12"/>
        <v>PERRISSOUD</v>
      </c>
      <c r="C277" t="str">
        <f t="shared" si="13"/>
        <v>NADIA</v>
      </c>
      <c r="D277">
        <v>9999</v>
      </c>
      <c r="E277" t="str">
        <f>"**Dont gain pouvoir d'achat**"</f>
        <v>**Dont gain pouvoir d'achat**</v>
      </c>
      <c r="F277" s="4">
        <v>61.76</v>
      </c>
    </row>
    <row r="278" spans="1:6" x14ac:dyDescent="0.25">
      <c r="A278" s="2" t="s">
        <v>3</v>
      </c>
      <c r="B278" t="str">
        <f t="shared" si="12"/>
        <v>PERRISSOUD</v>
      </c>
      <c r="C278" t="str">
        <f t="shared" si="13"/>
        <v>NADIA</v>
      </c>
      <c r="D278" t="str">
        <f>"PRESENCE"</f>
        <v>PRESENCE</v>
      </c>
      <c r="E278" t="str">
        <f>"Présence"</f>
        <v>Présence</v>
      </c>
      <c r="F278" s="4">
        <v>121.33</v>
      </c>
    </row>
    <row r="279" spans="1:6" x14ac:dyDescent="0.25">
      <c r="A279" s="2" t="s">
        <v>3</v>
      </c>
      <c r="B279" t="str">
        <f t="shared" si="12"/>
        <v>PERRISSOUD</v>
      </c>
      <c r="C279" t="str">
        <f t="shared" si="13"/>
        <v>NADIA</v>
      </c>
      <c r="D279" t="str">
        <f>"BRUT"</f>
        <v>BRUT</v>
      </c>
      <c r="E279" t="str">
        <f>"Brut"</f>
        <v>Brut</v>
      </c>
      <c r="F279" s="4">
        <v>4299.8999999999996</v>
      </c>
    </row>
    <row r="280" spans="1:6" x14ac:dyDescent="0.25">
      <c r="A280" s="2" t="s">
        <v>3</v>
      </c>
      <c r="B280" t="str">
        <f t="shared" si="12"/>
        <v>PERRISSOUD</v>
      </c>
      <c r="C280" t="str">
        <f t="shared" si="13"/>
        <v>NADIA</v>
      </c>
      <c r="D280" t="str">
        <f>"COTISAL"</f>
        <v>COTISAL</v>
      </c>
      <c r="E280" t="str">
        <f>"Cotisations salariales"</f>
        <v>Cotisations salariales</v>
      </c>
      <c r="F280" s="4">
        <v>932.22</v>
      </c>
    </row>
    <row r="281" spans="1:6" x14ac:dyDescent="0.25">
      <c r="A281" s="2" t="s">
        <v>3</v>
      </c>
      <c r="B281" t="str">
        <f t="shared" si="12"/>
        <v>PERRISSOUD</v>
      </c>
      <c r="C281" t="str">
        <f t="shared" si="13"/>
        <v>NADIA</v>
      </c>
      <c r="D281" t="str">
        <f>"COTIPAT"</f>
        <v>COTIPAT</v>
      </c>
      <c r="E281" t="str">
        <f>"Cotisations patronales"</f>
        <v>Cotisations patronales</v>
      </c>
      <c r="F281" s="4">
        <v>1969.05</v>
      </c>
    </row>
    <row r="282" spans="1:6" x14ac:dyDescent="0.25">
      <c r="A282" s="2" t="s">
        <v>3</v>
      </c>
      <c r="B282" t="str">
        <f t="shared" si="12"/>
        <v>PERRISSOUD</v>
      </c>
      <c r="C282" t="str">
        <f t="shared" si="13"/>
        <v>NADIA</v>
      </c>
      <c r="D282" t="str">
        <f>"NETPAIE"</f>
        <v>NETPAIE</v>
      </c>
      <c r="E282" t="str">
        <f>"Net à payer"</f>
        <v>Net à payer</v>
      </c>
      <c r="F282" s="4">
        <v>2931.79</v>
      </c>
    </row>
    <row r="283" spans="1:6" x14ac:dyDescent="0.25">
      <c r="A283" s="2" t="s">
        <v>3</v>
      </c>
      <c r="B283" t="str">
        <f t="shared" si="12"/>
        <v>PERRISSOUD</v>
      </c>
      <c r="C283" t="str">
        <f t="shared" si="13"/>
        <v>NADIA</v>
      </c>
      <c r="D283" t="str">
        <f>"NETIMPO"</f>
        <v>NETIMPO</v>
      </c>
      <c r="E283" t="str">
        <f>"Net imposable"</f>
        <v>Net imposable</v>
      </c>
      <c r="F283" s="4">
        <v>3569.26</v>
      </c>
    </row>
    <row r="284" spans="1:6" x14ac:dyDescent="0.25">
      <c r="A284" s="2" t="s">
        <v>3</v>
      </c>
      <c r="B284" t="str">
        <f t="shared" ref="B284:B294" si="14">"PERRISSOUD"</f>
        <v>PERRISSOUD</v>
      </c>
      <c r="C284" t="str">
        <f t="shared" ref="C284:C294" si="15">"NADIA"</f>
        <v>NADIA</v>
      </c>
      <c r="D284" t="str">
        <f>"AVANTUR"</f>
        <v>AVANTUR</v>
      </c>
      <c r="E284" t="str">
        <f>"Avantages en nature"</f>
        <v>Avantages en nature</v>
      </c>
      <c r="F284" s="4">
        <v>151.9</v>
      </c>
    </row>
    <row r="285" spans="1:6" x14ac:dyDescent="0.25">
      <c r="A285" s="2" t="s">
        <v>3</v>
      </c>
      <c r="B285" t="str">
        <f t="shared" si="14"/>
        <v>PERRISSOUD</v>
      </c>
      <c r="C285" t="str">
        <f t="shared" si="15"/>
        <v>NADIA</v>
      </c>
      <c r="D285" t="str">
        <f>"TOTALHTRAV"</f>
        <v>TOTALHTRAV</v>
      </c>
      <c r="E285" t="str">
        <f>"Total des heures travaillées"</f>
        <v>Total des heures travaillées</v>
      </c>
      <c r="F285" s="4">
        <v>121.33</v>
      </c>
    </row>
    <row r="286" spans="1:6" x14ac:dyDescent="0.25">
      <c r="A286" s="2" t="s">
        <v>3</v>
      </c>
      <c r="B286" t="str">
        <f t="shared" si="14"/>
        <v>PERRISSOUD</v>
      </c>
      <c r="C286" t="str">
        <f t="shared" si="15"/>
        <v>NADIA</v>
      </c>
      <c r="D286" t="str">
        <f>"TOTALHS"</f>
        <v>TOTALHS</v>
      </c>
      <c r="E286" t="str">
        <f>"Total des hres supplémentaires"</f>
        <v>Total des hres supplémentaires</v>
      </c>
      <c r="F286" s="4">
        <v>0</v>
      </c>
    </row>
    <row r="287" spans="1:6" x14ac:dyDescent="0.25">
      <c r="A287" s="2" t="s">
        <v>3</v>
      </c>
      <c r="B287" t="str">
        <f t="shared" si="14"/>
        <v>PERRISSOUD</v>
      </c>
      <c r="C287" t="str">
        <f t="shared" si="15"/>
        <v>NADIA</v>
      </c>
      <c r="D287" t="str">
        <f>"TOTALHC"</f>
        <v>TOTALHC</v>
      </c>
      <c r="E287" t="str">
        <f>"Total des hres complémentaires"</f>
        <v>Total des hres complémentaires</v>
      </c>
      <c r="F287" s="4">
        <v>0</v>
      </c>
    </row>
    <row r="288" spans="1:6" x14ac:dyDescent="0.25">
      <c r="A288" s="2" t="s">
        <v>3</v>
      </c>
      <c r="B288" t="str">
        <f t="shared" si="14"/>
        <v>PERRISSOUD</v>
      </c>
      <c r="C288" t="str">
        <f t="shared" si="15"/>
        <v>NADIA</v>
      </c>
      <c r="D288" t="str">
        <f>"TOTALHA"</f>
        <v>TOTALHA</v>
      </c>
      <c r="E288" t="str">
        <f>"Total des heures d'absence"</f>
        <v>Total des heures d'absence</v>
      </c>
      <c r="F288" s="4">
        <v>0</v>
      </c>
    </row>
    <row r="289" spans="1:6" x14ac:dyDescent="0.25">
      <c r="A289" s="2" t="s">
        <v>3</v>
      </c>
      <c r="B289" t="str">
        <f t="shared" si="14"/>
        <v>PERRISSOUD</v>
      </c>
      <c r="C289" t="str">
        <f t="shared" si="15"/>
        <v>NADIA</v>
      </c>
      <c r="D289" t="str">
        <f>"ABSENCE"</f>
        <v>ABSENCE</v>
      </c>
      <c r="E289" t="str">
        <f>"Absence"</f>
        <v>Absence</v>
      </c>
      <c r="F289" s="4">
        <v>0</v>
      </c>
    </row>
    <row r="290" spans="1:6" x14ac:dyDescent="0.25">
      <c r="A290" s="2" t="s">
        <v>3</v>
      </c>
      <c r="B290" t="str">
        <f t="shared" si="14"/>
        <v>PERRISSOUD</v>
      </c>
      <c r="C290" t="str">
        <f t="shared" si="15"/>
        <v>NADIA</v>
      </c>
      <c r="D290" t="str">
        <f>"COACMOIS"</f>
        <v>COACMOIS</v>
      </c>
      <c r="E290" t="str">
        <f>"Congés acquis dans le mois"</f>
        <v>Congés acquis dans le mois</v>
      </c>
      <c r="F290" s="4">
        <v>1.67</v>
      </c>
    </row>
    <row r="291" spans="1:6" x14ac:dyDescent="0.25">
      <c r="A291" s="2" t="s">
        <v>3</v>
      </c>
      <c r="B291" t="str">
        <f t="shared" si="14"/>
        <v>PERRISSOUD</v>
      </c>
      <c r="C291" t="str">
        <f t="shared" si="15"/>
        <v>NADIA</v>
      </c>
      <c r="D291" t="str">
        <f>"COPRIMOI"</f>
        <v>COPRIMOI</v>
      </c>
      <c r="E291" t="str">
        <f>"Congés pris dans le mois"</f>
        <v>Congés pris dans le mois</v>
      </c>
      <c r="F291" s="4">
        <v>0</v>
      </c>
    </row>
    <row r="292" spans="1:6" x14ac:dyDescent="0.25">
      <c r="A292" s="2" t="s">
        <v>3</v>
      </c>
      <c r="B292" t="str">
        <f t="shared" si="14"/>
        <v>PERRISSOUD</v>
      </c>
      <c r="C292" t="str">
        <f t="shared" si="15"/>
        <v>NADIA</v>
      </c>
      <c r="D292" t="str">
        <f>"TOTALPRES"</f>
        <v>TOTALPRES</v>
      </c>
      <c r="E292" t="str">
        <f>"Total des heures de présence"</f>
        <v>Total des heures de présence</v>
      </c>
      <c r="F292" s="4">
        <v>121.33</v>
      </c>
    </row>
    <row r="293" spans="1:6" x14ac:dyDescent="0.25">
      <c r="A293" s="2" t="s">
        <v>3</v>
      </c>
      <c r="B293" t="str">
        <f t="shared" si="14"/>
        <v>PERRISSOUD</v>
      </c>
      <c r="C293" t="str">
        <f t="shared" si="15"/>
        <v>NADIA</v>
      </c>
      <c r="D293" t="str">
        <f>"TOTHANA"</f>
        <v>TOTHANA</v>
      </c>
      <c r="E293" t="str">
        <f>"Total des heures / Analytique"</f>
        <v>Total des heures / Analytique</v>
      </c>
      <c r="F293" s="4">
        <v>0</v>
      </c>
    </row>
    <row r="294" spans="1:6" x14ac:dyDescent="0.25">
      <c r="A294" s="2" t="s">
        <v>3</v>
      </c>
      <c r="B294" t="str">
        <f t="shared" si="14"/>
        <v>PERRISSOUD</v>
      </c>
      <c r="C294" t="str">
        <f t="shared" si="15"/>
        <v>NADIA</v>
      </c>
      <c r="D294" t="str">
        <f>"COUT_TOTAL"</f>
        <v>COUT_TOTAL</v>
      </c>
      <c r="E294" t="str">
        <f>"Cout total"</f>
        <v>Cout total</v>
      </c>
      <c r="F294" s="4">
        <v>6268.95</v>
      </c>
    </row>
    <row r="295" spans="1:6" x14ac:dyDescent="0.25">
      <c r="A295" s="1" t="s">
        <v>4</v>
      </c>
      <c r="B295" t="str">
        <f t="shared" ref="B295:B358" si="16">"GIRAUD"</f>
        <v>GIRAUD</v>
      </c>
      <c r="C295" t="str">
        <f t="shared" ref="C295:C358" si="17">"Hervé"</f>
        <v>Hervé</v>
      </c>
      <c r="D295">
        <v>1</v>
      </c>
      <c r="E295" t="str">
        <f>"**GMP DU MOIS"</f>
        <v>**GMP DU MOIS</v>
      </c>
      <c r="F295" s="4">
        <v>353.82</v>
      </c>
    </row>
    <row r="296" spans="1:6" x14ac:dyDescent="0.25">
      <c r="A296" s="1" t="s">
        <v>4</v>
      </c>
      <c r="B296" t="str">
        <f t="shared" si="16"/>
        <v>GIRAUD</v>
      </c>
      <c r="C296" t="str">
        <f t="shared" si="17"/>
        <v>Hervé</v>
      </c>
      <c r="D296">
        <v>10</v>
      </c>
      <c r="E296" t="str">
        <f>"SALAIRE DE BASE"</f>
        <v>SALAIRE DE BASE</v>
      </c>
      <c r="F296" s="4">
        <v>4400</v>
      </c>
    </row>
    <row r="297" spans="1:6" x14ac:dyDescent="0.25">
      <c r="A297" s="1" t="s">
        <v>4</v>
      </c>
      <c r="B297" t="str">
        <f t="shared" si="16"/>
        <v>GIRAUD</v>
      </c>
      <c r="C297" t="str">
        <f t="shared" si="17"/>
        <v>Hervé</v>
      </c>
      <c r="D297">
        <v>1750</v>
      </c>
      <c r="E297" t="str">
        <f>"AVANTAGE EN NATURE VOITURE"</f>
        <v>AVANTAGE EN NATURE VOITURE</v>
      </c>
      <c r="F297" s="4">
        <v>121.91</v>
      </c>
    </row>
    <row r="298" spans="1:6" x14ac:dyDescent="0.25">
      <c r="A298" s="1" t="s">
        <v>4</v>
      </c>
      <c r="B298" t="str">
        <f t="shared" si="16"/>
        <v>GIRAUD</v>
      </c>
      <c r="C298" t="str">
        <f t="shared" si="17"/>
        <v>Hervé</v>
      </c>
      <c r="D298">
        <v>1986</v>
      </c>
      <c r="E298" t="str">
        <f>"DSN - Nb jrs calendaires PSS"</f>
        <v>DSN - Nb jrs calendaires PSS</v>
      </c>
      <c r="F298" s="4">
        <v>30</v>
      </c>
    </row>
    <row r="299" spans="1:6" x14ac:dyDescent="0.25">
      <c r="A299" s="1" t="s">
        <v>4</v>
      </c>
      <c r="B299" t="str">
        <f t="shared" si="16"/>
        <v>GIRAUD</v>
      </c>
      <c r="C299" t="str">
        <f t="shared" si="17"/>
        <v>Hervé</v>
      </c>
      <c r="D299">
        <v>3014</v>
      </c>
      <c r="E299" t="str">
        <f>"SS VIEIL DEPLAFONNEE"</f>
        <v>SS VIEIL DEPLAFONNEE</v>
      </c>
      <c r="F299" s="4">
        <v>18.09</v>
      </c>
    </row>
    <row r="300" spans="1:6" x14ac:dyDescent="0.25">
      <c r="A300" s="1" t="s">
        <v>4</v>
      </c>
      <c r="B300" t="str">
        <f t="shared" si="16"/>
        <v>GIRAUD</v>
      </c>
      <c r="C300" t="str">
        <f t="shared" si="17"/>
        <v>Hervé</v>
      </c>
      <c r="D300">
        <v>3110</v>
      </c>
      <c r="E300" t="str">
        <f>"SS CG VIEILLESSE TA"</f>
        <v>SS CG VIEILLESSE TA</v>
      </c>
      <c r="F300" s="4">
        <v>233.01</v>
      </c>
    </row>
    <row r="301" spans="1:6" x14ac:dyDescent="0.25">
      <c r="A301" s="1" t="s">
        <v>4</v>
      </c>
      <c r="B301" t="str">
        <f t="shared" si="16"/>
        <v>GIRAUD</v>
      </c>
      <c r="C301" t="str">
        <f t="shared" si="17"/>
        <v>Hervé</v>
      </c>
      <c r="D301">
        <v>3504</v>
      </c>
      <c r="E301" t="str">
        <f>"**LIMITE D'EXO AF"</f>
        <v>**LIMITE D'EXO AF</v>
      </c>
      <c r="F301" s="4">
        <v>2434</v>
      </c>
    </row>
    <row r="302" spans="1:6" x14ac:dyDescent="0.25">
      <c r="A302" s="1" t="s">
        <v>4</v>
      </c>
      <c r="B302" t="str">
        <f t="shared" si="16"/>
        <v>GIRAUD</v>
      </c>
      <c r="C302" t="str">
        <f t="shared" si="17"/>
        <v>Hervé</v>
      </c>
      <c r="D302">
        <v>3501</v>
      </c>
      <c r="E302" t="str">
        <f>"** HISTORISATION REMUNERATION"</f>
        <v>** HISTORISATION REMUNERATION</v>
      </c>
      <c r="F302" s="4">
        <v>4521.91</v>
      </c>
    </row>
    <row r="303" spans="1:6" x14ac:dyDescent="0.25">
      <c r="A303" s="1" t="s">
        <v>4</v>
      </c>
      <c r="B303" t="str">
        <f t="shared" si="16"/>
        <v>GIRAUD</v>
      </c>
      <c r="C303" t="str">
        <f t="shared" si="17"/>
        <v>Hervé</v>
      </c>
      <c r="D303">
        <v>4031</v>
      </c>
      <c r="E303" t="str">
        <f>"Réduction salariale chômage"</f>
        <v>Réduction salariale chômage</v>
      </c>
      <c r="F303" s="4">
        <v>-108.53</v>
      </c>
    </row>
    <row r="304" spans="1:6" x14ac:dyDescent="0.25">
      <c r="A304" s="1" t="s">
        <v>4</v>
      </c>
      <c r="B304" t="str">
        <f t="shared" si="16"/>
        <v>GIRAUD</v>
      </c>
      <c r="C304" t="str">
        <f t="shared" si="17"/>
        <v>Hervé</v>
      </c>
      <c r="D304">
        <v>4610</v>
      </c>
      <c r="E304" t="str">
        <f>"Retraite T1"</f>
        <v>Retraite T1</v>
      </c>
      <c r="F304" s="4">
        <v>106.38</v>
      </c>
    </row>
    <row r="305" spans="1:6" x14ac:dyDescent="0.25">
      <c r="A305" s="1" t="s">
        <v>4</v>
      </c>
      <c r="B305" t="str">
        <f t="shared" si="16"/>
        <v>GIRAUD</v>
      </c>
      <c r="C305" t="str">
        <f t="shared" si="17"/>
        <v>Hervé</v>
      </c>
      <c r="D305">
        <v>4615</v>
      </c>
      <c r="E305" t="str">
        <f>"Retraite T2"</f>
        <v>Retraite T2</v>
      </c>
      <c r="F305" s="4">
        <v>98.92</v>
      </c>
    </row>
    <row r="306" spans="1:6" x14ac:dyDescent="0.25">
      <c r="A306" s="1" t="s">
        <v>4</v>
      </c>
      <c r="B306" t="str">
        <f t="shared" si="16"/>
        <v>GIRAUD</v>
      </c>
      <c r="C306" t="str">
        <f t="shared" si="17"/>
        <v>Hervé</v>
      </c>
      <c r="D306">
        <v>4620</v>
      </c>
      <c r="E306" t="str">
        <f>"Contribut  Equilibre Technique"</f>
        <v>Contribut  Equilibre Technique</v>
      </c>
      <c r="F306" s="4">
        <v>6.33</v>
      </c>
    </row>
    <row r="307" spans="1:6" x14ac:dyDescent="0.25">
      <c r="A307" s="1" t="s">
        <v>4</v>
      </c>
      <c r="B307" t="str">
        <f t="shared" si="16"/>
        <v>GIRAUD</v>
      </c>
      <c r="C307" t="str">
        <f t="shared" si="17"/>
        <v>Hervé</v>
      </c>
      <c r="D307">
        <v>4625</v>
      </c>
      <c r="E307" t="str">
        <f>"CEG T1"</f>
        <v>CEG T1</v>
      </c>
      <c r="F307" s="4">
        <v>29.04</v>
      </c>
    </row>
    <row r="308" spans="1:6" x14ac:dyDescent="0.25">
      <c r="A308" s="1" t="s">
        <v>4</v>
      </c>
      <c r="B308" t="str">
        <f t="shared" si="16"/>
        <v>GIRAUD</v>
      </c>
      <c r="C308" t="str">
        <f t="shared" si="17"/>
        <v>Hervé</v>
      </c>
      <c r="D308">
        <v>4630</v>
      </c>
      <c r="E308" t="str">
        <f>"CEG T2"</f>
        <v>CEG T2</v>
      </c>
      <c r="F308" s="4">
        <v>12.37</v>
      </c>
    </row>
    <row r="309" spans="1:6" x14ac:dyDescent="0.25">
      <c r="A309" s="1" t="s">
        <v>4</v>
      </c>
      <c r="B309" t="str">
        <f t="shared" si="16"/>
        <v>GIRAUD</v>
      </c>
      <c r="C309" t="str">
        <f t="shared" si="17"/>
        <v>Hervé</v>
      </c>
      <c r="D309">
        <v>4635</v>
      </c>
      <c r="E309" t="str">
        <f>"APEC"</f>
        <v>APEC</v>
      </c>
      <c r="F309" s="4">
        <v>1.0900000000000001</v>
      </c>
    </row>
    <row r="310" spans="1:6" x14ac:dyDescent="0.25">
      <c r="A310" s="1" t="s">
        <v>4</v>
      </c>
      <c r="B310" t="str">
        <f t="shared" si="16"/>
        <v>GIRAUD</v>
      </c>
      <c r="C310" t="str">
        <f t="shared" si="17"/>
        <v>Hervé</v>
      </c>
      <c r="D310">
        <v>4720</v>
      </c>
      <c r="E310" t="str">
        <f>"PREVOYANCE TA CADRE"</f>
        <v>PREVOYANCE TA CADRE</v>
      </c>
      <c r="F310" s="4">
        <v>7.23</v>
      </c>
    </row>
    <row r="311" spans="1:6" x14ac:dyDescent="0.25">
      <c r="A311" s="1" t="s">
        <v>4</v>
      </c>
      <c r="B311" t="str">
        <f t="shared" si="16"/>
        <v>GIRAUD</v>
      </c>
      <c r="C311" t="str">
        <f t="shared" si="17"/>
        <v>Hervé</v>
      </c>
      <c r="D311">
        <v>4725</v>
      </c>
      <c r="E311" t="str">
        <f>"PREVOYANCE TB CADRE"</f>
        <v>PREVOYANCE TB CADRE</v>
      </c>
      <c r="F311" s="4">
        <v>6.75</v>
      </c>
    </row>
    <row r="312" spans="1:6" x14ac:dyDescent="0.25">
      <c r="A312" s="1" t="s">
        <v>4</v>
      </c>
      <c r="B312" t="str">
        <f t="shared" si="16"/>
        <v>GIRAUD</v>
      </c>
      <c r="C312" t="str">
        <f t="shared" si="17"/>
        <v>Hervé</v>
      </c>
      <c r="D312">
        <v>4774</v>
      </c>
      <c r="E312" t="str">
        <f>"MUTUELLE BASE OBLIGAT. CAD (M)"</f>
        <v>MUTUELLE BASE OBLIGAT. CAD (M)</v>
      </c>
      <c r="F312" s="4">
        <v>4.84</v>
      </c>
    </row>
    <row r="313" spans="1:6" x14ac:dyDescent="0.25">
      <c r="A313" s="1" t="s">
        <v>4</v>
      </c>
      <c r="B313" t="str">
        <f t="shared" si="16"/>
        <v>GIRAUD</v>
      </c>
      <c r="C313" t="str">
        <f t="shared" si="17"/>
        <v>Hervé</v>
      </c>
      <c r="D313">
        <v>4776</v>
      </c>
      <c r="E313" t="str">
        <f>"MUTUELLE SUR COMPL. CAD (M)"</f>
        <v>MUTUELLE SUR COMPL. CAD (M)</v>
      </c>
      <c r="F313" s="4">
        <v>11.82</v>
      </c>
    </row>
    <row r="314" spans="1:6" x14ac:dyDescent="0.25">
      <c r="A314" s="1" t="s">
        <v>4</v>
      </c>
      <c r="B314" t="str">
        <f t="shared" si="16"/>
        <v>GIRAUD</v>
      </c>
      <c r="C314" t="str">
        <f t="shared" si="17"/>
        <v>Hervé</v>
      </c>
      <c r="D314">
        <v>4797</v>
      </c>
      <c r="E314" t="str">
        <f>"CSG DEDUCTIBLE PREV-MUTUELLE"</f>
        <v>CSG DEDUCTIBLE PREV-MUTUELLE</v>
      </c>
      <c r="F314" s="4">
        <v>7.58</v>
      </c>
    </row>
    <row r="315" spans="1:6" x14ac:dyDescent="0.25">
      <c r="A315" s="1" t="s">
        <v>4</v>
      </c>
      <c r="B315" t="str">
        <f t="shared" si="16"/>
        <v>GIRAUD</v>
      </c>
      <c r="C315" t="str">
        <f t="shared" si="17"/>
        <v>Hervé</v>
      </c>
      <c r="D315">
        <v>4798</v>
      </c>
      <c r="E315" t="str">
        <f>"CSG/CRDS NON DED.PREV.MUTUELLE"</f>
        <v>CSG/CRDS NON DED.PREV.MUTUELLE</v>
      </c>
      <c r="F315" s="4">
        <v>3.23</v>
      </c>
    </row>
    <row r="316" spans="1:6" x14ac:dyDescent="0.25">
      <c r="A316" s="1" t="s">
        <v>4</v>
      </c>
      <c r="B316" t="str">
        <f t="shared" si="16"/>
        <v>GIRAUD</v>
      </c>
      <c r="C316" t="str">
        <f t="shared" si="17"/>
        <v>Hervé</v>
      </c>
      <c r="D316">
        <v>4800</v>
      </c>
      <c r="E316" t="str">
        <f>"CSG DEDUCTIBLE"</f>
        <v>CSG DEDUCTIBLE</v>
      </c>
      <c r="F316" s="4">
        <v>302.11</v>
      </c>
    </row>
    <row r="317" spans="1:6" x14ac:dyDescent="0.25">
      <c r="A317" s="1" t="s">
        <v>4</v>
      </c>
      <c r="B317" t="str">
        <f t="shared" si="16"/>
        <v>GIRAUD</v>
      </c>
      <c r="C317" t="str">
        <f t="shared" si="17"/>
        <v>Hervé</v>
      </c>
      <c r="D317">
        <v>4801</v>
      </c>
      <c r="E317" t="str">
        <f>"CSG/CRDS NON DEDUCTIBLE"</f>
        <v>CSG/CRDS NON DEDUCTIBLE</v>
      </c>
      <c r="F317" s="4">
        <v>128.84</v>
      </c>
    </row>
    <row r="318" spans="1:6" x14ac:dyDescent="0.25">
      <c r="A318" s="1" t="s">
        <v>4</v>
      </c>
      <c r="B318" t="str">
        <f t="shared" si="16"/>
        <v>GIRAUD</v>
      </c>
      <c r="C318" t="str">
        <f t="shared" si="17"/>
        <v>Hervé</v>
      </c>
      <c r="D318">
        <v>6010</v>
      </c>
      <c r="E318" t="str">
        <f>"AVANTAGE EN NATURE"</f>
        <v>AVANTAGE EN NATURE</v>
      </c>
      <c r="F318" s="4">
        <v>-121.91</v>
      </c>
    </row>
    <row r="319" spans="1:6" x14ac:dyDescent="0.25">
      <c r="A319" s="1" t="s">
        <v>4</v>
      </c>
      <c r="B319" t="str">
        <f t="shared" si="16"/>
        <v>GIRAUD</v>
      </c>
      <c r="C319" t="str">
        <f t="shared" si="17"/>
        <v>Hervé</v>
      </c>
      <c r="D319">
        <v>6014</v>
      </c>
      <c r="E319" t="str">
        <f>"Frais professionnel DSN"</f>
        <v>Frais professionnel DSN</v>
      </c>
      <c r="F319" s="4">
        <v>360.82</v>
      </c>
    </row>
    <row r="320" spans="1:6" x14ac:dyDescent="0.25">
      <c r="A320" s="1" t="s">
        <v>4</v>
      </c>
      <c r="B320" t="str">
        <f t="shared" si="16"/>
        <v>GIRAUD</v>
      </c>
      <c r="C320" t="str">
        <f t="shared" si="17"/>
        <v>Hervé</v>
      </c>
      <c r="D320">
        <v>6030</v>
      </c>
      <c r="E320" t="str">
        <f>"TITRES RESTAURANT"</f>
        <v>TITRES RESTAURANT</v>
      </c>
      <c r="F320" s="4">
        <v>-57</v>
      </c>
    </row>
    <row r="321" spans="1:6" x14ac:dyDescent="0.25">
      <c r="A321" s="1" t="s">
        <v>4</v>
      </c>
      <c r="B321" t="str">
        <f t="shared" si="16"/>
        <v>GIRAUD</v>
      </c>
      <c r="C321" t="str">
        <f t="shared" si="17"/>
        <v>Hervé</v>
      </c>
      <c r="D321">
        <v>6031</v>
      </c>
      <c r="E321" t="str">
        <f>"TITRES RESTAURANT PP"</f>
        <v>TITRES RESTAURANT PP</v>
      </c>
      <c r="F321" s="4">
        <v>-85.5</v>
      </c>
    </row>
    <row r="322" spans="1:6" x14ac:dyDescent="0.25">
      <c r="A322" s="1" t="s">
        <v>4</v>
      </c>
      <c r="B322" t="str">
        <f t="shared" si="16"/>
        <v>GIRAUD</v>
      </c>
      <c r="C322" t="str">
        <f t="shared" si="17"/>
        <v>Hervé</v>
      </c>
      <c r="D322">
        <v>6210</v>
      </c>
      <c r="E322" t="str">
        <f>"RTT ACQUIS DU MOIS"</f>
        <v>RTT ACQUIS DU MOIS</v>
      </c>
      <c r="F322" s="4">
        <v>0.83</v>
      </c>
    </row>
    <row r="323" spans="1:6" x14ac:dyDescent="0.25">
      <c r="A323" s="1" t="s">
        <v>4</v>
      </c>
      <c r="B323" t="str">
        <f t="shared" si="16"/>
        <v>GIRAUD</v>
      </c>
      <c r="C323" t="str">
        <f t="shared" si="17"/>
        <v>Hervé</v>
      </c>
      <c r="D323">
        <v>6220</v>
      </c>
      <c r="E323" t="str">
        <f>"RTT SOLDE FIN DE MOIS"</f>
        <v>RTT SOLDE FIN DE MOIS</v>
      </c>
      <c r="F323" s="4">
        <v>8.1300000000000008</v>
      </c>
    </row>
    <row r="324" spans="1:6" x14ac:dyDescent="0.25">
      <c r="A324" s="1" t="s">
        <v>4</v>
      </c>
      <c r="B324" t="str">
        <f t="shared" si="16"/>
        <v>GIRAUD</v>
      </c>
      <c r="C324" t="str">
        <f t="shared" si="17"/>
        <v>Hervé</v>
      </c>
      <c r="D324">
        <v>6250</v>
      </c>
      <c r="E324" t="str">
        <f>"ACQUIS CP N-1"</f>
        <v>ACQUIS CP N-1</v>
      </c>
      <c r="F324" s="4">
        <v>12</v>
      </c>
    </row>
    <row r="325" spans="1:6" x14ac:dyDescent="0.25">
      <c r="A325" s="1" t="s">
        <v>4</v>
      </c>
      <c r="B325" t="str">
        <f t="shared" si="16"/>
        <v>GIRAUD</v>
      </c>
      <c r="C325" t="str">
        <f t="shared" si="17"/>
        <v>Hervé</v>
      </c>
      <c r="D325">
        <v>6260</v>
      </c>
      <c r="E325" t="str">
        <f>"SOLDE CP N-1"</f>
        <v>SOLDE CP N-1</v>
      </c>
      <c r="F325" s="4">
        <v>12</v>
      </c>
    </row>
    <row r="326" spans="1:6" x14ac:dyDescent="0.25">
      <c r="A326" s="1" t="s">
        <v>4</v>
      </c>
      <c r="B326" t="str">
        <f t="shared" si="16"/>
        <v>GIRAUD</v>
      </c>
      <c r="C326" t="str">
        <f t="shared" si="17"/>
        <v>Hervé</v>
      </c>
      <c r="D326">
        <v>6265</v>
      </c>
      <c r="E326" t="str">
        <f>"ACQUIS CP N"</f>
        <v>ACQUIS CP N</v>
      </c>
      <c r="F326" s="4">
        <v>12.5</v>
      </c>
    </row>
    <row r="327" spans="1:6" x14ac:dyDescent="0.25">
      <c r="A327" s="1" t="s">
        <v>4</v>
      </c>
      <c r="B327" t="str">
        <f t="shared" si="16"/>
        <v>GIRAUD</v>
      </c>
      <c r="C327" t="str">
        <f t="shared" si="17"/>
        <v>Hervé</v>
      </c>
      <c r="D327">
        <v>7092</v>
      </c>
      <c r="E327" t="str">
        <f>"TX CHG PAT SOC"</f>
        <v>TX CHG PAT SOC</v>
      </c>
      <c r="F327" s="4">
        <v>41.35</v>
      </c>
    </row>
    <row r="328" spans="1:6" x14ac:dyDescent="0.25">
      <c r="A328" s="1" t="s">
        <v>4</v>
      </c>
      <c r="B328" t="str">
        <f t="shared" si="16"/>
        <v>GIRAUD</v>
      </c>
      <c r="C328" t="str">
        <f t="shared" si="17"/>
        <v>Hervé</v>
      </c>
      <c r="D328">
        <v>7105</v>
      </c>
      <c r="E328" t="str">
        <f>"PROV CP  SALAIRE"</f>
        <v>PROV CP  SALAIRE</v>
      </c>
      <c r="F328" s="4">
        <v>4974.7299999999996</v>
      </c>
    </row>
    <row r="329" spans="1:6" x14ac:dyDescent="0.25">
      <c r="A329" s="1" t="s">
        <v>4</v>
      </c>
      <c r="B329" t="str">
        <f t="shared" si="16"/>
        <v>GIRAUD</v>
      </c>
      <c r="C329" t="str">
        <f t="shared" si="17"/>
        <v>Hervé</v>
      </c>
      <c r="D329">
        <v>7115</v>
      </c>
      <c r="E329" t="str">
        <f>"PROV CP N CHG PAT SOC"</f>
        <v>PROV CP N CHG PAT SOC</v>
      </c>
      <c r="F329" s="4">
        <v>2057.0500000000002</v>
      </c>
    </row>
    <row r="330" spans="1:6" x14ac:dyDescent="0.25">
      <c r="A330" s="1" t="s">
        <v>4</v>
      </c>
      <c r="B330" t="str">
        <f t="shared" si="16"/>
        <v>GIRAUD</v>
      </c>
      <c r="C330" t="str">
        <f t="shared" si="17"/>
        <v>Hervé</v>
      </c>
      <c r="D330">
        <v>7125</v>
      </c>
      <c r="E330" t="str">
        <f>"AN PROV CP N SALAIRE"</f>
        <v>AN PROV CP N SALAIRE</v>
      </c>
      <c r="F330" s="4">
        <v>-4552.38</v>
      </c>
    </row>
    <row r="331" spans="1:6" x14ac:dyDescent="0.25">
      <c r="A331" s="1" t="s">
        <v>4</v>
      </c>
      <c r="B331" t="str">
        <f t="shared" si="16"/>
        <v>GIRAUD</v>
      </c>
      <c r="C331" t="str">
        <f t="shared" si="17"/>
        <v>Hervé</v>
      </c>
      <c r="D331">
        <v>7135</v>
      </c>
      <c r="E331" t="str">
        <f>"AN PROV CP N CHG PAT SOC"</f>
        <v>AN PROV CP N CHG PAT SOC</v>
      </c>
      <c r="F331" s="4">
        <v>-1882.41</v>
      </c>
    </row>
    <row r="332" spans="1:6" x14ac:dyDescent="0.25">
      <c r="A332" s="1" t="s">
        <v>4</v>
      </c>
      <c r="B332" t="str">
        <f t="shared" si="16"/>
        <v>GIRAUD</v>
      </c>
      <c r="C332" t="str">
        <f t="shared" si="17"/>
        <v>Hervé</v>
      </c>
      <c r="D332">
        <v>7210</v>
      </c>
      <c r="E332" t="str">
        <f>"PROV RTT SALAIRE"</f>
        <v>PROV RTT SALAIRE</v>
      </c>
      <c r="F332" s="4">
        <v>1650.8</v>
      </c>
    </row>
    <row r="333" spans="1:6" x14ac:dyDescent="0.25">
      <c r="A333" s="1" t="s">
        <v>4</v>
      </c>
      <c r="B333" t="str">
        <f t="shared" si="16"/>
        <v>GIRAUD</v>
      </c>
      <c r="C333" t="str">
        <f t="shared" si="17"/>
        <v>Hervé</v>
      </c>
      <c r="D333">
        <v>7220</v>
      </c>
      <c r="E333" t="str">
        <f>"PROV RTT CHG PAT SOC"</f>
        <v>PROV RTT CHG PAT SOC</v>
      </c>
      <c r="F333" s="4">
        <v>682.61</v>
      </c>
    </row>
    <row r="334" spans="1:6" x14ac:dyDescent="0.25">
      <c r="A334" s="1" t="s">
        <v>4</v>
      </c>
      <c r="B334" t="str">
        <f t="shared" si="16"/>
        <v>GIRAUD</v>
      </c>
      <c r="C334" t="str">
        <f t="shared" si="17"/>
        <v>Hervé</v>
      </c>
      <c r="D334">
        <v>7230</v>
      </c>
      <c r="E334" t="str">
        <f>"AN PROV RTT SALAIRE"</f>
        <v>AN PROV RTT SALAIRE</v>
      </c>
      <c r="F334" s="4">
        <v>-1482.27</v>
      </c>
    </row>
    <row r="335" spans="1:6" x14ac:dyDescent="0.25">
      <c r="A335" s="1" t="s">
        <v>4</v>
      </c>
      <c r="B335" t="str">
        <f t="shared" si="16"/>
        <v>GIRAUD</v>
      </c>
      <c r="C335" t="str">
        <f t="shared" si="17"/>
        <v>Hervé</v>
      </c>
      <c r="D335">
        <v>7240</v>
      </c>
      <c r="E335" t="str">
        <f>"AN PROV RTT CHG PAT SOC"</f>
        <v>AN PROV RTT CHG PAT SOC</v>
      </c>
      <c r="F335" s="4">
        <v>-612.91999999999996</v>
      </c>
    </row>
    <row r="336" spans="1:6" x14ac:dyDescent="0.25">
      <c r="A336" s="1" t="s">
        <v>4</v>
      </c>
      <c r="B336" t="str">
        <f t="shared" si="16"/>
        <v>GIRAUD</v>
      </c>
      <c r="C336" t="str">
        <f t="shared" si="17"/>
        <v>Hervé</v>
      </c>
      <c r="D336">
        <v>8030</v>
      </c>
      <c r="E336" t="str">
        <f>"NB JOURS CALENDAIRES"</f>
        <v>NB JOURS CALENDAIRES</v>
      </c>
      <c r="F336" s="4">
        <v>30</v>
      </c>
    </row>
    <row r="337" spans="1:6" x14ac:dyDescent="0.25">
      <c r="A337" s="1" t="s">
        <v>4</v>
      </c>
      <c r="B337" t="str">
        <f t="shared" si="16"/>
        <v>GIRAUD</v>
      </c>
      <c r="C337" t="str">
        <f t="shared" si="17"/>
        <v>Hervé</v>
      </c>
      <c r="D337">
        <v>7305</v>
      </c>
      <c r="E337" t="str">
        <f>"P PrimesVac SALAIRE"</f>
        <v>P PrimesVac SALAIRE</v>
      </c>
      <c r="F337" s="4">
        <v>1103.01</v>
      </c>
    </row>
    <row r="338" spans="1:6" x14ac:dyDescent="0.25">
      <c r="A338" s="1" t="s">
        <v>4</v>
      </c>
      <c r="B338" t="str">
        <f t="shared" si="16"/>
        <v>GIRAUD</v>
      </c>
      <c r="C338" t="str">
        <f t="shared" si="17"/>
        <v>Hervé</v>
      </c>
      <c r="D338">
        <v>7315</v>
      </c>
      <c r="E338" t="str">
        <f>"P PrimesVac CHG PAT SOC"</f>
        <v>P PrimesVac CHG PAT SOC</v>
      </c>
      <c r="F338" s="4">
        <v>456.09</v>
      </c>
    </row>
    <row r="339" spans="1:6" x14ac:dyDescent="0.25">
      <c r="A339" s="1" t="s">
        <v>4</v>
      </c>
      <c r="B339" t="str">
        <f t="shared" si="16"/>
        <v>GIRAUD</v>
      </c>
      <c r="C339" t="str">
        <f t="shared" si="17"/>
        <v>Hervé</v>
      </c>
      <c r="D339">
        <v>7325</v>
      </c>
      <c r="E339" t="str">
        <f>"A PROV PrimesVac SALAIRE"</f>
        <v>A PROV PrimesVac SALAIRE</v>
      </c>
      <c r="F339" s="4">
        <v>-922.19</v>
      </c>
    </row>
    <row r="340" spans="1:6" x14ac:dyDescent="0.25">
      <c r="A340" s="1" t="s">
        <v>4</v>
      </c>
      <c r="B340" t="str">
        <f t="shared" si="16"/>
        <v>GIRAUD</v>
      </c>
      <c r="C340" t="str">
        <f t="shared" si="17"/>
        <v>Hervé</v>
      </c>
      <c r="D340">
        <v>7335</v>
      </c>
      <c r="E340" t="str">
        <f>"A PROV PrimesVac CHG PAT SOC"</f>
        <v>A PROV PrimesVac CHG PAT SOC</v>
      </c>
      <c r="F340" s="4">
        <v>-381.33</v>
      </c>
    </row>
    <row r="341" spans="1:6" x14ac:dyDescent="0.25">
      <c r="A341" s="1" t="s">
        <v>4</v>
      </c>
      <c r="B341" t="str">
        <f t="shared" si="16"/>
        <v>GIRAUD</v>
      </c>
      <c r="C341" t="str">
        <f t="shared" si="17"/>
        <v>Hervé</v>
      </c>
      <c r="D341">
        <v>7992</v>
      </c>
      <c r="E341" t="str">
        <f>"REINT PP MUTUELLE NET IMPOS"</f>
        <v>REINT PP MUTUELLE NET IMPOS</v>
      </c>
      <c r="F341" s="4">
        <v>75.87</v>
      </c>
    </row>
    <row r="342" spans="1:6" x14ac:dyDescent="0.25">
      <c r="A342" s="1" t="s">
        <v>4</v>
      </c>
      <c r="B342" t="str">
        <f t="shared" si="16"/>
        <v>GIRAUD</v>
      </c>
      <c r="C342" t="str">
        <f t="shared" si="17"/>
        <v>Hervé</v>
      </c>
      <c r="D342">
        <v>8005</v>
      </c>
      <c r="E342" t="str">
        <f>"HEURES TRAVAILLEES"</f>
        <v>HEURES TRAVAILLEES</v>
      </c>
      <c r="F342" s="4">
        <v>151.66999999999999</v>
      </c>
    </row>
    <row r="343" spans="1:6" x14ac:dyDescent="0.25">
      <c r="A343" s="1" t="s">
        <v>4</v>
      </c>
      <c r="B343" t="str">
        <f t="shared" si="16"/>
        <v>GIRAUD</v>
      </c>
      <c r="C343" t="str">
        <f t="shared" si="17"/>
        <v>Hervé</v>
      </c>
      <c r="D343">
        <v>8010</v>
      </c>
      <c r="E343" t="str">
        <f>"HEURES REMUNEREES"</f>
        <v>HEURES REMUNEREES</v>
      </c>
      <c r="F343" s="4">
        <v>151.66999999999999</v>
      </c>
    </row>
    <row r="344" spans="1:6" x14ac:dyDescent="0.25">
      <c r="A344" s="1" t="s">
        <v>4</v>
      </c>
      <c r="B344" t="str">
        <f t="shared" si="16"/>
        <v>GIRAUD</v>
      </c>
      <c r="C344" t="str">
        <f t="shared" si="17"/>
        <v>Hervé</v>
      </c>
      <c r="D344">
        <v>8015</v>
      </c>
      <c r="E344" t="str">
        <f>"HEURES REMUNEREES FILLON"</f>
        <v>HEURES REMUNEREES FILLON</v>
      </c>
      <c r="F344" s="4">
        <v>151.41999999999999</v>
      </c>
    </row>
    <row r="345" spans="1:6" x14ac:dyDescent="0.25">
      <c r="A345" s="1" t="s">
        <v>4</v>
      </c>
      <c r="B345" t="str">
        <f t="shared" si="16"/>
        <v>GIRAUD</v>
      </c>
      <c r="C345" t="str">
        <f t="shared" si="17"/>
        <v>Hervé</v>
      </c>
      <c r="D345">
        <v>8101</v>
      </c>
      <c r="E345" t="str">
        <f>"Test allègement CAF ET MALADIE"</f>
        <v>Test allègement CAF ET MALADIE</v>
      </c>
      <c r="F345" s="4">
        <v>81.39</v>
      </c>
    </row>
    <row r="346" spans="1:6" x14ac:dyDescent="0.25">
      <c r="A346" s="1" t="s">
        <v>4</v>
      </c>
      <c r="B346" t="str">
        <f t="shared" si="16"/>
        <v>GIRAUD</v>
      </c>
      <c r="C346" t="str">
        <f t="shared" si="17"/>
        <v>Hervé</v>
      </c>
      <c r="D346">
        <v>8202</v>
      </c>
      <c r="E346" t="str">
        <f>"DUREE REMUNEREE"</f>
        <v>DUREE REMUNEREE</v>
      </c>
      <c r="F346" s="4">
        <v>21.67</v>
      </c>
    </row>
    <row r="347" spans="1:6" x14ac:dyDescent="0.25">
      <c r="A347" s="1" t="s">
        <v>4</v>
      </c>
      <c r="B347" t="str">
        <f t="shared" si="16"/>
        <v>GIRAUD</v>
      </c>
      <c r="C347" t="str">
        <f t="shared" si="17"/>
        <v>Hervé</v>
      </c>
      <c r="D347">
        <v>8206</v>
      </c>
      <c r="E347" t="str">
        <f>"SALAIRE RETABLI"</f>
        <v>SALAIRE RETABLI</v>
      </c>
      <c r="F347" s="4">
        <v>4521.91</v>
      </c>
    </row>
    <row r="348" spans="1:6" x14ac:dyDescent="0.25">
      <c r="A348" s="1" t="s">
        <v>4</v>
      </c>
      <c r="B348" t="str">
        <f t="shared" si="16"/>
        <v>GIRAUD</v>
      </c>
      <c r="C348" t="str">
        <f t="shared" si="17"/>
        <v>Hervé</v>
      </c>
      <c r="D348">
        <v>8208</v>
      </c>
      <c r="E348" t="str">
        <f>"BRUT FISCAL"</f>
        <v>BRUT FISCAL</v>
      </c>
      <c r="F348" s="4">
        <v>4633.4399999999996</v>
      </c>
    </row>
    <row r="349" spans="1:6" x14ac:dyDescent="0.25">
      <c r="A349" s="1" t="s">
        <v>4</v>
      </c>
      <c r="B349" t="str">
        <f t="shared" si="16"/>
        <v>GIRAUD</v>
      </c>
      <c r="C349" t="str">
        <f t="shared" si="17"/>
        <v>Hervé</v>
      </c>
      <c r="D349">
        <v>9896</v>
      </c>
      <c r="E349" t="str">
        <f>"Prélèvement à la source"</f>
        <v>Prélèvement à la source</v>
      </c>
      <c r="F349" s="4">
        <v>-60.04</v>
      </c>
    </row>
    <row r="350" spans="1:6" x14ac:dyDescent="0.25">
      <c r="A350" s="1" t="s">
        <v>4</v>
      </c>
      <c r="B350" t="str">
        <f t="shared" si="16"/>
        <v>GIRAUD</v>
      </c>
      <c r="C350" t="str">
        <f t="shared" si="17"/>
        <v>Hervé</v>
      </c>
      <c r="D350">
        <v>9899</v>
      </c>
      <c r="E350" t="str">
        <f>"Extourne Net à Payer après PAS"</f>
        <v>Extourne Net à Payer après PAS</v>
      </c>
      <c r="F350" s="4">
        <v>-60.04</v>
      </c>
    </row>
    <row r="351" spans="1:6" x14ac:dyDescent="0.25">
      <c r="A351" s="1" t="s">
        <v>4</v>
      </c>
      <c r="B351" t="str">
        <f t="shared" si="16"/>
        <v>GIRAUD</v>
      </c>
      <c r="C351" t="str">
        <f t="shared" si="17"/>
        <v>Hervé</v>
      </c>
      <c r="D351">
        <v>9994</v>
      </c>
      <c r="E351" t="str">
        <f>"ETP Egalité F/H"</f>
        <v>ETP Egalité F/H</v>
      </c>
      <c r="F351" s="4">
        <v>1</v>
      </c>
    </row>
    <row r="352" spans="1:6" x14ac:dyDescent="0.25">
      <c r="A352" s="1" t="s">
        <v>4</v>
      </c>
      <c r="B352" t="str">
        <f t="shared" si="16"/>
        <v>GIRAUD</v>
      </c>
      <c r="C352" t="str">
        <f t="shared" si="17"/>
        <v>Hervé</v>
      </c>
      <c r="D352">
        <v>9995</v>
      </c>
      <c r="E352" t="str">
        <f>"ETP PRORTISE JOURS OUVRES"</f>
        <v>ETP PRORTISE JOURS OUVRES</v>
      </c>
      <c r="F352" s="4">
        <v>1</v>
      </c>
    </row>
    <row r="353" spans="1:6" x14ac:dyDescent="0.25">
      <c r="A353" s="1" t="s">
        <v>4</v>
      </c>
      <c r="B353" t="str">
        <f t="shared" si="16"/>
        <v>GIRAUD</v>
      </c>
      <c r="C353" t="str">
        <f t="shared" si="17"/>
        <v>Hervé</v>
      </c>
      <c r="D353">
        <v>9999</v>
      </c>
      <c r="E353" t="str">
        <f>"**Dont gain pouvoir d'achat**"</f>
        <v>**Dont gain pouvoir d'achat**</v>
      </c>
      <c r="F353" s="4">
        <v>65.02</v>
      </c>
    </row>
    <row r="354" spans="1:6" x14ac:dyDescent="0.25">
      <c r="A354" s="1" t="s">
        <v>4</v>
      </c>
      <c r="B354" t="str">
        <f t="shared" si="16"/>
        <v>GIRAUD</v>
      </c>
      <c r="C354" t="str">
        <f t="shared" si="17"/>
        <v>Hervé</v>
      </c>
      <c r="D354" t="str">
        <f>"PRESENCE"</f>
        <v>PRESENCE</v>
      </c>
      <c r="E354" t="str">
        <f>"Présence"</f>
        <v>Présence</v>
      </c>
      <c r="F354" s="4">
        <v>151.66999999999999</v>
      </c>
    </row>
    <row r="355" spans="1:6" x14ac:dyDescent="0.25">
      <c r="A355" s="1" t="s">
        <v>4</v>
      </c>
      <c r="B355" t="str">
        <f t="shared" si="16"/>
        <v>GIRAUD</v>
      </c>
      <c r="C355" t="str">
        <f t="shared" si="17"/>
        <v>Hervé</v>
      </c>
      <c r="D355" t="str">
        <f>"BRUT"</f>
        <v>BRUT</v>
      </c>
      <c r="E355" t="str">
        <f>"Brut"</f>
        <v>Brut</v>
      </c>
      <c r="F355" s="4">
        <v>4521.91</v>
      </c>
    </row>
    <row r="356" spans="1:6" x14ac:dyDescent="0.25">
      <c r="A356" s="1" t="s">
        <v>4</v>
      </c>
      <c r="B356" t="str">
        <f t="shared" si="16"/>
        <v>GIRAUD</v>
      </c>
      <c r="C356" t="str">
        <f t="shared" si="17"/>
        <v>Hervé</v>
      </c>
      <c r="D356" t="str">
        <f>"COTISAL"</f>
        <v>COTISAL</v>
      </c>
      <c r="E356" t="str">
        <f>"Cotisations salariales"</f>
        <v>Cotisations salariales</v>
      </c>
      <c r="F356" s="4">
        <v>977.63</v>
      </c>
    </row>
    <row r="357" spans="1:6" x14ac:dyDescent="0.25">
      <c r="A357" s="1" t="s">
        <v>4</v>
      </c>
      <c r="B357" t="str">
        <f t="shared" si="16"/>
        <v>GIRAUD</v>
      </c>
      <c r="C357" t="str">
        <f t="shared" si="17"/>
        <v>Hervé</v>
      </c>
      <c r="D357" t="str">
        <f>"COTIPAT"</f>
        <v>COTIPAT</v>
      </c>
      <c r="E357" t="str">
        <f>"Cotisations patronales"</f>
        <v>Cotisations patronales</v>
      </c>
      <c r="F357" s="4">
        <v>1984.59</v>
      </c>
    </row>
    <row r="358" spans="1:6" x14ac:dyDescent="0.25">
      <c r="A358" s="1" t="s">
        <v>4</v>
      </c>
      <c r="B358" t="str">
        <f t="shared" si="16"/>
        <v>GIRAUD</v>
      </c>
      <c r="C358" t="str">
        <f t="shared" si="17"/>
        <v>Hervé</v>
      </c>
      <c r="D358" t="str">
        <f>"NETPAIE"</f>
        <v>NETPAIE</v>
      </c>
      <c r="E358" t="str">
        <f>"Net à payer"</f>
        <v>Net à payer</v>
      </c>
      <c r="F358" s="4">
        <v>3305.33</v>
      </c>
    </row>
    <row r="359" spans="1:6" x14ac:dyDescent="0.25">
      <c r="A359" s="1" t="s">
        <v>4</v>
      </c>
      <c r="B359" t="str">
        <f t="shared" ref="B359:B370" si="18">"GIRAUD"</f>
        <v>GIRAUD</v>
      </c>
      <c r="C359" t="str">
        <f t="shared" ref="C359:C370" si="19">"Hervé"</f>
        <v>Hervé</v>
      </c>
      <c r="D359" t="str">
        <f>"NETIMPO"</f>
        <v>NETIMPO</v>
      </c>
      <c r="E359" t="str">
        <f>"Net imposable"</f>
        <v>Net imposable</v>
      </c>
      <c r="F359" s="4">
        <v>3752.22</v>
      </c>
    </row>
    <row r="360" spans="1:6" x14ac:dyDescent="0.25">
      <c r="A360" s="1" t="s">
        <v>4</v>
      </c>
      <c r="B360" t="str">
        <f t="shared" si="18"/>
        <v>GIRAUD</v>
      </c>
      <c r="C360" t="str">
        <f t="shared" si="19"/>
        <v>Hervé</v>
      </c>
      <c r="D360" t="str">
        <f>"AVANTUR"</f>
        <v>AVANTUR</v>
      </c>
      <c r="E360" t="str">
        <f>"Avantages en nature"</f>
        <v>Avantages en nature</v>
      </c>
      <c r="F360" s="4">
        <v>121.91</v>
      </c>
    </row>
    <row r="361" spans="1:6" x14ac:dyDescent="0.25">
      <c r="A361" s="1" t="s">
        <v>4</v>
      </c>
      <c r="B361" t="str">
        <f t="shared" si="18"/>
        <v>GIRAUD</v>
      </c>
      <c r="C361" t="str">
        <f t="shared" si="19"/>
        <v>Hervé</v>
      </c>
      <c r="D361" t="str">
        <f>"TOTALHTRAV"</f>
        <v>TOTALHTRAV</v>
      </c>
      <c r="E361" t="str">
        <f>"Total des heures travaillées"</f>
        <v>Total des heures travaillées</v>
      </c>
      <c r="F361" s="4">
        <v>151.66999999999999</v>
      </c>
    </row>
    <row r="362" spans="1:6" x14ac:dyDescent="0.25">
      <c r="A362" s="1" t="s">
        <v>4</v>
      </c>
      <c r="B362" t="str">
        <f t="shared" si="18"/>
        <v>GIRAUD</v>
      </c>
      <c r="C362" t="str">
        <f t="shared" si="19"/>
        <v>Hervé</v>
      </c>
      <c r="D362" t="str">
        <f>"TOTALHS"</f>
        <v>TOTALHS</v>
      </c>
      <c r="E362" t="str">
        <f>"Total des hres supplémentaires"</f>
        <v>Total des hres supplémentaires</v>
      </c>
      <c r="F362" s="4">
        <v>0</v>
      </c>
    </row>
    <row r="363" spans="1:6" x14ac:dyDescent="0.25">
      <c r="A363" s="1" t="s">
        <v>4</v>
      </c>
      <c r="B363" t="str">
        <f t="shared" si="18"/>
        <v>GIRAUD</v>
      </c>
      <c r="C363" t="str">
        <f t="shared" si="19"/>
        <v>Hervé</v>
      </c>
      <c r="D363" t="str">
        <f>"TOTALHC"</f>
        <v>TOTALHC</v>
      </c>
      <c r="E363" t="str">
        <f>"Total des hres complémentaires"</f>
        <v>Total des hres complémentaires</v>
      </c>
      <c r="F363" s="4">
        <v>0</v>
      </c>
    </row>
    <row r="364" spans="1:6" x14ac:dyDescent="0.25">
      <c r="A364" s="1" t="s">
        <v>4</v>
      </c>
      <c r="B364" t="str">
        <f t="shared" si="18"/>
        <v>GIRAUD</v>
      </c>
      <c r="C364" t="str">
        <f t="shared" si="19"/>
        <v>Hervé</v>
      </c>
      <c r="D364" t="str">
        <f>"TOTALHA"</f>
        <v>TOTALHA</v>
      </c>
      <c r="E364" t="str">
        <f>"Total des heures d'absence"</f>
        <v>Total des heures d'absence</v>
      </c>
      <c r="F364" s="4">
        <v>0</v>
      </c>
    </row>
    <row r="365" spans="1:6" x14ac:dyDescent="0.25">
      <c r="A365" s="1" t="s">
        <v>4</v>
      </c>
      <c r="B365" t="str">
        <f t="shared" si="18"/>
        <v>GIRAUD</v>
      </c>
      <c r="C365" t="str">
        <f t="shared" si="19"/>
        <v>Hervé</v>
      </c>
      <c r="D365" t="str">
        <f>"ABSENCE"</f>
        <v>ABSENCE</v>
      </c>
      <c r="E365" t="str">
        <f>"Absence"</f>
        <v>Absence</v>
      </c>
      <c r="F365" s="4">
        <v>0</v>
      </c>
    </row>
    <row r="366" spans="1:6" x14ac:dyDescent="0.25">
      <c r="A366" s="1" t="s">
        <v>4</v>
      </c>
      <c r="B366" t="str">
        <f t="shared" si="18"/>
        <v>GIRAUD</v>
      </c>
      <c r="C366" t="str">
        <f t="shared" si="19"/>
        <v>Hervé</v>
      </c>
      <c r="D366" t="str">
        <f>"COACMOIS"</f>
        <v>COACMOIS</v>
      </c>
      <c r="E366" t="str">
        <f>"Congés acquis dans le mois"</f>
        <v>Congés acquis dans le mois</v>
      </c>
      <c r="F366" s="4">
        <v>2.08</v>
      </c>
    </row>
    <row r="367" spans="1:6" x14ac:dyDescent="0.25">
      <c r="A367" s="1" t="s">
        <v>4</v>
      </c>
      <c r="B367" t="str">
        <f t="shared" si="18"/>
        <v>GIRAUD</v>
      </c>
      <c r="C367" t="str">
        <f t="shared" si="19"/>
        <v>Hervé</v>
      </c>
      <c r="D367" t="str">
        <f>"COPRIMOI"</f>
        <v>COPRIMOI</v>
      </c>
      <c r="E367" t="str">
        <f>"Congés pris dans le mois"</f>
        <v>Congés pris dans le mois</v>
      </c>
      <c r="F367" s="4">
        <v>0</v>
      </c>
    </row>
    <row r="368" spans="1:6" x14ac:dyDescent="0.25">
      <c r="A368" s="1" t="s">
        <v>4</v>
      </c>
      <c r="B368" t="str">
        <f t="shared" si="18"/>
        <v>GIRAUD</v>
      </c>
      <c r="C368" t="str">
        <f t="shared" si="19"/>
        <v>Hervé</v>
      </c>
      <c r="D368" t="str">
        <f>"TOTALPRES"</f>
        <v>TOTALPRES</v>
      </c>
      <c r="E368" t="str">
        <f>"Total des heures de présence"</f>
        <v>Total des heures de présence</v>
      </c>
      <c r="F368" s="4">
        <v>151.66999999999999</v>
      </c>
    </row>
    <row r="369" spans="1:6" x14ac:dyDescent="0.25">
      <c r="A369" s="1" t="s">
        <v>4</v>
      </c>
      <c r="B369" t="str">
        <f t="shared" si="18"/>
        <v>GIRAUD</v>
      </c>
      <c r="C369" t="str">
        <f t="shared" si="19"/>
        <v>Hervé</v>
      </c>
      <c r="D369" t="str">
        <f>"TOTHANA"</f>
        <v>TOTHANA</v>
      </c>
      <c r="E369" t="str">
        <f>"Total des heures / Analytique"</f>
        <v>Total des heures / Analytique</v>
      </c>
      <c r="F369" s="4">
        <v>0</v>
      </c>
    </row>
    <row r="370" spans="1:6" x14ac:dyDescent="0.25">
      <c r="A370" s="1" t="s">
        <v>4</v>
      </c>
      <c r="B370" t="str">
        <f t="shared" si="18"/>
        <v>GIRAUD</v>
      </c>
      <c r="C370" t="str">
        <f t="shared" si="19"/>
        <v>Hervé</v>
      </c>
      <c r="D370" t="str">
        <f>"COUT_TOTAL"</f>
        <v>COUT_TOTAL</v>
      </c>
      <c r="E370" t="str">
        <f>"Cout total"</f>
        <v>Cout total</v>
      </c>
      <c r="F370" s="4">
        <v>6506.5</v>
      </c>
    </row>
    <row r="371" spans="1:6" x14ac:dyDescent="0.25">
      <c r="A371" s="1" t="s">
        <v>5</v>
      </c>
      <c r="B371" t="str">
        <f t="shared" ref="B371:B434" si="20">"LAGAROSSE"</f>
        <v>LAGAROSSE</v>
      </c>
      <c r="C371" t="str">
        <f t="shared" ref="C371:C434" si="21">"Philippe"</f>
        <v>Philippe</v>
      </c>
      <c r="D371">
        <v>1</v>
      </c>
      <c r="E371" t="str">
        <f>"**GMP DU MOIS"</f>
        <v>**GMP DU MOIS</v>
      </c>
      <c r="F371" s="4">
        <v>353.82</v>
      </c>
    </row>
    <row r="372" spans="1:6" x14ac:dyDescent="0.25">
      <c r="A372" s="1" t="s">
        <v>5</v>
      </c>
      <c r="B372" t="str">
        <f t="shared" si="20"/>
        <v>LAGAROSSE</v>
      </c>
      <c r="C372" t="str">
        <f t="shared" si="21"/>
        <v>Philippe</v>
      </c>
      <c r="D372">
        <v>10</v>
      </c>
      <c r="E372" t="str">
        <f>"SALAIRE DE BASE"</f>
        <v>SALAIRE DE BASE</v>
      </c>
      <c r="F372" s="4">
        <v>4934</v>
      </c>
    </row>
    <row r="373" spans="1:6" x14ac:dyDescent="0.25">
      <c r="A373" s="1" t="s">
        <v>5</v>
      </c>
      <c r="B373" t="str">
        <f t="shared" si="20"/>
        <v>LAGAROSSE</v>
      </c>
      <c r="C373" t="str">
        <f t="shared" si="21"/>
        <v>Philippe</v>
      </c>
      <c r="D373">
        <v>1750</v>
      </c>
      <c r="E373" t="str">
        <f>"AVANTAGE EN NATURE VOITURE"</f>
        <v>AVANTAGE EN NATURE VOITURE</v>
      </c>
      <c r="F373" s="4">
        <v>166.73</v>
      </c>
    </row>
    <row r="374" spans="1:6" x14ac:dyDescent="0.25">
      <c r="A374" s="1" t="s">
        <v>5</v>
      </c>
      <c r="B374" t="str">
        <f t="shared" si="20"/>
        <v>LAGAROSSE</v>
      </c>
      <c r="C374" t="str">
        <f t="shared" si="21"/>
        <v>Philippe</v>
      </c>
      <c r="D374">
        <v>1986</v>
      </c>
      <c r="E374" t="str">
        <f>"DSN - Nb jrs calendaires PSS"</f>
        <v>DSN - Nb jrs calendaires PSS</v>
      </c>
      <c r="F374" s="4">
        <v>30</v>
      </c>
    </row>
    <row r="375" spans="1:6" x14ac:dyDescent="0.25">
      <c r="A375" s="1" t="s">
        <v>5</v>
      </c>
      <c r="B375" t="str">
        <f t="shared" si="20"/>
        <v>LAGAROSSE</v>
      </c>
      <c r="C375" t="str">
        <f t="shared" si="21"/>
        <v>Philippe</v>
      </c>
      <c r="D375">
        <v>3014</v>
      </c>
      <c r="E375" t="str">
        <f>"SS VIEIL DEPLAFONNEE"</f>
        <v>SS VIEIL DEPLAFONNEE</v>
      </c>
      <c r="F375" s="4">
        <v>20.399999999999999</v>
      </c>
    </row>
    <row r="376" spans="1:6" x14ac:dyDescent="0.25">
      <c r="A376" s="1" t="s">
        <v>5</v>
      </c>
      <c r="B376" t="str">
        <f t="shared" si="20"/>
        <v>LAGAROSSE</v>
      </c>
      <c r="C376" t="str">
        <f t="shared" si="21"/>
        <v>Philippe</v>
      </c>
      <c r="D376">
        <v>3110</v>
      </c>
      <c r="E376" t="str">
        <f>"SS CG VIEILLESSE TA"</f>
        <v>SS CG VIEILLESSE TA</v>
      </c>
      <c r="F376" s="4">
        <v>233.01</v>
      </c>
    </row>
    <row r="377" spans="1:6" x14ac:dyDescent="0.25">
      <c r="A377" s="1" t="s">
        <v>5</v>
      </c>
      <c r="B377" t="str">
        <f t="shared" si="20"/>
        <v>LAGAROSSE</v>
      </c>
      <c r="C377" t="str">
        <f t="shared" si="21"/>
        <v>Philippe</v>
      </c>
      <c r="D377">
        <v>3504</v>
      </c>
      <c r="E377" t="str">
        <f>"**LIMITE D'EXO AF"</f>
        <v>**LIMITE D'EXO AF</v>
      </c>
      <c r="F377" s="4">
        <v>2434</v>
      </c>
    </row>
    <row r="378" spans="1:6" x14ac:dyDescent="0.25">
      <c r="A378" s="1" t="s">
        <v>5</v>
      </c>
      <c r="B378" t="str">
        <f t="shared" si="20"/>
        <v>LAGAROSSE</v>
      </c>
      <c r="C378" t="str">
        <f t="shared" si="21"/>
        <v>Philippe</v>
      </c>
      <c r="D378">
        <v>3501</v>
      </c>
      <c r="E378" t="str">
        <f>"** HISTORISATION REMUNERATION"</f>
        <v>** HISTORISATION REMUNERATION</v>
      </c>
      <c r="F378" s="4">
        <v>5100.7299999999996</v>
      </c>
    </row>
    <row r="379" spans="1:6" x14ac:dyDescent="0.25">
      <c r="A379" s="1" t="s">
        <v>5</v>
      </c>
      <c r="B379" t="str">
        <f t="shared" si="20"/>
        <v>LAGAROSSE</v>
      </c>
      <c r="C379" t="str">
        <f t="shared" si="21"/>
        <v>Philippe</v>
      </c>
      <c r="D379">
        <v>4031</v>
      </c>
      <c r="E379" t="str">
        <f>"Réduction salariale chômage"</f>
        <v>Réduction salariale chômage</v>
      </c>
      <c r="F379" s="4">
        <v>-122.42</v>
      </c>
    </row>
    <row r="380" spans="1:6" x14ac:dyDescent="0.25">
      <c r="A380" s="1" t="s">
        <v>5</v>
      </c>
      <c r="B380" t="str">
        <f t="shared" si="20"/>
        <v>LAGAROSSE</v>
      </c>
      <c r="C380" t="str">
        <f t="shared" si="21"/>
        <v>Philippe</v>
      </c>
      <c r="D380">
        <v>4610</v>
      </c>
      <c r="E380" t="str">
        <f>"Retraite T1"</f>
        <v>Retraite T1</v>
      </c>
      <c r="F380" s="4">
        <v>106.38</v>
      </c>
    </row>
    <row r="381" spans="1:6" x14ac:dyDescent="0.25">
      <c r="A381" s="1" t="s">
        <v>5</v>
      </c>
      <c r="B381" t="str">
        <f t="shared" si="20"/>
        <v>LAGAROSSE</v>
      </c>
      <c r="C381" t="str">
        <f t="shared" si="21"/>
        <v>Philippe</v>
      </c>
      <c r="D381">
        <v>4615</v>
      </c>
      <c r="E381" t="str">
        <f>"Retraite T2"</f>
        <v>Retraite T2</v>
      </c>
      <c r="F381" s="4">
        <v>148.93</v>
      </c>
    </row>
    <row r="382" spans="1:6" x14ac:dyDescent="0.25">
      <c r="A382" s="1" t="s">
        <v>5</v>
      </c>
      <c r="B382" t="str">
        <f t="shared" si="20"/>
        <v>LAGAROSSE</v>
      </c>
      <c r="C382" t="str">
        <f t="shared" si="21"/>
        <v>Philippe</v>
      </c>
      <c r="D382">
        <v>4620</v>
      </c>
      <c r="E382" t="str">
        <f>"Contribut  Equilibre Technique"</f>
        <v>Contribut  Equilibre Technique</v>
      </c>
      <c r="F382" s="4">
        <v>7.14</v>
      </c>
    </row>
    <row r="383" spans="1:6" x14ac:dyDescent="0.25">
      <c r="A383" s="1" t="s">
        <v>5</v>
      </c>
      <c r="B383" t="str">
        <f t="shared" si="20"/>
        <v>LAGAROSSE</v>
      </c>
      <c r="C383" t="str">
        <f t="shared" si="21"/>
        <v>Philippe</v>
      </c>
      <c r="D383">
        <v>4625</v>
      </c>
      <c r="E383" t="str">
        <f>"CEG T1"</f>
        <v>CEG T1</v>
      </c>
      <c r="F383" s="4">
        <v>29.04</v>
      </c>
    </row>
    <row r="384" spans="1:6" x14ac:dyDescent="0.25">
      <c r="A384" s="1" t="s">
        <v>5</v>
      </c>
      <c r="B384" t="str">
        <f t="shared" si="20"/>
        <v>LAGAROSSE</v>
      </c>
      <c r="C384" t="str">
        <f t="shared" si="21"/>
        <v>Philippe</v>
      </c>
      <c r="D384">
        <v>4630</v>
      </c>
      <c r="E384" t="str">
        <f>"CEG T2"</f>
        <v>CEG T2</v>
      </c>
      <c r="F384" s="4">
        <v>18.62</v>
      </c>
    </row>
    <row r="385" spans="1:6" x14ac:dyDescent="0.25">
      <c r="A385" s="1" t="s">
        <v>5</v>
      </c>
      <c r="B385" t="str">
        <f t="shared" si="20"/>
        <v>LAGAROSSE</v>
      </c>
      <c r="C385" t="str">
        <f t="shared" si="21"/>
        <v>Philippe</v>
      </c>
      <c r="D385">
        <v>4635</v>
      </c>
      <c r="E385" t="str">
        <f>"APEC"</f>
        <v>APEC</v>
      </c>
      <c r="F385" s="4">
        <v>1.22</v>
      </c>
    </row>
    <row r="386" spans="1:6" x14ac:dyDescent="0.25">
      <c r="A386" s="1" t="s">
        <v>5</v>
      </c>
      <c r="B386" t="str">
        <f t="shared" si="20"/>
        <v>LAGAROSSE</v>
      </c>
      <c r="C386" t="str">
        <f t="shared" si="21"/>
        <v>Philippe</v>
      </c>
      <c r="D386">
        <v>4720</v>
      </c>
      <c r="E386" t="str">
        <f>"PREVOYANCE TA CADRE"</f>
        <v>PREVOYANCE TA CADRE</v>
      </c>
      <c r="F386" s="4">
        <v>7.23</v>
      </c>
    </row>
    <row r="387" spans="1:6" x14ac:dyDescent="0.25">
      <c r="A387" s="1" t="s">
        <v>5</v>
      </c>
      <c r="B387" t="str">
        <f t="shared" si="20"/>
        <v>LAGAROSSE</v>
      </c>
      <c r="C387" t="str">
        <f t="shared" si="21"/>
        <v>Philippe</v>
      </c>
      <c r="D387">
        <v>4725</v>
      </c>
      <c r="E387" t="str">
        <f>"PREVOYANCE TB CADRE"</f>
        <v>PREVOYANCE TB CADRE</v>
      </c>
      <c r="F387" s="4">
        <v>10.17</v>
      </c>
    </row>
    <row r="388" spans="1:6" x14ac:dyDescent="0.25">
      <c r="A388" s="1" t="s">
        <v>5</v>
      </c>
      <c r="B388" t="str">
        <f t="shared" si="20"/>
        <v>LAGAROSSE</v>
      </c>
      <c r="C388" t="str">
        <f t="shared" si="21"/>
        <v>Philippe</v>
      </c>
      <c r="D388">
        <v>4774</v>
      </c>
      <c r="E388" t="str">
        <f>"MUTUELLE BASE OBLIGAT. CAD (M)"</f>
        <v>MUTUELLE BASE OBLIGAT. CAD (M)</v>
      </c>
      <c r="F388" s="4">
        <v>4.84</v>
      </c>
    </row>
    <row r="389" spans="1:6" x14ac:dyDescent="0.25">
      <c r="A389" s="1" t="s">
        <v>5</v>
      </c>
      <c r="B389" t="str">
        <f t="shared" si="20"/>
        <v>LAGAROSSE</v>
      </c>
      <c r="C389" t="str">
        <f t="shared" si="21"/>
        <v>Philippe</v>
      </c>
      <c r="D389">
        <v>4775</v>
      </c>
      <c r="E389" t="str">
        <f>"MUTUELLE BASE CONJOINT CAD (M)"</f>
        <v>MUTUELLE BASE CONJOINT CAD (M)</v>
      </c>
      <c r="F389" s="4">
        <v>37.15</v>
      </c>
    </row>
    <row r="390" spans="1:6" x14ac:dyDescent="0.25">
      <c r="A390" s="1" t="s">
        <v>5</v>
      </c>
      <c r="B390" t="str">
        <f t="shared" si="20"/>
        <v>LAGAROSSE</v>
      </c>
      <c r="C390" t="str">
        <f t="shared" si="21"/>
        <v>Philippe</v>
      </c>
      <c r="D390">
        <v>4776</v>
      </c>
      <c r="E390" t="str">
        <f>"MUTUELLE SUR COMPL. CAD (M)"</f>
        <v>MUTUELLE SUR COMPL. CAD (M)</v>
      </c>
      <c r="F390" s="4">
        <v>11.82</v>
      </c>
    </row>
    <row r="391" spans="1:6" x14ac:dyDescent="0.25">
      <c r="A391" s="1" t="s">
        <v>5</v>
      </c>
      <c r="B391" t="str">
        <f t="shared" si="20"/>
        <v>LAGAROSSE</v>
      </c>
      <c r="C391" t="str">
        <f t="shared" si="21"/>
        <v>Philippe</v>
      </c>
      <c r="D391">
        <v>4777</v>
      </c>
      <c r="E391" t="str">
        <f>"MUTUELLE S/COMP/CONJ. CAD (M)"</f>
        <v>MUTUELLE S/COMP/CONJ. CAD (M)</v>
      </c>
      <c r="F391" s="4">
        <v>8.1</v>
      </c>
    </row>
    <row r="392" spans="1:6" x14ac:dyDescent="0.25">
      <c r="A392" s="1" t="s">
        <v>5</v>
      </c>
      <c r="B392" t="str">
        <f t="shared" si="20"/>
        <v>LAGAROSSE</v>
      </c>
      <c r="C392" t="str">
        <f t="shared" si="21"/>
        <v>Philippe</v>
      </c>
      <c r="D392">
        <v>4797</v>
      </c>
      <c r="E392" t="str">
        <f>"CSG DEDUCTIBLE PREV-MUTUELLE"</f>
        <v>CSG DEDUCTIBLE PREV-MUTUELLE</v>
      </c>
      <c r="F392" s="4">
        <v>7.82</v>
      </c>
    </row>
    <row r="393" spans="1:6" x14ac:dyDescent="0.25">
      <c r="A393" s="1" t="s">
        <v>5</v>
      </c>
      <c r="B393" t="str">
        <f t="shared" si="20"/>
        <v>LAGAROSSE</v>
      </c>
      <c r="C393" t="str">
        <f t="shared" si="21"/>
        <v>Philippe</v>
      </c>
      <c r="D393">
        <v>4798</v>
      </c>
      <c r="E393" t="str">
        <f>"CSG/CRDS NON DED.PREV.MUTUELLE"</f>
        <v>CSG/CRDS NON DED.PREV.MUTUELLE</v>
      </c>
      <c r="F393" s="4">
        <v>3.33</v>
      </c>
    </row>
    <row r="394" spans="1:6" x14ac:dyDescent="0.25">
      <c r="A394" s="1" t="s">
        <v>5</v>
      </c>
      <c r="B394" t="str">
        <f t="shared" si="20"/>
        <v>LAGAROSSE</v>
      </c>
      <c r="C394" t="str">
        <f t="shared" si="21"/>
        <v>Philippe</v>
      </c>
      <c r="D394">
        <v>4800</v>
      </c>
      <c r="E394" t="str">
        <f>"CSG DEDUCTIBLE"</f>
        <v>CSG DEDUCTIBLE</v>
      </c>
      <c r="F394" s="4">
        <v>340.78</v>
      </c>
    </row>
    <row r="395" spans="1:6" x14ac:dyDescent="0.25">
      <c r="A395" s="1" t="s">
        <v>5</v>
      </c>
      <c r="B395" t="str">
        <f t="shared" si="20"/>
        <v>LAGAROSSE</v>
      </c>
      <c r="C395" t="str">
        <f t="shared" si="21"/>
        <v>Philippe</v>
      </c>
      <c r="D395">
        <v>4801</v>
      </c>
      <c r="E395" t="str">
        <f>"CSG/CRDS NON DEDUCTIBLE"</f>
        <v>CSG/CRDS NON DEDUCTIBLE</v>
      </c>
      <c r="F395" s="4">
        <v>145.33000000000001</v>
      </c>
    </row>
    <row r="396" spans="1:6" x14ac:dyDescent="0.25">
      <c r="A396" s="1" t="s">
        <v>5</v>
      </c>
      <c r="B396" t="str">
        <f t="shared" si="20"/>
        <v>LAGAROSSE</v>
      </c>
      <c r="C396" t="str">
        <f t="shared" si="21"/>
        <v>Philippe</v>
      </c>
      <c r="D396">
        <v>6010</v>
      </c>
      <c r="E396" t="str">
        <f>"AVANTAGE EN NATURE"</f>
        <v>AVANTAGE EN NATURE</v>
      </c>
      <c r="F396" s="4">
        <v>-166.73</v>
      </c>
    </row>
    <row r="397" spans="1:6" x14ac:dyDescent="0.25">
      <c r="A397" s="1" t="s">
        <v>5</v>
      </c>
      <c r="B397" t="str">
        <f t="shared" si="20"/>
        <v>LAGAROSSE</v>
      </c>
      <c r="C397" t="str">
        <f t="shared" si="21"/>
        <v>Philippe</v>
      </c>
      <c r="D397">
        <v>6014</v>
      </c>
      <c r="E397" t="str">
        <f>"Frais professionnel DSN"</f>
        <v>Frais professionnel DSN</v>
      </c>
      <c r="F397" s="4">
        <v>103.8</v>
      </c>
    </row>
    <row r="398" spans="1:6" x14ac:dyDescent="0.25">
      <c r="A398" s="1" t="s">
        <v>5</v>
      </c>
      <c r="B398" t="str">
        <f t="shared" si="20"/>
        <v>LAGAROSSE</v>
      </c>
      <c r="C398" t="str">
        <f t="shared" si="21"/>
        <v>Philippe</v>
      </c>
      <c r="D398">
        <v>6030</v>
      </c>
      <c r="E398" t="str">
        <f>"TITRES RESTAURANT"</f>
        <v>TITRES RESTAURANT</v>
      </c>
      <c r="F398" s="4">
        <v>-57</v>
      </c>
    </row>
    <row r="399" spans="1:6" x14ac:dyDescent="0.25">
      <c r="A399" s="1" t="s">
        <v>5</v>
      </c>
      <c r="B399" t="str">
        <f t="shared" si="20"/>
        <v>LAGAROSSE</v>
      </c>
      <c r="C399" t="str">
        <f t="shared" si="21"/>
        <v>Philippe</v>
      </c>
      <c r="D399">
        <v>6031</v>
      </c>
      <c r="E399" t="str">
        <f>"TITRES RESTAURANT PP"</f>
        <v>TITRES RESTAURANT PP</v>
      </c>
      <c r="F399" s="4">
        <v>-85.5</v>
      </c>
    </row>
    <row r="400" spans="1:6" x14ac:dyDescent="0.25">
      <c r="A400" s="1" t="s">
        <v>5</v>
      </c>
      <c r="B400" t="str">
        <f t="shared" si="20"/>
        <v>LAGAROSSE</v>
      </c>
      <c r="C400" t="str">
        <f t="shared" si="21"/>
        <v>Philippe</v>
      </c>
      <c r="D400">
        <v>6210</v>
      </c>
      <c r="E400" t="str">
        <f>"RTT ACQUIS DU MOIS"</f>
        <v>RTT ACQUIS DU MOIS</v>
      </c>
      <c r="F400" s="4">
        <v>0.83</v>
      </c>
    </row>
    <row r="401" spans="1:6" x14ac:dyDescent="0.25">
      <c r="A401" s="1" t="s">
        <v>5</v>
      </c>
      <c r="B401" t="str">
        <f t="shared" si="20"/>
        <v>LAGAROSSE</v>
      </c>
      <c r="C401" t="str">
        <f t="shared" si="21"/>
        <v>Philippe</v>
      </c>
      <c r="D401">
        <v>6220</v>
      </c>
      <c r="E401" t="str">
        <f>"RTT SOLDE FIN DE MOIS"</f>
        <v>RTT SOLDE FIN DE MOIS</v>
      </c>
      <c r="F401" s="4">
        <v>5.13</v>
      </c>
    </row>
    <row r="402" spans="1:6" x14ac:dyDescent="0.25">
      <c r="A402" s="1" t="s">
        <v>5</v>
      </c>
      <c r="B402" t="str">
        <f t="shared" si="20"/>
        <v>LAGAROSSE</v>
      </c>
      <c r="C402" t="str">
        <f t="shared" si="21"/>
        <v>Philippe</v>
      </c>
      <c r="D402">
        <v>6250</v>
      </c>
      <c r="E402" t="str">
        <f>"ACQUIS CP N-1"</f>
        <v>ACQUIS CP N-1</v>
      </c>
      <c r="F402" s="4">
        <v>17</v>
      </c>
    </row>
    <row r="403" spans="1:6" x14ac:dyDescent="0.25">
      <c r="A403" s="1" t="s">
        <v>5</v>
      </c>
      <c r="B403" t="str">
        <f t="shared" si="20"/>
        <v>LAGAROSSE</v>
      </c>
      <c r="C403" t="str">
        <f t="shared" si="21"/>
        <v>Philippe</v>
      </c>
      <c r="D403">
        <v>6260</v>
      </c>
      <c r="E403" t="str">
        <f>"SOLDE CP N-1"</f>
        <v>SOLDE CP N-1</v>
      </c>
      <c r="F403" s="4">
        <v>17</v>
      </c>
    </row>
    <row r="404" spans="1:6" x14ac:dyDescent="0.25">
      <c r="A404" s="1" t="s">
        <v>5</v>
      </c>
      <c r="B404" t="str">
        <f t="shared" si="20"/>
        <v>LAGAROSSE</v>
      </c>
      <c r="C404" t="str">
        <f t="shared" si="21"/>
        <v>Philippe</v>
      </c>
      <c r="D404">
        <v>6265</v>
      </c>
      <c r="E404" t="str">
        <f>"ACQUIS CP N"</f>
        <v>ACQUIS CP N</v>
      </c>
      <c r="F404" s="4">
        <v>16.5</v>
      </c>
    </row>
    <row r="405" spans="1:6" x14ac:dyDescent="0.25">
      <c r="A405" s="1" t="s">
        <v>5</v>
      </c>
      <c r="B405" t="str">
        <f t="shared" si="20"/>
        <v>LAGAROSSE</v>
      </c>
      <c r="C405" t="str">
        <f t="shared" si="21"/>
        <v>Philippe</v>
      </c>
      <c r="D405">
        <v>7092</v>
      </c>
      <c r="E405" t="str">
        <f>"TX CHG PAT SOC"</f>
        <v>TX CHG PAT SOC</v>
      </c>
      <c r="F405" s="4">
        <v>42.96</v>
      </c>
    </row>
    <row r="406" spans="1:6" x14ac:dyDescent="0.25">
      <c r="A406" s="1" t="s">
        <v>5</v>
      </c>
      <c r="B406" t="str">
        <f t="shared" si="20"/>
        <v>LAGAROSSE</v>
      </c>
      <c r="C406" t="str">
        <f t="shared" si="21"/>
        <v>Philippe</v>
      </c>
      <c r="D406">
        <v>7105</v>
      </c>
      <c r="E406" t="str">
        <f>"PROV CP  SALAIRE"</f>
        <v>PROV CP  SALAIRE</v>
      </c>
      <c r="F406" s="4">
        <v>7627.62</v>
      </c>
    </row>
    <row r="407" spans="1:6" x14ac:dyDescent="0.25">
      <c r="A407" s="1" t="s">
        <v>5</v>
      </c>
      <c r="B407" t="str">
        <f t="shared" si="20"/>
        <v>LAGAROSSE</v>
      </c>
      <c r="C407" t="str">
        <f t="shared" si="21"/>
        <v>Philippe</v>
      </c>
      <c r="D407">
        <v>7115</v>
      </c>
      <c r="E407" t="str">
        <f>"PROV CP N CHG PAT SOC"</f>
        <v>PROV CP N CHG PAT SOC</v>
      </c>
      <c r="F407" s="4">
        <v>3276.83</v>
      </c>
    </row>
    <row r="408" spans="1:6" x14ac:dyDescent="0.25">
      <c r="A408" s="1" t="s">
        <v>5</v>
      </c>
      <c r="B408" t="str">
        <f t="shared" si="20"/>
        <v>LAGAROSSE</v>
      </c>
      <c r="C408" t="str">
        <f t="shared" si="21"/>
        <v>Philippe</v>
      </c>
      <c r="D408">
        <v>7125</v>
      </c>
      <c r="E408" t="str">
        <f>"AN PROV CP N SALAIRE"</f>
        <v>AN PROV CP N SALAIRE</v>
      </c>
      <c r="F408" s="4">
        <v>-7154.02</v>
      </c>
    </row>
    <row r="409" spans="1:6" x14ac:dyDescent="0.25">
      <c r="A409" s="1" t="s">
        <v>5</v>
      </c>
      <c r="B409" t="str">
        <f t="shared" si="20"/>
        <v>LAGAROSSE</v>
      </c>
      <c r="C409" t="str">
        <f t="shared" si="21"/>
        <v>Philippe</v>
      </c>
      <c r="D409">
        <v>7135</v>
      </c>
      <c r="E409" t="str">
        <f>"AN PROV CP N CHG PAT SOC"</f>
        <v>AN PROV CP N CHG PAT SOC</v>
      </c>
      <c r="F409" s="4">
        <v>-3072.65</v>
      </c>
    </row>
    <row r="410" spans="1:6" x14ac:dyDescent="0.25">
      <c r="A410" s="1" t="s">
        <v>5</v>
      </c>
      <c r="B410" t="str">
        <f t="shared" si="20"/>
        <v>LAGAROSSE</v>
      </c>
      <c r="C410" t="str">
        <f t="shared" si="21"/>
        <v>Philippe</v>
      </c>
      <c r="D410">
        <v>7210</v>
      </c>
      <c r="E410" t="str">
        <f>"PROV RTT SALAIRE"</f>
        <v>PROV RTT SALAIRE</v>
      </c>
      <c r="F410" s="4">
        <v>1168.05</v>
      </c>
    </row>
    <row r="411" spans="1:6" x14ac:dyDescent="0.25">
      <c r="A411" s="1" t="s">
        <v>5</v>
      </c>
      <c r="B411" t="str">
        <f t="shared" si="20"/>
        <v>LAGAROSSE</v>
      </c>
      <c r="C411" t="str">
        <f t="shared" si="21"/>
        <v>Philippe</v>
      </c>
      <c r="D411">
        <v>7220</v>
      </c>
      <c r="E411" t="str">
        <f>"PROV RTT CHG PAT SOC"</f>
        <v>PROV RTT CHG PAT SOC</v>
      </c>
      <c r="F411" s="4">
        <v>501.79</v>
      </c>
    </row>
    <row r="412" spans="1:6" x14ac:dyDescent="0.25">
      <c r="A412" s="1" t="s">
        <v>5</v>
      </c>
      <c r="B412" t="str">
        <f t="shared" si="20"/>
        <v>LAGAROSSE</v>
      </c>
      <c r="C412" t="str">
        <f t="shared" si="21"/>
        <v>Philippe</v>
      </c>
      <c r="D412">
        <v>7230</v>
      </c>
      <c r="E412" t="str">
        <f>"AN PROV RTT SALAIRE"</f>
        <v>AN PROV RTT SALAIRE</v>
      </c>
      <c r="F412" s="4">
        <v>-979.07</v>
      </c>
    </row>
    <row r="413" spans="1:6" x14ac:dyDescent="0.25">
      <c r="A413" s="1" t="s">
        <v>5</v>
      </c>
      <c r="B413" t="str">
        <f t="shared" si="20"/>
        <v>LAGAROSSE</v>
      </c>
      <c r="C413" t="str">
        <f t="shared" si="21"/>
        <v>Philippe</v>
      </c>
      <c r="D413">
        <v>7240</v>
      </c>
      <c r="E413" t="str">
        <f>"AN PROV RTT CHG PAT SOC"</f>
        <v>AN PROV RTT CHG PAT SOC</v>
      </c>
      <c r="F413" s="4">
        <v>-420.51</v>
      </c>
    </row>
    <row r="414" spans="1:6" x14ac:dyDescent="0.25">
      <c r="A414" s="1" t="s">
        <v>5</v>
      </c>
      <c r="B414" t="str">
        <f t="shared" si="20"/>
        <v>LAGAROSSE</v>
      </c>
      <c r="C414" t="str">
        <f t="shared" si="21"/>
        <v>Philippe</v>
      </c>
      <c r="D414">
        <v>8030</v>
      </c>
      <c r="E414" t="str">
        <f>"NB JOURS CALENDAIRES"</f>
        <v>NB JOURS CALENDAIRES</v>
      </c>
      <c r="F414" s="4">
        <v>30</v>
      </c>
    </row>
    <row r="415" spans="1:6" x14ac:dyDescent="0.25">
      <c r="A415" s="1" t="s">
        <v>5</v>
      </c>
      <c r="B415" t="str">
        <f t="shared" si="20"/>
        <v>LAGAROSSE</v>
      </c>
      <c r="C415" t="str">
        <f t="shared" si="21"/>
        <v>Philippe</v>
      </c>
      <c r="D415">
        <v>7305</v>
      </c>
      <c r="E415" t="str">
        <f>"P PrimesVac SALAIRE"</f>
        <v>P PrimesVac SALAIRE</v>
      </c>
      <c r="F415" s="4">
        <v>1236.8800000000001</v>
      </c>
    </row>
    <row r="416" spans="1:6" x14ac:dyDescent="0.25">
      <c r="A416" s="1" t="s">
        <v>5</v>
      </c>
      <c r="B416" t="str">
        <f t="shared" si="20"/>
        <v>LAGAROSSE</v>
      </c>
      <c r="C416" t="str">
        <f t="shared" si="21"/>
        <v>Philippe</v>
      </c>
      <c r="D416">
        <v>7315</v>
      </c>
      <c r="E416" t="str">
        <f>"P PrimesVac CHG PAT SOC"</f>
        <v>P PrimesVac CHG PAT SOC</v>
      </c>
      <c r="F416" s="4">
        <v>531.36</v>
      </c>
    </row>
    <row r="417" spans="1:6" x14ac:dyDescent="0.25">
      <c r="A417" s="1" t="s">
        <v>5</v>
      </c>
      <c r="B417" t="str">
        <f t="shared" si="20"/>
        <v>LAGAROSSE</v>
      </c>
      <c r="C417" t="str">
        <f t="shared" si="21"/>
        <v>Philippe</v>
      </c>
      <c r="D417">
        <v>7325</v>
      </c>
      <c r="E417" t="str">
        <f>"A PROV PrimesVac SALAIRE"</f>
        <v>A PROV PrimesVac SALAIRE</v>
      </c>
      <c r="F417" s="4">
        <v>-1034.1099999999999</v>
      </c>
    </row>
    <row r="418" spans="1:6" x14ac:dyDescent="0.25">
      <c r="A418" s="1" t="s">
        <v>5</v>
      </c>
      <c r="B418" t="str">
        <f t="shared" si="20"/>
        <v>LAGAROSSE</v>
      </c>
      <c r="C418" t="str">
        <f t="shared" si="21"/>
        <v>Philippe</v>
      </c>
      <c r="D418">
        <v>7335</v>
      </c>
      <c r="E418" t="str">
        <f>"A PROV PrimesVac CHG PAT SOC"</f>
        <v>A PROV PrimesVac CHG PAT SOC</v>
      </c>
      <c r="F418" s="4">
        <v>-444.15</v>
      </c>
    </row>
    <row r="419" spans="1:6" x14ac:dyDescent="0.25">
      <c r="A419" s="1" t="s">
        <v>5</v>
      </c>
      <c r="B419" t="str">
        <f t="shared" si="20"/>
        <v>LAGAROSSE</v>
      </c>
      <c r="C419" t="str">
        <f t="shared" si="21"/>
        <v>Philippe</v>
      </c>
      <c r="D419">
        <v>7355</v>
      </c>
      <c r="E419" t="str">
        <f>"P PRIME SALAIRE"</f>
        <v>P PRIME SALAIRE</v>
      </c>
      <c r="F419" s="4">
        <v>915.07</v>
      </c>
    </row>
    <row r="420" spans="1:6" x14ac:dyDescent="0.25">
      <c r="A420" s="1" t="s">
        <v>5</v>
      </c>
      <c r="B420" t="str">
        <f t="shared" si="20"/>
        <v>LAGAROSSE</v>
      </c>
      <c r="C420" t="str">
        <f t="shared" si="21"/>
        <v>Philippe</v>
      </c>
      <c r="D420">
        <v>7365</v>
      </c>
      <c r="E420" t="str">
        <f>"P PRIME CHG PAT SOC"</f>
        <v>P PRIME CHG PAT SOC</v>
      </c>
      <c r="F420" s="4">
        <v>393.11</v>
      </c>
    </row>
    <row r="421" spans="1:6" x14ac:dyDescent="0.25">
      <c r="A421" s="1" t="s">
        <v>5</v>
      </c>
      <c r="B421" t="str">
        <f t="shared" si="20"/>
        <v>LAGAROSSE</v>
      </c>
      <c r="C421" t="str">
        <f t="shared" si="21"/>
        <v>Philippe</v>
      </c>
      <c r="D421">
        <v>7375</v>
      </c>
      <c r="E421" t="str">
        <f>"A PRIME SALAIRE"</f>
        <v>A PRIME SALAIRE</v>
      </c>
      <c r="F421" s="4">
        <v>-832.88</v>
      </c>
    </row>
    <row r="422" spans="1:6" x14ac:dyDescent="0.25">
      <c r="A422" s="1" t="s">
        <v>5</v>
      </c>
      <c r="B422" t="str">
        <f t="shared" si="20"/>
        <v>LAGAROSSE</v>
      </c>
      <c r="C422" t="str">
        <f t="shared" si="21"/>
        <v>Philippe</v>
      </c>
      <c r="D422">
        <v>7385</v>
      </c>
      <c r="E422" t="str">
        <f>"A PRIME CHG PAT SOC"</f>
        <v>A PRIME CHG PAT SOC</v>
      </c>
      <c r="F422" s="4">
        <v>-357.72</v>
      </c>
    </row>
    <row r="423" spans="1:6" x14ac:dyDescent="0.25">
      <c r="A423" s="1" t="s">
        <v>5</v>
      </c>
      <c r="B423" t="str">
        <f t="shared" si="20"/>
        <v>LAGAROSSE</v>
      </c>
      <c r="C423" t="str">
        <f t="shared" si="21"/>
        <v>Philippe</v>
      </c>
      <c r="D423">
        <v>7992</v>
      </c>
      <c r="E423" t="str">
        <f>"REINT PP MUTUELLE NET IMPOS"</f>
        <v>REINT PP MUTUELLE NET IMPOS</v>
      </c>
      <c r="F423" s="4">
        <v>75.87</v>
      </c>
    </row>
    <row r="424" spans="1:6" x14ac:dyDescent="0.25">
      <c r="A424" s="1" t="s">
        <v>5</v>
      </c>
      <c r="B424" t="str">
        <f t="shared" si="20"/>
        <v>LAGAROSSE</v>
      </c>
      <c r="C424" t="str">
        <f t="shared" si="21"/>
        <v>Philippe</v>
      </c>
      <c r="D424">
        <v>8005</v>
      </c>
      <c r="E424" t="str">
        <f>"HEURES TRAVAILLEES"</f>
        <v>HEURES TRAVAILLEES</v>
      </c>
      <c r="F424" s="4">
        <v>151.66999999999999</v>
      </c>
    </row>
    <row r="425" spans="1:6" x14ac:dyDescent="0.25">
      <c r="A425" s="1" t="s">
        <v>5</v>
      </c>
      <c r="B425" t="str">
        <f t="shared" si="20"/>
        <v>LAGAROSSE</v>
      </c>
      <c r="C425" t="str">
        <f t="shared" si="21"/>
        <v>Philippe</v>
      </c>
      <c r="D425">
        <v>8010</v>
      </c>
      <c r="E425" t="str">
        <f>"HEURES REMUNEREES"</f>
        <v>HEURES REMUNEREES</v>
      </c>
      <c r="F425" s="4">
        <v>151.66999999999999</v>
      </c>
    </row>
    <row r="426" spans="1:6" x14ac:dyDescent="0.25">
      <c r="A426" s="1" t="s">
        <v>5</v>
      </c>
      <c r="B426" t="str">
        <f t="shared" si="20"/>
        <v>LAGAROSSE</v>
      </c>
      <c r="C426" t="str">
        <f t="shared" si="21"/>
        <v>Philippe</v>
      </c>
      <c r="D426">
        <v>8015</v>
      </c>
      <c r="E426" t="str">
        <f>"HEURES REMUNEREES FILLON"</f>
        <v>HEURES REMUNEREES FILLON</v>
      </c>
      <c r="F426" s="4">
        <v>151.41999999999999</v>
      </c>
    </row>
    <row r="427" spans="1:6" x14ac:dyDescent="0.25">
      <c r="A427" s="1" t="s">
        <v>5</v>
      </c>
      <c r="B427" t="str">
        <f t="shared" si="20"/>
        <v>LAGAROSSE</v>
      </c>
      <c r="C427" t="str">
        <f t="shared" si="21"/>
        <v>Philippe</v>
      </c>
      <c r="D427">
        <v>8101</v>
      </c>
      <c r="E427" t="str">
        <f>"Test allègement CAF ET MALADIE"</f>
        <v>Test allègement CAF ET MALADIE</v>
      </c>
      <c r="F427" s="4">
        <v>91.81</v>
      </c>
    </row>
    <row r="428" spans="1:6" x14ac:dyDescent="0.25">
      <c r="A428" s="1" t="s">
        <v>5</v>
      </c>
      <c r="B428" t="str">
        <f t="shared" si="20"/>
        <v>LAGAROSSE</v>
      </c>
      <c r="C428" t="str">
        <f t="shared" si="21"/>
        <v>Philippe</v>
      </c>
      <c r="D428">
        <v>8202</v>
      </c>
      <c r="E428" t="str">
        <f>"DUREE REMUNEREE"</f>
        <v>DUREE REMUNEREE</v>
      </c>
      <c r="F428" s="4">
        <v>21.67</v>
      </c>
    </row>
    <row r="429" spans="1:6" x14ac:dyDescent="0.25">
      <c r="A429" s="1" t="s">
        <v>5</v>
      </c>
      <c r="B429" t="str">
        <f t="shared" si="20"/>
        <v>LAGAROSSE</v>
      </c>
      <c r="C429" t="str">
        <f t="shared" si="21"/>
        <v>Philippe</v>
      </c>
      <c r="D429">
        <v>8206</v>
      </c>
      <c r="E429" t="str">
        <f>"SALAIRE RETABLI"</f>
        <v>SALAIRE RETABLI</v>
      </c>
      <c r="F429" s="4">
        <v>5100.7299999999996</v>
      </c>
    </row>
    <row r="430" spans="1:6" x14ac:dyDescent="0.25">
      <c r="A430" s="1" t="s">
        <v>5</v>
      </c>
      <c r="B430" t="str">
        <f t="shared" si="20"/>
        <v>LAGAROSSE</v>
      </c>
      <c r="C430" t="str">
        <f t="shared" si="21"/>
        <v>Philippe</v>
      </c>
      <c r="D430">
        <v>8208</v>
      </c>
      <c r="E430" t="str">
        <f>"BRUT FISCAL"</f>
        <v>BRUT FISCAL</v>
      </c>
      <c r="F430" s="4">
        <v>5215.68</v>
      </c>
    </row>
    <row r="431" spans="1:6" x14ac:dyDescent="0.25">
      <c r="A431" s="1" t="s">
        <v>5</v>
      </c>
      <c r="B431" t="str">
        <f t="shared" si="20"/>
        <v>LAGAROSSE</v>
      </c>
      <c r="C431" t="str">
        <f t="shared" si="21"/>
        <v>Philippe</v>
      </c>
      <c r="D431">
        <v>9896</v>
      </c>
      <c r="E431" t="str">
        <f>"Prélèvement à la source"</f>
        <v>Prélèvement à la source</v>
      </c>
      <c r="F431" s="4">
        <v>-271.95999999999998</v>
      </c>
    </row>
    <row r="432" spans="1:6" x14ac:dyDescent="0.25">
      <c r="A432" s="1" t="s">
        <v>5</v>
      </c>
      <c r="B432" t="str">
        <f t="shared" si="20"/>
        <v>LAGAROSSE</v>
      </c>
      <c r="C432" t="str">
        <f t="shared" si="21"/>
        <v>Philippe</v>
      </c>
      <c r="D432">
        <v>9899</v>
      </c>
      <c r="E432" t="str">
        <f>"Extourne Net à Payer après PAS"</f>
        <v>Extourne Net à Payer après PAS</v>
      </c>
      <c r="F432" s="4">
        <v>-271.95999999999998</v>
      </c>
    </row>
    <row r="433" spans="1:6" x14ac:dyDescent="0.25">
      <c r="A433" s="1" t="s">
        <v>5</v>
      </c>
      <c r="B433" t="str">
        <f t="shared" si="20"/>
        <v>LAGAROSSE</v>
      </c>
      <c r="C433" t="str">
        <f t="shared" si="21"/>
        <v>Philippe</v>
      </c>
      <c r="D433">
        <v>9994</v>
      </c>
      <c r="E433" t="str">
        <f>"ETP Egalité F/H"</f>
        <v>ETP Egalité F/H</v>
      </c>
      <c r="F433" s="4">
        <v>1</v>
      </c>
    </row>
    <row r="434" spans="1:6" x14ac:dyDescent="0.25">
      <c r="A434" s="1" t="s">
        <v>5</v>
      </c>
      <c r="B434" t="str">
        <f t="shared" si="20"/>
        <v>LAGAROSSE</v>
      </c>
      <c r="C434" t="str">
        <f t="shared" si="21"/>
        <v>Philippe</v>
      </c>
      <c r="D434">
        <v>9995</v>
      </c>
      <c r="E434" t="str">
        <f>"ETP PRORTISE JOURS OUVRES"</f>
        <v>ETP PRORTISE JOURS OUVRES</v>
      </c>
      <c r="F434" s="4">
        <v>1</v>
      </c>
    </row>
    <row r="435" spans="1:6" x14ac:dyDescent="0.25">
      <c r="A435" s="1" t="s">
        <v>5</v>
      </c>
      <c r="B435" t="str">
        <f t="shared" ref="B435:B452" si="22">"LAGAROSSE"</f>
        <v>LAGAROSSE</v>
      </c>
      <c r="C435" t="str">
        <f t="shared" ref="C435:C452" si="23">"Philippe"</f>
        <v>Philippe</v>
      </c>
      <c r="D435">
        <v>9999</v>
      </c>
      <c r="E435" t="str">
        <f>"**Dont gain pouvoir d'achat**"</f>
        <v>**Dont gain pouvoir d'achat**</v>
      </c>
      <c r="F435" s="4">
        <v>73.53</v>
      </c>
    </row>
    <row r="436" spans="1:6" x14ac:dyDescent="0.25">
      <c r="A436" s="1" t="s">
        <v>5</v>
      </c>
      <c r="B436" t="str">
        <f t="shared" si="22"/>
        <v>LAGAROSSE</v>
      </c>
      <c r="C436" t="str">
        <f t="shared" si="23"/>
        <v>Philippe</v>
      </c>
      <c r="D436" t="str">
        <f>"PRESENCE"</f>
        <v>PRESENCE</v>
      </c>
      <c r="E436" t="str">
        <f>"Présence"</f>
        <v>Présence</v>
      </c>
      <c r="F436" s="4">
        <v>151.66999999999999</v>
      </c>
    </row>
    <row r="437" spans="1:6" x14ac:dyDescent="0.25">
      <c r="A437" s="1" t="s">
        <v>5</v>
      </c>
      <c r="B437" t="str">
        <f t="shared" si="22"/>
        <v>LAGAROSSE</v>
      </c>
      <c r="C437" t="str">
        <f t="shared" si="23"/>
        <v>Philippe</v>
      </c>
      <c r="D437" t="str">
        <f>"BRUT"</f>
        <v>BRUT</v>
      </c>
      <c r="E437" t="str">
        <f>"Brut"</f>
        <v>Brut</v>
      </c>
      <c r="F437" s="4">
        <v>5100.7299999999996</v>
      </c>
    </row>
    <row r="438" spans="1:6" x14ac:dyDescent="0.25">
      <c r="A438" s="1" t="s">
        <v>5</v>
      </c>
      <c r="B438" t="str">
        <f t="shared" si="22"/>
        <v>LAGAROSSE</v>
      </c>
      <c r="C438" t="str">
        <f t="shared" si="23"/>
        <v>Philippe</v>
      </c>
      <c r="D438" t="str">
        <f>"COTISAL"</f>
        <v>COTISAL</v>
      </c>
      <c r="E438" t="str">
        <f>"Cotisations salariales"</f>
        <v>Cotisations salariales</v>
      </c>
      <c r="F438" s="4">
        <v>1141.31</v>
      </c>
    </row>
    <row r="439" spans="1:6" x14ac:dyDescent="0.25">
      <c r="A439" s="1" t="s">
        <v>5</v>
      </c>
      <c r="B439" t="str">
        <f t="shared" si="22"/>
        <v>LAGAROSSE</v>
      </c>
      <c r="C439" t="str">
        <f t="shared" si="23"/>
        <v>Philippe</v>
      </c>
      <c r="D439" t="str">
        <f>"COTIPAT"</f>
        <v>COTIPAT</v>
      </c>
      <c r="E439" t="str">
        <f>"Cotisations patronales"</f>
        <v>Cotisations patronales</v>
      </c>
      <c r="F439" s="4">
        <v>1266.6300000000001</v>
      </c>
    </row>
    <row r="440" spans="1:6" x14ac:dyDescent="0.25">
      <c r="A440" s="1" t="s">
        <v>5</v>
      </c>
      <c r="B440" t="str">
        <f t="shared" si="22"/>
        <v>LAGAROSSE</v>
      </c>
      <c r="C440" t="str">
        <f t="shared" si="23"/>
        <v>Philippe</v>
      </c>
      <c r="D440" t="str">
        <f>"NETPAIE"</f>
        <v>NETPAIE</v>
      </c>
      <c r="E440" t="str">
        <f>"Net à payer"</f>
        <v>Net à payer</v>
      </c>
      <c r="F440" s="4">
        <v>3463.73</v>
      </c>
    </row>
    <row r="441" spans="1:6" x14ac:dyDescent="0.25">
      <c r="A441" s="1" t="s">
        <v>5</v>
      </c>
      <c r="B441" t="str">
        <f t="shared" si="22"/>
        <v>LAGAROSSE</v>
      </c>
      <c r="C441" t="str">
        <f t="shared" si="23"/>
        <v>Philippe</v>
      </c>
      <c r="D441" t="str">
        <f>"NETIMPO"</f>
        <v>NETIMPO</v>
      </c>
      <c r="E441" t="str">
        <f>"Net imposable"</f>
        <v>Net imposable</v>
      </c>
      <c r="F441" s="4">
        <v>4183.95</v>
      </c>
    </row>
    <row r="442" spans="1:6" x14ac:dyDescent="0.25">
      <c r="A442" s="1" t="s">
        <v>5</v>
      </c>
      <c r="B442" t="str">
        <f t="shared" si="22"/>
        <v>LAGAROSSE</v>
      </c>
      <c r="C442" t="str">
        <f t="shared" si="23"/>
        <v>Philippe</v>
      </c>
      <c r="D442" t="str">
        <f>"AVANTUR"</f>
        <v>AVANTUR</v>
      </c>
      <c r="E442" t="str">
        <f>"Avantages en nature"</f>
        <v>Avantages en nature</v>
      </c>
      <c r="F442" s="4">
        <v>166.73</v>
      </c>
    </row>
    <row r="443" spans="1:6" x14ac:dyDescent="0.25">
      <c r="A443" s="1" t="s">
        <v>5</v>
      </c>
      <c r="B443" t="str">
        <f t="shared" si="22"/>
        <v>LAGAROSSE</v>
      </c>
      <c r="C443" t="str">
        <f t="shared" si="23"/>
        <v>Philippe</v>
      </c>
      <c r="D443" t="str">
        <f>"TOTALHTRAV"</f>
        <v>TOTALHTRAV</v>
      </c>
      <c r="E443" t="str">
        <f>"Total des heures travaillées"</f>
        <v>Total des heures travaillées</v>
      </c>
      <c r="F443" s="4">
        <v>151.66999999999999</v>
      </c>
    </row>
    <row r="444" spans="1:6" x14ac:dyDescent="0.25">
      <c r="A444" s="1" t="s">
        <v>5</v>
      </c>
      <c r="B444" t="str">
        <f t="shared" si="22"/>
        <v>LAGAROSSE</v>
      </c>
      <c r="C444" t="str">
        <f t="shared" si="23"/>
        <v>Philippe</v>
      </c>
      <c r="D444" t="str">
        <f>"TOTALHS"</f>
        <v>TOTALHS</v>
      </c>
      <c r="E444" t="str">
        <f>"Total des hres supplémentaires"</f>
        <v>Total des hres supplémentaires</v>
      </c>
      <c r="F444" s="4">
        <v>0</v>
      </c>
    </row>
    <row r="445" spans="1:6" x14ac:dyDescent="0.25">
      <c r="A445" s="1" t="s">
        <v>5</v>
      </c>
      <c r="B445" t="str">
        <f t="shared" si="22"/>
        <v>LAGAROSSE</v>
      </c>
      <c r="C445" t="str">
        <f t="shared" si="23"/>
        <v>Philippe</v>
      </c>
      <c r="D445" t="str">
        <f>"TOTALHC"</f>
        <v>TOTALHC</v>
      </c>
      <c r="E445" t="str">
        <f>"Total des hres complémentaires"</f>
        <v>Total des hres complémentaires</v>
      </c>
      <c r="F445" s="4">
        <v>0</v>
      </c>
    </row>
    <row r="446" spans="1:6" x14ac:dyDescent="0.25">
      <c r="A446" s="1" t="s">
        <v>5</v>
      </c>
      <c r="B446" t="str">
        <f t="shared" si="22"/>
        <v>LAGAROSSE</v>
      </c>
      <c r="C446" t="str">
        <f t="shared" si="23"/>
        <v>Philippe</v>
      </c>
      <c r="D446" t="str">
        <f>"TOTALHA"</f>
        <v>TOTALHA</v>
      </c>
      <c r="E446" t="str">
        <f>"Total des heures d'absence"</f>
        <v>Total des heures d'absence</v>
      </c>
      <c r="F446" s="4">
        <v>0</v>
      </c>
    </row>
    <row r="447" spans="1:6" x14ac:dyDescent="0.25">
      <c r="A447" s="1" t="s">
        <v>5</v>
      </c>
      <c r="B447" t="str">
        <f t="shared" si="22"/>
        <v>LAGAROSSE</v>
      </c>
      <c r="C447" t="str">
        <f t="shared" si="23"/>
        <v>Philippe</v>
      </c>
      <c r="D447" t="str">
        <f>"ABSENCE"</f>
        <v>ABSENCE</v>
      </c>
      <c r="E447" t="str">
        <f>"Absence"</f>
        <v>Absence</v>
      </c>
      <c r="F447" s="4">
        <v>0</v>
      </c>
    </row>
    <row r="448" spans="1:6" x14ac:dyDescent="0.25">
      <c r="A448" s="1" t="s">
        <v>5</v>
      </c>
      <c r="B448" t="str">
        <f t="shared" si="22"/>
        <v>LAGAROSSE</v>
      </c>
      <c r="C448" t="str">
        <f t="shared" si="23"/>
        <v>Philippe</v>
      </c>
      <c r="D448" t="str">
        <f>"COACMOIS"</f>
        <v>COACMOIS</v>
      </c>
      <c r="E448" t="str">
        <f>"Congés acquis dans le mois"</f>
        <v>Congés acquis dans le mois</v>
      </c>
      <c r="F448" s="4">
        <v>2.08</v>
      </c>
    </row>
    <row r="449" spans="1:6" x14ac:dyDescent="0.25">
      <c r="A449" s="1" t="s">
        <v>5</v>
      </c>
      <c r="B449" t="str">
        <f t="shared" si="22"/>
        <v>LAGAROSSE</v>
      </c>
      <c r="C449" t="str">
        <f t="shared" si="23"/>
        <v>Philippe</v>
      </c>
      <c r="D449" t="str">
        <f>"COPRIMOI"</f>
        <v>COPRIMOI</v>
      </c>
      <c r="E449" t="str">
        <f>"Congés pris dans le mois"</f>
        <v>Congés pris dans le mois</v>
      </c>
      <c r="F449" s="4">
        <v>0</v>
      </c>
    </row>
    <row r="450" spans="1:6" x14ac:dyDescent="0.25">
      <c r="A450" s="1" t="s">
        <v>5</v>
      </c>
      <c r="B450" t="str">
        <f t="shared" si="22"/>
        <v>LAGAROSSE</v>
      </c>
      <c r="C450" t="str">
        <f t="shared" si="23"/>
        <v>Philippe</v>
      </c>
      <c r="D450" t="str">
        <f>"TOTALPRES"</f>
        <v>TOTALPRES</v>
      </c>
      <c r="E450" t="str">
        <f>"Total des heures de présence"</f>
        <v>Total des heures de présence</v>
      </c>
      <c r="F450" s="4">
        <v>151.66999999999999</v>
      </c>
    </row>
    <row r="451" spans="1:6" x14ac:dyDescent="0.25">
      <c r="A451" s="1" t="s">
        <v>5</v>
      </c>
      <c r="B451" t="str">
        <f t="shared" si="22"/>
        <v>LAGAROSSE</v>
      </c>
      <c r="C451" t="str">
        <f t="shared" si="23"/>
        <v>Philippe</v>
      </c>
      <c r="D451" t="str">
        <f>"TOTHANA"</f>
        <v>TOTHANA</v>
      </c>
      <c r="E451" t="str">
        <f>"Total des heures / Analytique"</f>
        <v>Total des heures / Analytique</v>
      </c>
      <c r="F451" s="4">
        <v>0</v>
      </c>
    </row>
    <row r="452" spans="1:6" x14ac:dyDescent="0.25">
      <c r="A452" s="1" t="s">
        <v>5</v>
      </c>
      <c r="B452" t="str">
        <f t="shared" si="22"/>
        <v>LAGAROSSE</v>
      </c>
      <c r="C452" t="str">
        <f t="shared" si="23"/>
        <v>Philippe</v>
      </c>
      <c r="D452" t="str">
        <f>"COUT_TOTAL"</f>
        <v>COUT_TOTAL</v>
      </c>
      <c r="E452" t="str">
        <f>"Cout total"</f>
        <v>Cout total</v>
      </c>
      <c r="F452" s="4">
        <v>6367.36</v>
      </c>
    </row>
    <row r="453" spans="1:6" x14ac:dyDescent="0.25">
      <c r="A453" s="1" t="s">
        <v>6</v>
      </c>
      <c r="B453" t="str">
        <f t="shared" ref="B453:B516" si="24">"LETESSIER"</f>
        <v>LETESSIER</v>
      </c>
      <c r="C453" t="str">
        <f t="shared" ref="C453:C516" si="25">"Isabelle"</f>
        <v>Isabelle</v>
      </c>
      <c r="D453">
        <v>10</v>
      </c>
      <c r="E453" t="str">
        <f>"SALAIRE DE BASE"</f>
        <v>SALAIRE DE BASE</v>
      </c>
      <c r="F453" s="4">
        <v>2400</v>
      </c>
    </row>
    <row r="454" spans="1:6" x14ac:dyDescent="0.25">
      <c r="A454" s="1" t="s">
        <v>6</v>
      </c>
      <c r="B454" t="str">
        <f t="shared" si="24"/>
        <v>LETESSIER</v>
      </c>
      <c r="C454" t="str">
        <f t="shared" si="25"/>
        <v>Isabelle</v>
      </c>
      <c r="D454">
        <v>270</v>
      </c>
      <c r="E454" t="str">
        <f>"ABS CONGES PAYES (J)"</f>
        <v>ABS CONGES PAYES (J)</v>
      </c>
      <c r="F454" s="4">
        <v>-221.5</v>
      </c>
    </row>
    <row r="455" spans="1:6" x14ac:dyDescent="0.25">
      <c r="A455" s="1" t="s">
        <v>6</v>
      </c>
      <c r="B455" t="str">
        <f t="shared" si="24"/>
        <v>LETESSIER</v>
      </c>
      <c r="C455" t="str">
        <f t="shared" si="25"/>
        <v>Isabelle</v>
      </c>
      <c r="D455">
        <v>300</v>
      </c>
      <c r="E455" t="str">
        <f>"IND CONGES PAYES (J)"</f>
        <v>IND CONGES PAYES (J)</v>
      </c>
      <c r="F455" s="4">
        <v>221.5</v>
      </c>
    </row>
    <row r="456" spans="1:6" x14ac:dyDescent="0.25">
      <c r="A456" s="1" t="s">
        <v>6</v>
      </c>
      <c r="B456" t="str">
        <f t="shared" si="24"/>
        <v>LETESSIER</v>
      </c>
      <c r="C456" t="str">
        <f t="shared" si="25"/>
        <v>Isabelle</v>
      </c>
      <c r="D456">
        <v>1986</v>
      </c>
      <c r="E456" t="str">
        <f>"DSN - Nb jrs calendaires PSS"</f>
        <v>DSN - Nb jrs calendaires PSS</v>
      </c>
      <c r="F456" s="4">
        <v>30</v>
      </c>
    </row>
    <row r="457" spans="1:6" x14ac:dyDescent="0.25">
      <c r="A457" s="1" t="s">
        <v>6</v>
      </c>
      <c r="B457" t="str">
        <f t="shared" si="24"/>
        <v>LETESSIER</v>
      </c>
      <c r="C457" t="str">
        <f t="shared" si="25"/>
        <v>Isabelle</v>
      </c>
      <c r="D457">
        <v>3014</v>
      </c>
      <c r="E457" t="str">
        <f>"SS VIEIL DEPLAFONNEE"</f>
        <v>SS VIEIL DEPLAFONNEE</v>
      </c>
      <c r="F457" s="4">
        <v>9.6</v>
      </c>
    </row>
    <row r="458" spans="1:6" x14ac:dyDescent="0.25">
      <c r="A458" s="1" t="s">
        <v>6</v>
      </c>
      <c r="B458" t="str">
        <f t="shared" si="24"/>
        <v>LETESSIER</v>
      </c>
      <c r="C458" t="str">
        <f t="shared" si="25"/>
        <v>Isabelle</v>
      </c>
      <c r="D458">
        <v>3110</v>
      </c>
      <c r="E458" t="str">
        <f>"SS CG VIEILLESSE TA"</f>
        <v>SS CG VIEILLESSE TA</v>
      </c>
      <c r="F458" s="4">
        <v>165.6</v>
      </c>
    </row>
    <row r="459" spans="1:6" x14ac:dyDescent="0.25">
      <c r="A459" s="1" t="s">
        <v>6</v>
      </c>
      <c r="B459" t="str">
        <f t="shared" si="24"/>
        <v>LETESSIER</v>
      </c>
      <c r="C459" t="str">
        <f t="shared" si="25"/>
        <v>Isabelle</v>
      </c>
      <c r="D459">
        <v>3504</v>
      </c>
      <c r="E459" t="str">
        <f>"**LIMITE D'EXO AF"</f>
        <v>**LIMITE D'EXO AF</v>
      </c>
      <c r="F459" s="4">
        <v>2434</v>
      </c>
    </row>
    <row r="460" spans="1:6" x14ac:dyDescent="0.25">
      <c r="A460" s="1" t="s">
        <v>6</v>
      </c>
      <c r="B460" t="str">
        <f t="shared" si="24"/>
        <v>LETESSIER</v>
      </c>
      <c r="C460" t="str">
        <f t="shared" si="25"/>
        <v>Isabelle</v>
      </c>
      <c r="D460">
        <v>3501</v>
      </c>
      <c r="E460" t="str">
        <f>"** HISTORISATION REMUNERATION"</f>
        <v>** HISTORISATION REMUNERATION</v>
      </c>
      <c r="F460" s="4">
        <v>2400</v>
      </c>
    </row>
    <row r="461" spans="1:6" x14ac:dyDescent="0.25">
      <c r="A461" s="1" t="s">
        <v>6</v>
      </c>
      <c r="B461" t="str">
        <f t="shared" si="24"/>
        <v>LETESSIER</v>
      </c>
      <c r="C461" t="str">
        <f t="shared" si="25"/>
        <v>Isabelle</v>
      </c>
      <c r="D461">
        <v>4031</v>
      </c>
      <c r="E461" t="str">
        <f>"Réduction salariale chômage"</f>
        <v>Réduction salariale chômage</v>
      </c>
      <c r="F461" s="4">
        <v>-57.6</v>
      </c>
    </row>
    <row r="462" spans="1:6" x14ac:dyDescent="0.25">
      <c r="A462" s="1" t="s">
        <v>6</v>
      </c>
      <c r="B462" t="str">
        <f t="shared" si="24"/>
        <v>LETESSIER</v>
      </c>
      <c r="C462" t="str">
        <f t="shared" si="25"/>
        <v>Isabelle</v>
      </c>
      <c r="D462">
        <v>4610</v>
      </c>
      <c r="E462" t="str">
        <f>"Retraite T1"</f>
        <v>Retraite T1</v>
      </c>
      <c r="F462" s="4">
        <v>75.599999999999994</v>
      </c>
    </row>
    <row r="463" spans="1:6" x14ac:dyDescent="0.25">
      <c r="A463" s="1" t="s">
        <v>6</v>
      </c>
      <c r="B463" t="str">
        <f t="shared" si="24"/>
        <v>LETESSIER</v>
      </c>
      <c r="C463" t="str">
        <f t="shared" si="25"/>
        <v>Isabelle</v>
      </c>
      <c r="D463">
        <v>4625</v>
      </c>
      <c r="E463" t="str">
        <f>"CEG T1"</f>
        <v>CEG T1</v>
      </c>
      <c r="F463" s="4">
        <v>20.64</v>
      </c>
    </row>
    <row r="464" spans="1:6" x14ac:dyDescent="0.25">
      <c r="A464" s="1" t="s">
        <v>6</v>
      </c>
      <c r="B464" t="str">
        <f t="shared" si="24"/>
        <v>LETESSIER</v>
      </c>
      <c r="C464" t="str">
        <f t="shared" si="25"/>
        <v>Isabelle</v>
      </c>
      <c r="D464">
        <v>4723</v>
      </c>
      <c r="E464" t="str">
        <f>"PREVOYANCE TA NON CADRE"</f>
        <v>PREVOYANCE TA NON CADRE</v>
      </c>
      <c r="F464" s="4">
        <v>4.32</v>
      </c>
    </row>
    <row r="465" spans="1:6" x14ac:dyDescent="0.25">
      <c r="A465" s="1" t="s">
        <v>6</v>
      </c>
      <c r="B465" t="str">
        <f t="shared" si="24"/>
        <v>LETESSIER</v>
      </c>
      <c r="C465" t="str">
        <f t="shared" si="25"/>
        <v>Isabelle</v>
      </c>
      <c r="D465">
        <v>4778</v>
      </c>
      <c r="E465" t="str">
        <f>"MUTUELLE BASE OBLIGAT. NC (M)"</f>
        <v>MUTUELLE BASE OBLIGAT. NC (M)</v>
      </c>
      <c r="F465" s="4">
        <v>4.84</v>
      </c>
    </row>
    <row r="466" spans="1:6" x14ac:dyDescent="0.25">
      <c r="A466" s="1" t="s">
        <v>6</v>
      </c>
      <c r="B466" t="str">
        <f t="shared" si="24"/>
        <v>LETESSIER</v>
      </c>
      <c r="C466" t="str">
        <f t="shared" si="25"/>
        <v>Isabelle</v>
      </c>
      <c r="D466">
        <v>5500</v>
      </c>
      <c r="E466" t="str">
        <f>"MUTUELLE SUR COMPL. NC (C)"</f>
        <v>MUTUELLE SUR COMPL. NC (C)</v>
      </c>
      <c r="F466" s="4">
        <v>11.82</v>
      </c>
    </row>
    <row r="467" spans="1:6" x14ac:dyDescent="0.25">
      <c r="A467" s="1" t="s">
        <v>6</v>
      </c>
      <c r="B467" t="str">
        <f t="shared" si="24"/>
        <v>LETESSIER</v>
      </c>
      <c r="C467" t="str">
        <f t="shared" si="25"/>
        <v>Isabelle</v>
      </c>
      <c r="D467">
        <v>4797</v>
      </c>
      <c r="E467" t="str">
        <f>"CSG DEDUCTIBLE PREV-MUTUELLE"</f>
        <v>CSG DEDUCTIBLE PREV-MUTUELLE</v>
      </c>
      <c r="F467" s="4">
        <v>6.33</v>
      </c>
    </row>
    <row r="468" spans="1:6" x14ac:dyDescent="0.25">
      <c r="A468" s="1" t="s">
        <v>6</v>
      </c>
      <c r="B468" t="str">
        <f t="shared" si="24"/>
        <v>LETESSIER</v>
      </c>
      <c r="C468" t="str">
        <f t="shared" si="25"/>
        <v>Isabelle</v>
      </c>
      <c r="D468">
        <v>4798</v>
      </c>
      <c r="E468" t="str">
        <f>"CSG/CRDS NON DED.PREV.MUTUELLE"</f>
        <v>CSG/CRDS NON DED.PREV.MUTUELLE</v>
      </c>
      <c r="F468" s="4">
        <v>2.7</v>
      </c>
    </row>
    <row r="469" spans="1:6" x14ac:dyDescent="0.25">
      <c r="A469" s="1" t="s">
        <v>6</v>
      </c>
      <c r="B469" t="str">
        <f t="shared" si="24"/>
        <v>LETESSIER</v>
      </c>
      <c r="C469" t="str">
        <f t="shared" si="25"/>
        <v>Isabelle</v>
      </c>
      <c r="D469">
        <v>4800</v>
      </c>
      <c r="E469" t="str">
        <f>"CSG DEDUCTIBLE"</f>
        <v>CSG DEDUCTIBLE</v>
      </c>
      <c r="F469" s="4">
        <v>160.34</v>
      </c>
    </row>
    <row r="470" spans="1:6" x14ac:dyDescent="0.25">
      <c r="A470" s="1" t="s">
        <v>6</v>
      </c>
      <c r="B470" t="str">
        <f t="shared" si="24"/>
        <v>LETESSIER</v>
      </c>
      <c r="C470" t="str">
        <f t="shared" si="25"/>
        <v>Isabelle</v>
      </c>
      <c r="D470">
        <v>4801</v>
      </c>
      <c r="E470" t="str">
        <f>"CSG/CRDS NON DEDUCTIBLE"</f>
        <v>CSG/CRDS NON DEDUCTIBLE</v>
      </c>
      <c r="F470" s="4">
        <v>68.38</v>
      </c>
    </row>
    <row r="471" spans="1:6" x14ac:dyDescent="0.25">
      <c r="A471" s="1" t="s">
        <v>6</v>
      </c>
      <c r="B471" t="str">
        <f t="shared" si="24"/>
        <v>LETESSIER</v>
      </c>
      <c r="C471" t="str">
        <f t="shared" si="25"/>
        <v>Isabelle</v>
      </c>
      <c r="D471">
        <v>6210</v>
      </c>
      <c r="E471" t="str">
        <f>"RTT ACQUIS DU MOIS"</f>
        <v>RTT ACQUIS DU MOIS</v>
      </c>
      <c r="F471" s="4">
        <v>0.83</v>
      </c>
    </row>
    <row r="472" spans="1:6" x14ac:dyDescent="0.25">
      <c r="A472" s="1" t="s">
        <v>6</v>
      </c>
      <c r="B472" t="str">
        <f t="shared" si="24"/>
        <v>LETESSIER</v>
      </c>
      <c r="C472" t="str">
        <f t="shared" si="25"/>
        <v>Isabelle</v>
      </c>
      <c r="D472">
        <v>6220</v>
      </c>
      <c r="E472" t="str">
        <f>"RTT SOLDE FIN DE MOIS"</f>
        <v>RTT SOLDE FIN DE MOIS</v>
      </c>
      <c r="F472" s="4">
        <v>4.78</v>
      </c>
    </row>
    <row r="473" spans="1:6" x14ac:dyDescent="0.25">
      <c r="A473" s="1" t="s">
        <v>6</v>
      </c>
      <c r="B473" t="str">
        <f t="shared" si="24"/>
        <v>LETESSIER</v>
      </c>
      <c r="C473" t="str">
        <f t="shared" si="25"/>
        <v>Isabelle</v>
      </c>
      <c r="D473">
        <v>6250</v>
      </c>
      <c r="E473" t="str">
        <f>"ACQUIS CP N-1"</f>
        <v>ACQUIS CP N-1</v>
      </c>
      <c r="F473" s="4">
        <v>21.5</v>
      </c>
    </row>
    <row r="474" spans="1:6" x14ac:dyDescent="0.25">
      <c r="A474" s="1" t="s">
        <v>6</v>
      </c>
      <c r="B474" t="str">
        <f t="shared" si="24"/>
        <v>LETESSIER</v>
      </c>
      <c r="C474" t="str">
        <f t="shared" si="25"/>
        <v>Isabelle</v>
      </c>
      <c r="D474">
        <v>6255</v>
      </c>
      <c r="E474" t="str">
        <f>"PRIS CPN-1"</f>
        <v>PRIS CPN-1</v>
      </c>
      <c r="F474" s="4">
        <v>2</v>
      </c>
    </row>
    <row r="475" spans="1:6" x14ac:dyDescent="0.25">
      <c r="A475" s="1" t="s">
        <v>6</v>
      </c>
      <c r="B475" t="str">
        <f t="shared" si="24"/>
        <v>LETESSIER</v>
      </c>
      <c r="C475" t="str">
        <f t="shared" si="25"/>
        <v>Isabelle</v>
      </c>
      <c r="D475">
        <v>6260</v>
      </c>
      <c r="E475" t="str">
        <f>"SOLDE CP N-1"</f>
        <v>SOLDE CP N-1</v>
      </c>
      <c r="F475" s="4">
        <v>19.5</v>
      </c>
    </row>
    <row r="476" spans="1:6" x14ac:dyDescent="0.25">
      <c r="A476" s="1" t="s">
        <v>6</v>
      </c>
      <c r="B476" t="str">
        <f t="shared" si="24"/>
        <v>LETESSIER</v>
      </c>
      <c r="C476" t="str">
        <f t="shared" si="25"/>
        <v>Isabelle</v>
      </c>
      <c r="D476">
        <v>6265</v>
      </c>
      <c r="E476" t="str">
        <f>"ACQUIS CP N"</f>
        <v>ACQUIS CP N</v>
      </c>
      <c r="F476" s="4">
        <v>7.28</v>
      </c>
    </row>
    <row r="477" spans="1:6" x14ac:dyDescent="0.25">
      <c r="A477" s="1" t="s">
        <v>6</v>
      </c>
      <c r="B477" t="str">
        <f t="shared" si="24"/>
        <v>LETESSIER</v>
      </c>
      <c r="C477" t="str">
        <f t="shared" si="25"/>
        <v>Isabelle</v>
      </c>
      <c r="D477">
        <v>7092</v>
      </c>
      <c r="E477" t="str">
        <f>"TX CHG PAT SOC"</f>
        <v>TX CHG PAT SOC</v>
      </c>
      <c r="F477" s="4">
        <v>36.78</v>
      </c>
    </row>
    <row r="478" spans="1:6" x14ac:dyDescent="0.25">
      <c r="A478" s="1" t="s">
        <v>6</v>
      </c>
      <c r="B478" t="str">
        <f t="shared" si="24"/>
        <v>LETESSIER</v>
      </c>
      <c r="C478" t="str">
        <f t="shared" si="25"/>
        <v>Isabelle</v>
      </c>
      <c r="D478">
        <v>7105</v>
      </c>
      <c r="E478" t="str">
        <f>"PROV CP  SALAIRE"</f>
        <v>PROV CP  SALAIRE</v>
      </c>
      <c r="F478" s="4">
        <v>2965.89</v>
      </c>
    </row>
    <row r="479" spans="1:6" x14ac:dyDescent="0.25">
      <c r="A479" s="1" t="s">
        <v>6</v>
      </c>
      <c r="B479" t="str">
        <f t="shared" si="24"/>
        <v>LETESSIER</v>
      </c>
      <c r="C479" t="str">
        <f t="shared" si="25"/>
        <v>Isabelle</v>
      </c>
      <c r="D479">
        <v>7115</v>
      </c>
      <c r="E479" t="str">
        <f>"PROV CP N CHG PAT SOC"</f>
        <v>PROV CP N CHG PAT SOC</v>
      </c>
      <c r="F479" s="4">
        <v>1090.8499999999999</v>
      </c>
    </row>
    <row r="480" spans="1:6" x14ac:dyDescent="0.25">
      <c r="A480" s="1" t="s">
        <v>6</v>
      </c>
      <c r="B480" t="str">
        <f t="shared" si="24"/>
        <v>LETESSIER</v>
      </c>
      <c r="C480" t="str">
        <f t="shared" si="25"/>
        <v>Isabelle</v>
      </c>
      <c r="D480">
        <v>7125</v>
      </c>
      <c r="E480" t="str">
        <f>"AN PROV CP N SALAIRE"</f>
        <v>AN PROV CP N SALAIRE</v>
      </c>
      <c r="F480" s="4">
        <v>-3072.21</v>
      </c>
    </row>
    <row r="481" spans="1:6" x14ac:dyDescent="0.25">
      <c r="A481" s="1" t="s">
        <v>6</v>
      </c>
      <c r="B481" t="str">
        <f t="shared" si="24"/>
        <v>LETESSIER</v>
      </c>
      <c r="C481" t="str">
        <f t="shared" si="25"/>
        <v>Isabelle</v>
      </c>
      <c r="D481">
        <v>7135</v>
      </c>
      <c r="E481" t="str">
        <f>"AN PROV CP N CHG PAT SOC"</f>
        <v>AN PROV CP N CHG PAT SOC</v>
      </c>
      <c r="F481" s="4">
        <v>-1136.0999999999999</v>
      </c>
    </row>
    <row r="482" spans="1:6" x14ac:dyDescent="0.25">
      <c r="A482" s="1" t="s">
        <v>6</v>
      </c>
      <c r="B482" t="str">
        <f t="shared" si="24"/>
        <v>LETESSIER</v>
      </c>
      <c r="C482" t="str">
        <f t="shared" si="25"/>
        <v>Isabelle</v>
      </c>
      <c r="D482">
        <v>7210</v>
      </c>
      <c r="E482" t="str">
        <f>"PROV RTT SALAIRE"</f>
        <v>PROV RTT SALAIRE</v>
      </c>
      <c r="F482" s="4">
        <v>529.39</v>
      </c>
    </row>
    <row r="483" spans="1:6" x14ac:dyDescent="0.25">
      <c r="A483" s="1" t="s">
        <v>6</v>
      </c>
      <c r="B483" t="str">
        <f t="shared" si="24"/>
        <v>LETESSIER</v>
      </c>
      <c r="C483" t="str">
        <f t="shared" si="25"/>
        <v>Isabelle</v>
      </c>
      <c r="D483">
        <v>7220</v>
      </c>
      <c r="E483" t="str">
        <f>"PROV RTT CHG PAT SOC"</f>
        <v>PROV RTT CHG PAT SOC</v>
      </c>
      <c r="F483" s="4">
        <v>194.71</v>
      </c>
    </row>
    <row r="484" spans="1:6" x14ac:dyDescent="0.25">
      <c r="A484" s="1" t="s">
        <v>6</v>
      </c>
      <c r="B484" t="str">
        <f t="shared" si="24"/>
        <v>LETESSIER</v>
      </c>
      <c r="C484" t="str">
        <f t="shared" si="25"/>
        <v>Isabelle</v>
      </c>
      <c r="D484">
        <v>7230</v>
      </c>
      <c r="E484" t="str">
        <f>"AN PROV RTT SALAIRE"</f>
        <v>AN PROV RTT SALAIRE</v>
      </c>
      <c r="F484" s="4">
        <v>-437.46</v>
      </c>
    </row>
    <row r="485" spans="1:6" x14ac:dyDescent="0.25">
      <c r="A485" s="1" t="s">
        <v>6</v>
      </c>
      <c r="B485" t="str">
        <f t="shared" si="24"/>
        <v>LETESSIER</v>
      </c>
      <c r="C485" t="str">
        <f t="shared" si="25"/>
        <v>Isabelle</v>
      </c>
      <c r="D485">
        <v>7240</v>
      </c>
      <c r="E485" t="str">
        <f>"AN PROV RTT CHG PAT SOC"</f>
        <v>AN PROV RTT CHG PAT SOC</v>
      </c>
      <c r="F485" s="4">
        <v>-161.77000000000001</v>
      </c>
    </row>
    <row r="486" spans="1:6" x14ac:dyDescent="0.25">
      <c r="A486" s="1" t="s">
        <v>6</v>
      </c>
      <c r="B486" t="str">
        <f t="shared" si="24"/>
        <v>LETESSIER</v>
      </c>
      <c r="C486" t="str">
        <f t="shared" si="25"/>
        <v>Isabelle</v>
      </c>
      <c r="D486">
        <v>8030</v>
      </c>
      <c r="E486" t="str">
        <f>"NB JOURS CALENDAIRES"</f>
        <v>NB JOURS CALENDAIRES</v>
      </c>
      <c r="F486" s="4">
        <v>30</v>
      </c>
    </row>
    <row r="487" spans="1:6" x14ac:dyDescent="0.25">
      <c r="A487" s="1" t="s">
        <v>6</v>
      </c>
      <c r="B487" t="str">
        <f t="shared" si="24"/>
        <v>LETESSIER</v>
      </c>
      <c r="C487" t="str">
        <f t="shared" si="25"/>
        <v>Isabelle</v>
      </c>
      <c r="D487">
        <v>7305</v>
      </c>
      <c r="E487" t="str">
        <f>"P PrimesVac SALAIRE"</f>
        <v>P PrimesVac SALAIRE</v>
      </c>
      <c r="F487" s="4">
        <v>601.64</v>
      </c>
    </row>
    <row r="488" spans="1:6" x14ac:dyDescent="0.25">
      <c r="A488" s="1" t="s">
        <v>6</v>
      </c>
      <c r="B488" t="str">
        <f t="shared" si="24"/>
        <v>LETESSIER</v>
      </c>
      <c r="C488" t="str">
        <f t="shared" si="25"/>
        <v>Isabelle</v>
      </c>
      <c r="D488">
        <v>7315</v>
      </c>
      <c r="E488" t="str">
        <f>"P PrimesVac CHG PAT SOC"</f>
        <v>P PrimesVac CHG PAT SOC</v>
      </c>
      <c r="F488" s="4">
        <v>221.28</v>
      </c>
    </row>
    <row r="489" spans="1:6" x14ac:dyDescent="0.25">
      <c r="A489" s="1" t="s">
        <v>6</v>
      </c>
      <c r="B489" t="str">
        <f t="shared" si="24"/>
        <v>LETESSIER</v>
      </c>
      <c r="C489" t="str">
        <f t="shared" si="25"/>
        <v>Isabelle</v>
      </c>
      <c r="D489">
        <v>7325</v>
      </c>
      <c r="E489" t="str">
        <f>"A PROV PrimesVac SALAIRE"</f>
        <v>A PROV PrimesVac SALAIRE</v>
      </c>
      <c r="F489" s="4">
        <v>-503.01</v>
      </c>
    </row>
    <row r="490" spans="1:6" x14ac:dyDescent="0.25">
      <c r="A490" s="1" t="s">
        <v>6</v>
      </c>
      <c r="B490" t="str">
        <f t="shared" si="24"/>
        <v>LETESSIER</v>
      </c>
      <c r="C490" t="str">
        <f t="shared" si="25"/>
        <v>Isabelle</v>
      </c>
      <c r="D490">
        <v>7335</v>
      </c>
      <c r="E490" t="str">
        <f>"A PROV PrimesVac CHG PAT SOC"</f>
        <v>A PROV PrimesVac CHG PAT SOC</v>
      </c>
      <c r="F490" s="4">
        <v>-186.01</v>
      </c>
    </row>
    <row r="491" spans="1:6" x14ac:dyDescent="0.25">
      <c r="A491" s="1" t="s">
        <v>6</v>
      </c>
      <c r="B491" t="str">
        <f t="shared" si="24"/>
        <v>LETESSIER</v>
      </c>
      <c r="C491" t="str">
        <f t="shared" si="25"/>
        <v>Isabelle</v>
      </c>
      <c r="D491">
        <v>7992</v>
      </c>
      <c r="E491" t="str">
        <f>"REINT PP MUTUELLE NET IMPOS"</f>
        <v>REINT PP MUTUELLE NET IMPOS</v>
      </c>
      <c r="F491" s="4">
        <v>75.87</v>
      </c>
    </row>
    <row r="492" spans="1:6" x14ac:dyDescent="0.25">
      <c r="A492" s="1" t="s">
        <v>6</v>
      </c>
      <c r="B492" t="str">
        <f t="shared" si="24"/>
        <v>LETESSIER</v>
      </c>
      <c r="C492" t="str">
        <f t="shared" si="25"/>
        <v>Isabelle</v>
      </c>
      <c r="D492">
        <v>8005</v>
      </c>
      <c r="E492" t="str">
        <f>"HEURES TRAVAILLEES"</f>
        <v>HEURES TRAVAILLEES</v>
      </c>
      <c r="F492" s="4">
        <v>151.66999999999999</v>
      </c>
    </row>
    <row r="493" spans="1:6" x14ac:dyDescent="0.25">
      <c r="A493" s="1" t="s">
        <v>6</v>
      </c>
      <c r="B493" t="str">
        <f t="shared" si="24"/>
        <v>LETESSIER</v>
      </c>
      <c r="C493" t="str">
        <f t="shared" si="25"/>
        <v>Isabelle</v>
      </c>
      <c r="D493">
        <v>8010</v>
      </c>
      <c r="E493" t="str">
        <f>"HEURES REMUNEREES"</f>
        <v>HEURES REMUNEREES</v>
      </c>
      <c r="F493" s="4">
        <v>151.66999999999999</v>
      </c>
    </row>
    <row r="494" spans="1:6" x14ac:dyDescent="0.25">
      <c r="A494" s="1" t="s">
        <v>6</v>
      </c>
      <c r="B494" t="str">
        <f t="shared" si="24"/>
        <v>LETESSIER</v>
      </c>
      <c r="C494" t="str">
        <f t="shared" si="25"/>
        <v>Isabelle</v>
      </c>
      <c r="D494">
        <v>8015</v>
      </c>
      <c r="E494" t="str">
        <f>"HEURES REMUNEREES FILLON"</f>
        <v>HEURES REMUNEREES FILLON</v>
      </c>
      <c r="F494" s="4">
        <v>151.66999999999999</v>
      </c>
    </row>
    <row r="495" spans="1:6" x14ac:dyDescent="0.25">
      <c r="A495" s="1" t="s">
        <v>6</v>
      </c>
      <c r="B495" t="str">
        <f t="shared" si="24"/>
        <v>LETESSIER</v>
      </c>
      <c r="C495" t="str">
        <f t="shared" si="25"/>
        <v>Isabelle</v>
      </c>
      <c r="D495">
        <v>8101</v>
      </c>
      <c r="E495" t="str">
        <f>"Test allègement CAF ET MALADIE"</f>
        <v>Test allègement CAF ET MALADIE</v>
      </c>
      <c r="F495" s="4">
        <v>187.2</v>
      </c>
    </row>
    <row r="496" spans="1:6" x14ac:dyDescent="0.25">
      <c r="A496" s="1" t="s">
        <v>6</v>
      </c>
      <c r="B496" t="str">
        <f t="shared" si="24"/>
        <v>LETESSIER</v>
      </c>
      <c r="C496" t="str">
        <f t="shared" si="25"/>
        <v>Isabelle</v>
      </c>
      <c r="D496">
        <v>8202</v>
      </c>
      <c r="E496" t="str">
        <f>"DUREE REMUNEREE"</f>
        <v>DUREE REMUNEREE</v>
      </c>
      <c r="F496" s="4">
        <v>151.66999999999999</v>
      </c>
    </row>
    <row r="497" spans="1:6" x14ac:dyDescent="0.25">
      <c r="A497" s="1" t="s">
        <v>6</v>
      </c>
      <c r="B497" t="str">
        <f t="shared" si="24"/>
        <v>LETESSIER</v>
      </c>
      <c r="C497" t="str">
        <f t="shared" si="25"/>
        <v>Isabelle</v>
      </c>
      <c r="D497">
        <v>8206</v>
      </c>
      <c r="E497" t="str">
        <f>"SALAIRE RETABLI"</f>
        <v>SALAIRE RETABLI</v>
      </c>
      <c r="F497" s="4">
        <v>2400</v>
      </c>
    </row>
    <row r="498" spans="1:6" x14ac:dyDescent="0.25">
      <c r="A498" s="1" t="s">
        <v>6</v>
      </c>
      <c r="B498" t="str">
        <f t="shared" si="24"/>
        <v>LETESSIER</v>
      </c>
      <c r="C498" t="str">
        <f t="shared" si="25"/>
        <v>Isabelle</v>
      </c>
      <c r="D498">
        <v>8208</v>
      </c>
      <c r="E498" t="str">
        <f>"BRUT FISCAL"</f>
        <v>BRUT FISCAL</v>
      </c>
      <c r="F498" s="4">
        <v>2493.15</v>
      </c>
    </row>
    <row r="499" spans="1:6" x14ac:dyDescent="0.25">
      <c r="A499" s="1" t="s">
        <v>6</v>
      </c>
      <c r="B499" t="str">
        <f t="shared" si="24"/>
        <v>LETESSIER</v>
      </c>
      <c r="C499" t="str">
        <f t="shared" si="25"/>
        <v>Isabelle</v>
      </c>
      <c r="D499">
        <v>9896</v>
      </c>
      <c r="E499" t="str">
        <f>"Prélèvement à la source"</f>
        <v>Prélèvement à la source</v>
      </c>
      <c r="F499" s="4">
        <v>-141.16999999999999</v>
      </c>
    </row>
    <row r="500" spans="1:6" x14ac:dyDescent="0.25">
      <c r="A500" s="1" t="s">
        <v>6</v>
      </c>
      <c r="B500" t="str">
        <f t="shared" si="24"/>
        <v>LETESSIER</v>
      </c>
      <c r="C500" t="str">
        <f t="shared" si="25"/>
        <v>Isabelle</v>
      </c>
      <c r="D500">
        <v>9899</v>
      </c>
      <c r="E500" t="str">
        <f>"Extourne Net à Payer après PAS"</f>
        <v>Extourne Net à Payer après PAS</v>
      </c>
      <c r="F500" s="4">
        <v>-141.16999999999999</v>
      </c>
    </row>
    <row r="501" spans="1:6" x14ac:dyDescent="0.25">
      <c r="A501" s="1" t="s">
        <v>6</v>
      </c>
      <c r="B501" t="str">
        <f t="shared" si="24"/>
        <v>LETESSIER</v>
      </c>
      <c r="C501" t="str">
        <f t="shared" si="25"/>
        <v>Isabelle</v>
      </c>
      <c r="D501">
        <v>9994</v>
      </c>
      <c r="E501" t="str">
        <f>"ETP Egalité F/H"</f>
        <v>ETP Egalité F/H</v>
      </c>
      <c r="F501" s="4">
        <v>1</v>
      </c>
    </row>
    <row r="502" spans="1:6" x14ac:dyDescent="0.25">
      <c r="A502" s="1" t="s">
        <v>6</v>
      </c>
      <c r="B502" t="str">
        <f t="shared" si="24"/>
        <v>LETESSIER</v>
      </c>
      <c r="C502" t="str">
        <f t="shared" si="25"/>
        <v>Isabelle</v>
      </c>
      <c r="D502">
        <v>9995</v>
      </c>
      <c r="E502" t="str">
        <f>"ETP PRORTISE JOURS OUVRES"</f>
        <v>ETP PRORTISE JOURS OUVRES</v>
      </c>
      <c r="F502" s="4">
        <v>1</v>
      </c>
    </row>
    <row r="503" spans="1:6" x14ac:dyDescent="0.25">
      <c r="A503" s="1" t="s">
        <v>6</v>
      </c>
      <c r="B503" t="str">
        <f t="shared" si="24"/>
        <v>LETESSIER</v>
      </c>
      <c r="C503" t="str">
        <f t="shared" si="25"/>
        <v>Isabelle</v>
      </c>
      <c r="D503">
        <v>9999</v>
      </c>
      <c r="E503" t="str">
        <f>"**Dont gain pouvoir d'achat**"</f>
        <v>**Dont gain pouvoir d'achat**</v>
      </c>
      <c r="F503" s="4">
        <v>33.93</v>
      </c>
    </row>
    <row r="504" spans="1:6" x14ac:dyDescent="0.25">
      <c r="A504" s="1" t="s">
        <v>6</v>
      </c>
      <c r="B504" t="str">
        <f t="shared" si="24"/>
        <v>LETESSIER</v>
      </c>
      <c r="C504" t="str">
        <f t="shared" si="25"/>
        <v>Isabelle</v>
      </c>
      <c r="D504" t="str">
        <f>"PRESENCE"</f>
        <v>PRESENCE</v>
      </c>
      <c r="E504" t="str">
        <f>"Présence"</f>
        <v>Présence</v>
      </c>
      <c r="F504" s="4">
        <v>151.66999999999999</v>
      </c>
    </row>
    <row r="505" spans="1:6" x14ac:dyDescent="0.25">
      <c r="A505" s="1" t="s">
        <v>6</v>
      </c>
      <c r="B505" t="str">
        <f t="shared" si="24"/>
        <v>LETESSIER</v>
      </c>
      <c r="C505" t="str">
        <f t="shared" si="25"/>
        <v>Isabelle</v>
      </c>
      <c r="D505" t="str">
        <f>"BRUT"</f>
        <v>BRUT</v>
      </c>
      <c r="E505" t="str">
        <f>"Brut"</f>
        <v>Brut</v>
      </c>
      <c r="F505" s="4">
        <v>2400</v>
      </c>
    </row>
    <row r="506" spans="1:6" x14ac:dyDescent="0.25">
      <c r="A506" s="1" t="s">
        <v>6</v>
      </c>
      <c r="B506" t="str">
        <f t="shared" si="24"/>
        <v>LETESSIER</v>
      </c>
      <c r="C506" t="str">
        <f t="shared" si="25"/>
        <v>Isabelle</v>
      </c>
      <c r="D506" t="str">
        <f>"COTISAL"</f>
        <v>COTISAL</v>
      </c>
      <c r="E506" t="str">
        <f>"Cotisations salariales"</f>
        <v>Cotisations salariales</v>
      </c>
      <c r="F506" s="4">
        <v>530.16999999999996</v>
      </c>
    </row>
    <row r="507" spans="1:6" x14ac:dyDescent="0.25">
      <c r="A507" s="1" t="s">
        <v>6</v>
      </c>
      <c r="B507" t="str">
        <f t="shared" si="24"/>
        <v>LETESSIER</v>
      </c>
      <c r="C507" t="str">
        <f t="shared" si="25"/>
        <v>Isabelle</v>
      </c>
      <c r="D507" t="str">
        <f>"COTIPAT"</f>
        <v>COTIPAT</v>
      </c>
      <c r="E507" t="str">
        <f>"Cotisations patronales"</f>
        <v>Cotisations patronales</v>
      </c>
      <c r="F507" s="4">
        <v>919.27</v>
      </c>
    </row>
    <row r="508" spans="1:6" x14ac:dyDescent="0.25">
      <c r="A508" s="1" t="s">
        <v>6</v>
      </c>
      <c r="B508" t="str">
        <f t="shared" si="24"/>
        <v>LETESSIER</v>
      </c>
      <c r="C508" t="str">
        <f t="shared" si="25"/>
        <v>Isabelle</v>
      </c>
      <c r="D508" t="str">
        <f>"NETPAIE"</f>
        <v>NETPAIE</v>
      </c>
      <c r="E508" t="str">
        <f>"Net à payer"</f>
        <v>Net à payer</v>
      </c>
      <c r="F508" s="4">
        <v>1728.66</v>
      </c>
    </row>
    <row r="509" spans="1:6" x14ac:dyDescent="0.25">
      <c r="A509" s="1" t="s">
        <v>6</v>
      </c>
      <c r="B509" t="str">
        <f t="shared" si="24"/>
        <v>LETESSIER</v>
      </c>
      <c r="C509" t="str">
        <f t="shared" si="25"/>
        <v>Isabelle</v>
      </c>
      <c r="D509" t="str">
        <f>"NETIMPO"</f>
        <v>NETIMPO</v>
      </c>
      <c r="E509" t="str">
        <f>"Net imposable"</f>
        <v>Net imposable</v>
      </c>
      <c r="F509" s="4">
        <v>2016.78</v>
      </c>
    </row>
    <row r="510" spans="1:6" x14ac:dyDescent="0.25">
      <c r="A510" s="1" t="s">
        <v>6</v>
      </c>
      <c r="B510" t="str">
        <f t="shared" si="24"/>
        <v>LETESSIER</v>
      </c>
      <c r="C510" t="str">
        <f t="shared" si="25"/>
        <v>Isabelle</v>
      </c>
      <c r="D510" t="str">
        <f>"AVANTUR"</f>
        <v>AVANTUR</v>
      </c>
      <c r="E510" t="str">
        <f>"Avantages en nature"</f>
        <v>Avantages en nature</v>
      </c>
      <c r="F510" s="4">
        <v>0</v>
      </c>
    </row>
    <row r="511" spans="1:6" x14ac:dyDescent="0.25">
      <c r="A511" s="1" t="s">
        <v>6</v>
      </c>
      <c r="B511" t="str">
        <f t="shared" si="24"/>
        <v>LETESSIER</v>
      </c>
      <c r="C511" t="str">
        <f t="shared" si="25"/>
        <v>Isabelle</v>
      </c>
      <c r="D511" t="str">
        <f>"TOTALHTRAV"</f>
        <v>TOTALHTRAV</v>
      </c>
      <c r="E511" t="str">
        <f>"Total des heures travaillées"</f>
        <v>Total des heures travaillées</v>
      </c>
      <c r="F511" s="4">
        <v>151.66999999999999</v>
      </c>
    </row>
    <row r="512" spans="1:6" x14ac:dyDescent="0.25">
      <c r="A512" s="1" t="s">
        <v>6</v>
      </c>
      <c r="B512" t="str">
        <f t="shared" si="24"/>
        <v>LETESSIER</v>
      </c>
      <c r="C512" t="str">
        <f t="shared" si="25"/>
        <v>Isabelle</v>
      </c>
      <c r="D512" t="str">
        <f>"TOTALHS"</f>
        <v>TOTALHS</v>
      </c>
      <c r="E512" t="str">
        <f>"Total des hres supplémentaires"</f>
        <v>Total des hres supplémentaires</v>
      </c>
      <c r="F512" s="4">
        <v>0</v>
      </c>
    </row>
    <row r="513" spans="1:6" x14ac:dyDescent="0.25">
      <c r="A513" s="1" t="s">
        <v>6</v>
      </c>
      <c r="B513" t="str">
        <f t="shared" si="24"/>
        <v>LETESSIER</v>
      </c>
      <c r="C513" t="str">
        <f t="shared" si="25"/>
        <v>Isabelle</v>
      </c>
      <c r="D513" t="str">
        <f>"TOTALHC"</f>
        <v>TOTALHC</v>
      </c>
      <c r="E513" t="str">
        <f>"Total des hres complémentaires"</f>
        <v>Total des hres complémentaires</v>
      </c>
      <c r="F513" s="4">
        <v>0</v>
      </c>
    </row>
    <row r="514" spans="1:6" x14ac:dyDescent="0.25">
      <c r="A514" s="1" t="s">
        <v>6</v>
      </c>
      <c r="B514" t="str">
        <f t="shared" si="24"/>
        <v>LETESSIER</v>
      </c>
      <c r="C514" t="str">
        <f t="shared" si="25"/>
        <v>Isabelle</v>
      </c>
      <c r="D514" t="str">
        <f>"TOTALHA"</f>
        <v>TOTALHA</v>
      </c>
      <c r="E514" t="str">
        <f>"Total des heures d'absence"</f>
        <v>Total des heures d'absence</v>
      </c>
      <c r="F514" s="4">
        <v>0</v>
      </c>
    </row>
    <row r="515" spans="1:6" x14ac:dyDescent="0.25">
      <c r="A515" s="1" t="s">
        <v>6</v>
      </c>
      <c r="B515" t="str">
        <f t="shared" si="24"/>
        <v>LETESSIER</v>
      </c>
      <c r="C515" t="str">
        <f t="shared" si="25"/>
        <v>Isabelle</v>
      </c>
      <c r="D515" t="str">
        <f>"ABSENCE"</f>
        <v>ABSENCE</v>
      </c>
      <c r="E515" t="str">
        <f>"Absence"</f>
        <v>Absence</v>
      </c>
      <c r="F515" s="4">
        <v>0</v>
      </c>
    </row>
    <row r="516" spans="1:6" x14ac:dyDescent="0.25">
      <c r="A516" s="1" t="s">
        <v>6</v>
      </c>
      <c r="B516" t="str">
        <f t="shared" si="24"/>
        <v>LETESSIER</v>
      </c>
      <c r="C516" t="str">
        <f t="shared" si="25"/>
        <v>Isabelle</v>
      </c>
      <c r="D516" t="str">
        <f>"COACMOIS"</f>
        <v>COACMOIS</v>
      </c>
      <c r="E516" t="str">
        <f>"Congés acquis dans le mois"</f>
        <v>Congés acquis dans le mois</v>
      </c>
      <c r="F516" s="4">
        <v>1.04</v>
      </c>
    </row>
    <row r="517" spans="1:6" x14ac:dyDescent="0.25">
      <c r="A517" s="1" t="s">
        <v>6</v>
      </c>
      <c r="B517" t="str">
        <f t="shared" ref="B517:B520" si="26">"LETESSIER"</f>
        <v>LETESSIER</v>
      </c>
      <c r="C517" t="str">
        <f t="shared" ref="C517:C520" si="27">"Isabelle"</f>
        <v>Isabelle</v>
      </c>
      <c r="D517" t="str">
        <f>"COPRIMOI"</f>
        <v>COPRIMOI</v>
      </c>
      <c r="E517" t="str">
        <f>"Congés pris dans le mois"</f>
        <v>Congés pris dans le mois</v>
      </c>
      <c r="F517" s="4">
        <v>2</v>
      </c>
    </row>
    <row r="518" spans="1:6" x14ac:dyDescent="0.25">
      <c r="A518" s="1" t="s">
        <v>6</v>
      </c>
      <c r="B518" t="str">
        <f t="shared" si="26"/>
        <v>LETESSIER</v>
      </c>
      <c r="C518" t="str">
        <f t="shared" si="27"/>
        <v>Isabelle</v>
      </c>
      <c r="D518" t="str">
        <f>"TOTALPRES"</f>
        <v>TOTALPRES</v>
      </c>
      <c r="E518" t="str">
        <f>"Total des heures de présence"</f>
        <v>Total des heures de présence</v>
      </c>
      <c r="F518" s="4">
        <v>151.66999999999999</v>
      </c>
    </row>
    <row r="519" spans="1:6" x14ac:dyDescent="0.25">
      <c r="A519" s="1" t="s">
        <v>6</v>
      </c>
      <c r="B519" t="str">
        <f t="shared" si="26"/>
        <v>LETESSIER</v>
      </c>
      <c r="C519" t="str">
        <f t="shared" si="27"/>
        <v>Isabelle</v>
      </c>
      <c r="D519" t="str">
        <f>"TOTHANA"</f>
        <v>TOTHANA</v>
      </c>
      <c r="E519" t="str">
        <f>"Total des heures / Analytique"</f>
        <v>Total des heures / Analytique</v>
      </c>
      <c r="F519" s="4">
        <v>0</v>
      </c>
    </row>
    <row r="520" spans="1:6" x14ac:dyDescent="0.25">
      <c r="A520" s="1" t="s">
        <v>6</v>
      </c>
      <c r="B520" t="str">
        <f t="shared" si="26"/>
        <v>LETESSIER</v>
      </c>
      <c r="C520" t="str">
        <f t="shared" si="27"/>
        <v>Isabelle</v>
      </c>
      <c r="D520" t="str">
        <f>"COUT_TOTAL"</f>
        <v>COUT_TOTAL</v>
      </c>
      <c r="E520" t="str">
        <f>"Cout total"</f>
        <v>Cout total</v>
      </c>
      <c r="F520" s="4">
        <v>3319.27</v>
      </c>
    </row>
    <row r="521" spans="1:6" x14ac:dyDescent="0.25">
      <c r="A521" s="3" t="str">
        <f>"09601622"</f>
        <v>09601622</v>
      </c>
      <c r="B521" t="str">
        <f t="shared" ref="B521:B584" si="28">"PENETRO"</f>
        <v>PENETRO</v>
      </c>
      <c r="C521" t="str">
        <f t="shared" ref="C521:C584" si="29">"Flavien"</f>
        <v>Flavien</v>
      </c>
      <c r="D521">
        <v>1</v>
      </c>
      <c r="E521" t="str">
        <f>"**GMP DU MOIS"</f>
        <v>**GMP DU MOIS</v>
      </c>
      <c r="F521" s="4">
        <v>353.82</v>
      </c>
    </row>
    <row r="522" spans="1:6" x14ac:dyDescent="0.25">
      <c r="A522" t="str">
        <f>"09601622"</f>
        <v>09601622</v>
      </c>
      <c r="B522" t="str">
        <f t="shared" si="28"/>
        <v>PENETRO</v>
      </c>
      <c r="C522" t="str">
        <f t="shared" si="29"/>
        <v>Flavien</v>
      </c>
      <c r="D522">
        <v>10</v>
      </c>
      <c r="E522" t="str">
        <f>"SALAIRE DE BASE"</f>
        <v>SALAIRE DE BASE</v>
      </c>
      <c r="F522" s="4">
        <v>3307.5</v>
      </c>
    </row>
    <row r="523" spans="1:6" x14ac:dyDescent="0.25">
      <c r="A523" t="str">
        <f>"09601622"</f>
        <v>09601622</v>
      </c>
      <c r="B523" t="str">
        <f t="shared" si="28"/>
        <v>PENETRO</v>
      </c>
      <c r="C523" t="str">
        <f t="shared" si="29"/>
        <v>Flavien</v>
      </c>
      <c r="D523">
        <v>1750</v>
      </c>
      <c r="E523" t="str">
        <f>"AVANTAGE EN NATURE VOITURE"</f>
        <v>AVANTAGE EN NATURE VOITURE</v>
      </c>
      <c r="F523" s="4">
        <v>138.16</v>
      </c>
    </row>
    <row r="524" spans="1:6" x14ac:dyDescent="0.25">
      <c r="A524" t="str">
        <f>"09601622"</f>
        <v>09601622</v>
      </c>
      <c r="B524" t="str">
        <f t="shared" si="28"/>
        <v>PENETRO</v>
      </c>
      <c r="C524" t="str">
        <f t="shared" si="29"/>
        <v>Flavien</v>
      </c>
      <c r="D524">
        <v>1986</v>
      </c>
      <c r="E524" t="str">
        <f>"DSN - Nb jrs calendaires PSS"</f>
        <v>DSN - Nb jrs calendaires PSS</v>
      </c>
      <c r="F524" s="4">
        <v>30</v>
      </c>
    </row>
    <row r="525" spans="1:6" x14ac:dyDescent="0.25">
      <c r="A525" t="str">
        <f>"09601622"</f>
        <v>09601622</v>
      </c>
      <c r="B525" t="str">
        <f t="shared" si="28"/>
        <v>PENETRO</v>
      </c>
      <c r="C525" t="str">
        <f t="shared" si="29"/>
        <v>Flavien</v>
      </c>
      <c r="D525">
        <v>3014</v>
      </c>
      <c r="E525" t="str">
        <f>"SS VIEIL DEPLAFONNEE"</f>
        <v>SS VIEIL DEPLAFONNEE</v>
      </c>
      <c r="F525" s="4">
        <v>13.78</v>
      </c>
    </row>
    <row r="526" spans="1:6" x14ac:dyDescent="0.25">
      <c r="A526" t="str">
        <f>"09601622"</f>
        <v>09601622</v>
      </c>
      <c r="B526" t="str">
        <f t="shared" si="28"/>
        <v>PENETRO</v>
      </c>
      <c r="C526" t="str">
        <f t="shared" si="29"/>
        <v>Flavien</v>
      </c>
      <c r="D526">
        <v>3110</v>
      </c>
      <c r="E526" t="str">
        <f>"SS CG VIEILLESSE TA"</f>
        <v>SS CG VIEILLESSE TA</v>
      </c>
      <c r="F526" s="4">
        <v>233.01</v>
      </c>
    </row>
    <row r="527" spans="1:6" x14ac:dyDescent="0.25">
      <c r="A527" t="str">
        <f>"09601622"</f>
        <v>09601622</v>
      </c>
      <c r="B527" t="str">
        <f t="shared" si="28"/>
        <v>PENETRO</v>
      </c>
      <c r="C527" t="str">
        <f t="shared" si="29"/>
        <v>Flavien</v>
      </c>
      <c r="D527">
        <v>3504</v>
      </c>
      <c r="E527" t="str">
        <f>"**LIMITE D'EXO AF"</f>
        <v>**LIMITE D'EXO AF</v>
      </c>
      <c r="F527" s="4">
        <v>2434</v>
      </c>
    </row>
    <row r="528" spans="1:6" x14ac:dyDescent="0.25">
      <c r="A528" t="str">
        <f>"09601622"</f>
        <v>09601622</v>
      </c>
      <c r="B528" t="str">
        <f t="shared" si="28"/>
        <v>PENETRO</v>
      </c>
      <c r="C528" t="str">
        <f t="shared" si="29"/>
        <v>Flavien</v>
      </c>
      <c r="D528">
        <v>3501</v>
      </c>
      <c r="E528" t="str">
        <f>"** HISTORISATION REMUNERATION"</f>
        <v>** HISTORISATION REMUNERATION</v>
      </c>
      <c r="F528" s="4">
        <v>3445.66</v>
      </c>
    </row>
    <row r="529" spans="1:6" x14ac:dyDescent="0.25">
      <c r="A529" t="str">
        <f>"09601622"</f>
        <v>09601622</v>
      </c>
      <c r="B529" t="str">
        <f t="shared" si="28"/>
        <v>PENETRO</v>
      </c>
      <c r="C529" t="str">
        <f t="shared" si="29"/>
        <v>Flavien</v>
      </c>
      <c r="D529">
        <v>4031</v>
      </c>
      <c r="E529" t="str">
        <f>"Réduction salariale chômage"</f>
        <v>Réduction salariale chômage</v>
      </c>
      <c r="F529" s="4">
        <v>-82.7</v>
      </c>
    </row>
    <row r="530" spans="1:6" x14ac:dyDescent="0.25">
      <c r="A530" t="str">
        <f>"09601622"</f>
        <v>09601622</v>
      </c>
      <c r="B530" t="str">
        <f t="shared" si="28"/>
        <v>PENETRO</v>
      </c>
      <c r="C530" t="str">
        <f t="shared" si="29"/>
        <v>Flavien</v>
      </c>
      <c r="D530">
        <v>4610</v>
      </c>
      <c r="E530" t="str">
        <f>"Retraite T1"</f>
        <v>Retraite T1</v>
      </c>
      <c r="F530" s="4">
        <v>106.38</v>
      </c>
    </row>
    <row r="531" spans="1:6" x14ac:dyDescent="0.25">
      <c r="A531" t="str">
        <f>"09601622"</f>
        <v>09601622</v>
      </c>
      <c r="B531" t="str">
        <f t="shared" si="28"/>
        <v>PENETRO</v>
      </c>
      <c r="C531" t="str">
        <f t="shared" si="29"/>
        <v>Flavien</v>
      </c>
      <c r="D531">
        <v>4615</v>
      </c>
      <c r="E531" t="str">
        <f>"Retraite T2"</f>
        <v>Retraite T2</v>
      </c>
      <c r="F531" s="4">
        <v>5.93</v>
      </c>
    </row>
    <row r="532" spans="1:6" x14ac:dyDescent="0.25">
      <c r="A532" t="str">
        <f>"09601622"</f>
        <v>09601622</v>
      </c>
      <c r="B532" t="str">
        <f t="shared" si="28"/>
        <v>PENETRO</v>
      </c>
      <c r="C532" t="str">
        <f t="shared" si="29"/>
        <v>Flavien</v>
      </c>
      <c r="D532">
        <v>4620</v>
      </c>
      <c r="E532" t="str">
        <f>"Contribut  Equilibre Technique"</f>
        <v>Contribut  Equilibre Technique</v>
      </c>
      <c r="F532" s="4">
        <v>4.82</v>
      </c>
    </row>
    <row r="533" spans="1:6" x14ac:dyDescent="0.25">
      <c r="A533" t="str">
        <f>"09601622"</f>
        <v>09601622</v>
      </c>
      <c r="B533" t="str">
        <f t="shared" si="28"/>
        <v>PENETRO</v>
      </c>
      <c r="C533" t="str">
        <f t="shared" si="29"/>
        <v>Flavien</v>
      </c>
      <c r="D533">
        <v>4625</v>
      </c>
      <c r="E533" t="str">
        <f>"CEG T1"</f>
        <v>CEG T1</v>
      </c>
      <c r="F533" s="4">
        <v>29.04</v>
      </c>
    </row>
    <row r="534" spans="1:6" x14ac:dyDescent="0.25">
      <c r="A534" t="str">
        <f>"09601622"</f>
        <v>09601622</v>
      </c>
      <c r="B534" t="str">
        <f t="shared" si="28"/>
        <v>PENETRO</v>
      </c>
      <c r="C534" t="str">
        <f t="shared" si="29"/>
        <v>Flavien</v>
      </c>
      <c r="D534">
        <v>4630</v>
      </c>
      <c r="E534" t="str">
        <f>"CEG T2"</f>
        <v>CEG T2</v>
      </c>
      <c r="F534" s="4">
        <v>0.74</v>
      </c>
    </row>
    <row r="535" spans="1:6" x14ac:dyDescent="0.25">
      <c r="A535" t="str">
        <f>"09601622"</f>
        <v>09601622</v>
      </c>
      <c r="B535" t="str">
        <f t="shared" si="28"/>
        <v>PENETRO</v>
      </c>
      <c r="C535" t="str">
        <f t="shared" si="29"/>
        <v>Flavien</v>
      </c>
      <c r="D535">
        <v>4635</v>
      </c>
      <c r="E535" t="str">
        <f>"APEC"</f>
        <v>APEC</v>
      </c>
      <c r="F535" s="4">
        <v>0.83</v>
      </c>
    </row>
    <row r="536" spans="1:6" x14ac:dyDescent="0.25">
      <c r="A536" t="str">
        <f>"09601622"</f>
        <v>09601622</v>
      </c>
      <c r="B536" t="str">
        <f t="shared" si="28"/>
        <v>PENETRO</v>
      </c>
      <c r="C536" t="str">
        <f t="shared" si="29"/>
        <v>Flavien</v>
      </c>
      <c r="D536">
        <v>4720</v>
      </c>
      <c r="E536" t="str">
        <f>"PREVOYANCE TA CADRE"</f>
        <v>PREVOYANCE TA CADRE</v>
      </c>
      <c r="F536" s="4">
        <v>7.23</v>
      </c>
    </row>
    <row r="537" spans="1:6" x14ac:dyDescent="0.25">
      <c r="A537" t="str">
        <f>"09601622"</f>
        <v>09601622</v>
      </c>
      <c r="B537" t="str">
        <f t="shared" si="28"/>
        <v>PENETRO</v>
      </c>
      <c r="C537" t="str">
        <f t="shared" si="29"/>
        <v>Flavien</v>
      </c>
      <c r="D537">
        <v>4725</v>
      </c>
      <c r="E537" t="str">
        <f>"PREVOYANCE TB CADRE"</f>
        <v>PREVOYANCE TB CADRE</v>
      </c>
      <c r="F537" s="4">
        <v>0.41</v>
      </c>
    </row>
    <row r="538" spans="1:6" x14ac:dyDescent="0.25">
      <c r="A538" t="str">
        <f>"09601622"</f>
        <v>09601622</v>
      </c>
      <c r="B538" t="str">
        <f t="shared" si="28"/>
        <v>PENETRO</v>
      </c>
      <c r="C538" t="str">
        <f t="shared" si="29"/>
        <v>Flavien</v>
      </c>
      <c r="D538">
        <v>4774</v>
      </c>
      <c r="E538" t="str">
        <f>"MUTUELLE BASE OBLIGAT. CAD (M)"</f>
        <v>MUTUELLE BASE OBLIGAT. CAD (M)</v>
      </c>
      <c r="F538" s="4">
        <v>4.84</v>
      </c>
    </row>
    <row r="539" spans="1:6" x14ac:dyDescent="0.25">
      <c r="A539" t="str">
        <f>"09601622"</f>
        <v>09601622</v>
      </c>
      <c r="B539" t="str">
        <f t="shared" si="28"/>
        <v>PENETRO</v>
      </c>
      <c r="C539" t="str">
        <f t="shared" si="29"/>
        <v>Flavien</v>
      </c>
      <c r="D539">
        <v>4775</v>
      </c>
      <c r="E539" t="str">
        <f>"MUTUELLE BASE CONJOINT CAD (M)"</f>
        <v>MUTUELLE BASE CONJOINT CAD (M)</v>
      </c>
      <c r="F539" s="4">
        <v>37.15</v>
      </c>
    </row>
    <row r="540" spans="1:6" x14ac:dyDescent="0.25">
      <c r="A540" t="str">
        <f>"09601622"</f>
        <v>09601622</v>
      </c>
      <c r="B540" t="str">
        <f t="shared" si="28"/>
        <v>PENETRO</v>
      </c>
      <c r="C540" t="str">
        <f t="shared" si="29"/>
        <v>Flavien</v>
      </c>
      <c r="D540">
        <v>4776</v>
      </c>
      <c r="E540" t="str">
        <f>"MUTUELLE SUR COMPL. CAD (M)"</f>
        <v>MUTUELLE SUR COMPL. CAD (M)</v>
      </c>
      <c r="F540" s="4">
        <v>11.82</v>
      </c>
    </row>
    <row r="541" spans="1:6" x14ac:dyDescent="0.25">
      <c r="A541" t="str">
        <f>"09601622"</f>
        <v>09601622</v>
      </c>
      <c r="B541" t="str">
        <f t="shared" si="28"/>
        <v>PENETRO</v>
      </c>
      <c r="C541" t="str">
        <f t="shared" si="29"/>
        <v>Flavien</v>
      </c>
      <c r="D541">
        <v>4777</v>
      </c>
      <c r="E541" t="str">
        <f>"MUTUELLE S/COMP/CONJ. CAD (M)"</f>
        <v>MUTUELLE S/COMP/CONJ. CAD (M)</v>
      </c>
      <c r="F541" s="4">
        <v>8.1</v>
      </c>
    </row>
    <row r="542" spans="1:6" x14ac:dyDescent="0.25">
      <c r="A542" t="str">
        <f>"09601622"</f>
        <v>09601622</v>
      </c>
      <c r="B542" t="str">
        <f t="shared" si="28"/>
        <v>PENETRO</v>
      </c>
      <c r="C542" t="str">
        <f t="shared" si="29"/>
        <v>Flavien</v>
      </c>
      <c r="D542">
        <v>4797</v>
      </c>
      <c r="E542" t="str">
        <f>"CSG DEDUCTIBLE PREV-MUTUELLE"</f>
        <v>CSG DEDUCTIBLE PREV-MUTUELLE</v>
      </c>
      <c r="F542" s="4">
        <v>7.15</v>
      </c>
    </row>
    <row r="543" spans="1:6" x14ac:dyDescent="0.25">
      <c r="A543" t="str">
        <f>"09601622"</f>
        <v>09601622</v>
      </c>
      <c r="B543" t="str">
        <f t="shared" si="28"/>
        <v>PENETRO</v>
      </c>
      <c r="C543" t="str">
        <f t="shared" si="29"/>
        <v>Flavien</v>
      </c>
      <c r="D543">
        <v>4798</v>
      </c>
      <c r="E543" t="str">
        <f>"CSG/CRDS NON DED.PREV.MUTUELLE"</f>
        <v>CSG/CRDS NON DED.PREV.MUTUELLE</v>
      </c>
      <c r="F543" s="4">
        <v>3.05</v>
      </c>
    </row>
    <row r="544" spans="1:6" x14ac:dyDescent="0.25">
      <c r="A544" t="str">
        <f>"09601622"</f>
        <v>09601622</v>
      </c>
      <c r="B544" t="str">
        <f t="shared" si="28"/>
        <v>PENETRO</v>
      </c>
      <c r="C544" t="str">
        <f t="shared" si="29"/>
        <v>Flavien</v>
      </c>
      <c r="D544">
        <v>4800</v>
      </c>
      <c r="E544" t="str">
        <f>"CSG DEDUCTIBLE"</f>
        <v>CSG DEDUCTIBLE</v>
      </c>
      <c r="F544" s="4">
        <v>230.2</v>
      </c>
    </row>
    <row r="545" spans="1:6" x14ac:dyDescent="0.25">
      <c r="A545" t="str">
        <f>"09601622"</f>
        <v>09601622</v>
      </c>
      <c r="B545" t="str">
        <f t="shared" si="28"/>
        <v>PENETRO</v>
      </c>
      <c r="C545" t="str">
        <f t="shared" si="29"/>
        <v>Flavien</v>
      </c>
      <c r="D545">
        <v>4801</v>
      </c>
      <c r="E545" t="str">
        <f>"CSG/CRDS NON DEDUCTIBLE"</f>
        <v>CSG/CRDS NON DEDUCTIBLE</v>
      </c>
      <c r="F545" s="4">
        <v>98.18</v>
      </c>
    </row>
    <row r="546" spans="1:6" x14ac:dyDescent="0.25">
      <c r="A546" t="str">
        <f>"09601622"</f>
        <v>09601622</v>
      </c>
      <c r="B546" t="str">
        <f t="shared" si="28"/>
        <v>PENETRO</v>
      </c>
      <c r="C546" t="str">
        <f t="shared" si="29"/>
        <v>Flavien</v>
      </c>
      <c r="D546">
        <v>6010</v>
      </c>
      <c r="E546" t="str">
        <f>"AVANTAGE EN NATURE"</f>
        <v>AVANTAGE EN NATURE</v>
      </c>
      <c r="F546" s="4">
        <v>-138.16</v>
      </c>
    </row>
    <row r="547" spans="1:6" x14ac:dyDescent="0.25">
      <c r="A547" t="str">
        <f>"09601622"</f>
        <v>09601622</v>
      </c>
      <c r="B547" t="str">
        <f t="shared" si="28"/>
        <v>PENETRO</v>
      </c>
      <c r="C547" t="str">
        <f t="shared" si="29"/>
        <v>Flavien</v>
      </c>
      <c r="D547">
        <v>6014</v>
      </c>
      <c r="E547" t="str">
        <f>"Frais professionnel DSN"</f>
        <v>Frais professionnel DSN</v>
      </c>
      <c r="F547" s="4">
        <v>515.63</v>
      </c>
    </row>
    <row r="548" spans="1:6" x14ac:dyDescent="0.25">
      <c r="A548" t="str">
        <f>"09601622"</f>
        <v>09601622</v>
      </c>
      <c r="B548" t="str">
        <f t="shared" si="28"/>
        <v>PENETRO</v>
      </c>
      <c r="C548" t="str">
        <f t="shared" si="29"/>
        <v>Flavien</v>
      </c>
      <c r="D548">
        <v>6030</v>
      </c>
      <c r="E548" t="str">
        <f>"TITRES RESTAURANT"</f>
        <v>TITRES RESTAURANT</v>
      </c>
      <c r="F548" s="4">
        <v>-51</v>
      </c>
    </row>
    <row r="549" spans="1:6" x14ac:dyDescent="0.25">
      <c r="A549" t="str">
        <f>"09601622"</f>
        <v>09601622</v>
      </c>
      <c r="B549" t="str">
        <f t="shared" si="28"/>
        <v>PENETRO</v>
      </c>
      <c r="C549" t="str">
        <f t="shared" si="29"/>
        <v>Flavien</v>
      </c>
      <c r="D549">
        <v>6031</v>
      </c>
      <c r="E549" t="str">
        <f>"TITRES RESTAURANT PP"</f>
        <v>TITRES RESTAURANT PP</v>
      </c>
      <c r="F549" s="4">
        <v>-76.5</v>
      </c>
    </row>
    <row r="550" spans="1:6" x14ac:dyDescent="0.25">
      <c r="A550" t="str">
        <f>"09601622"</f>
        <v>09601622</v>
      </c>
      <c r="B550" t="str">
        <f t="shared" si="28"/>
        <v>PENETRO</v>
      </c>
      <c r="C550" t="str">
        <f t="shared" si="29"/>
        <v>Flavien</v>
      </c>
      <c r="D550">
        <v>6210</v>
      </c>
      <c r="E550" t="str">
        <f>"RTT ACQUIS DU MOIS"</f>
        <v>RTT ACQUIS DU MOIS</v>
      </c>
      <c r="F550" s="4">
        <v>0.83</v>
      </c>
    </row>
    <row r="551" spans="1:6" x14ac:dyDescent="0.25">
      <c r="A551" t="str">
        <f>"09601622"</f>
        <v>09601622</v>
      </c>
      <c r="B551" t="str">
        <f t="shared" si="28"/>
        <v>PENETRO</v>
      </c>
      <c r="C551" t="str">
        <f t="shared" si="29"/>
        <v>Flavien</v>
      </c>
      <c r="D551">
        <v>6220</v>
      </c>
      <c r="E551" t="str">
        <f>"RTT SOLDE FIN DE MOIS"</f>
        <v>RTT SOLDE FIN DE MOIS</v>
      </c>
      <c r="F551" s="4">
        <v>0.6</v>
      </c>
    </row>
    <row r="552" spans="1:6" x14ac:dyDescent="0.25">
      <c r="A552" t="str">
        <f>"09601622"</f>
        <v>09601622</v>
      </c>
      <c r="B552" t="str">
        <f t="shared" si="28"/>
        <v>PENETRO</v>
      </c>
      <c r="C552" t="str">
        <f t="shared" si="29"/>
        <v>Flavien</v>
      </c>
      <c r="D552">
        <v>6250</v>
      </c>
      <c r="E552" t="str">
        <f>"ACQUIS CP N-1"</f>
        <v>ACQUIS CP N-1</v>
      </c>
      <c r="F552" s="4">
        <v>21</v>
      </c>
    </row>
    <row r="553" spans="1:6" x14ac:dyDescent="0.25">
      <c r="A553" t="str">
        <f>"09601622"</f>
        <v>09601622</v>
      </c>
      <c r="B553" t="str">
        <f t="shared" si="28"/>
        <v>PENETRO</v>
      </c>
      <c r="C553" t="str">
        <f t="shared" si="29"/>
        <v>Flavien</v>
      </c>
      <c r="D553">
        <v>6260</v>
      </c>
      <c r="E553" t="str">
        <f>"SOLDE CP N-1"</f>
        <v>SOLDE CP N-1</v>
      </c>
      <c r="F553" s="4">
        <v>21</v>
      </c>
    </row>
    <row r="554" spans="1:6" x14ac:dyDescent="0.25">
      <c r="A554" t="str">
        <f>"09601622"</f>
        <v>09601622</v>
      </c>
      <c r="B554" t="str">
        <f t="shared" si="28"/>
        <v>PENETRO</v>
      </c>
      <c r="C554" t="str">
        <f t="shared" si="29"/>
        <v>Flavien</v>
      </c>
      <c r="D554">
        <v>6265</v>
      </c>
      <c r="E554" t="str">
        <f>"ACQUIS CP N"</f>
        <v>ACQUIS CP N</v>
      </c>
      <c r="F554" s="4">
        <v>14.5</v>
      </c>
    </row>
    <row r="555" spans="1:6" x14ac:dyDescent="0.25">
      <c r="A555" t="str">
        <f>"09601622"</f>
        <v>09601622</v>
      </c>
      <c r="B555" t="str">
        <f t="shared" si="28"/>
        <v>PENETRO</v>
      </c>
      <c r="C555" t="str">
        <f t="shared" si="29"/>
        <v>Flavien</v>
      </c>
      <c r="D555">
        <v>7092</v>
      </c>
      <c r="E555" t="str">
        <f>"TX CHG PAT SOC"</f>
        <v>TX CHG PAT SOC</v>
      </c>
      <c r="F555" s="4">
        <v>41.81</v>
      </c>
    </row>
    <row r="556" spans="1:6" x14ac:dyDescent="0.25">
      <c r="A556" t="str">
        <f>"09601622"</f>
        <v>09601622</v>
      </c>
      <c r="B556" t="str">
        <f t="shared" si="28"/>
        <v>PENETRO</v>
      </c>
      <c r="C556" t="str">
        <f t="shared" si="29"/>
        <v>Flavien</v>
      </c>
      <c r="D556">
        <v>7105</v>
      </c>
      <c r="E556" t="str">
        <f>"PROV CP  SALAIRE"</f>
        <v>PROV CP  SALAIRE</v>
      </c>
      <c r="F556" s="4">
        <v>5418.37</v>
      </c>
    </row>
    <row r="557" spans="1:6" x14ac:dyDescent="0.25">
      <c r="A557" t="str">
        <f>"09601622"</f>
        <v>09601622</v>
      </c>
      <c r="B557" t="str">
        <f t="shared" si="28"/>
        <v>PENETRO</v>
      </c>
      <c r="C557" t="str">
        <f t="shared" si="29"/>
        <v>Flavien</v>
      </c>
      <c r="D557">
        <v>7115</v>
      </c>
      <c r="E557" t="str">
        <f>"PROV CP N CHG PAT SOC"</f>
        <v>PROV CP N CHG PAT SOC</v>
      </c>
      <c r="F557" s="4">
        <v>2265.42</v>
      </c>
    </row>
    <row r="558" spans="1:6" x14ac:dyDescent="0.25">
      <c r="A558" t="str">
        <f>"09601622"</f>
        <v>09601622</v>
      </c>
      <c r="B558" t="str">
        <f t="shared" si="28"/>
        <v>PENETRO</v>
      </c>
      <c r="C558" t="str">
        <f t="shared" si="29"/>
        <v>Flavien</v>
      </c>
      <c r="D558">
        <v>7125</v>
      </c>
      <c r="E558" t="str">
        <f>"AN PROV CP N SALAIRE"</f>
        <v>AN PROV CP N SALAIRE</v>
      </c>
      <c r="F558" s="4">
        <v>-5100.8900000000003</v>
      </c>
    </row>
    <row r="559" spans="1:6" x14ac:dyDescent="0.25">
      <c r="A559" t="str">
        <f>"09601622"</f>
        <v>09601622</v>
      </c>
      <c r="B559" t="str">
        <f t="shared" si="28"/>
        <v>PENETRO</v>
      </c>
      <c r="C559" t="str">
        <f t="shared" si="29"/>
        <v>Flavien</v>
      </c>
      <c r="D559">
        <v>7135</v>
      </c>
      <c r="E559" t="str">
        <f>"AN PROV CP N CHG PAT SOC"</f>
        <v>AN PROV CP N CHG PAT SOC</v>
      </c>
      <c r="F559" s="4">
        <v>-2131.66</v>
      </c>
    </row>
    <row r="560" spans="1:6" x14ac:dyDescent="0.25">
      <c r="A560" t="str">
        <f>"09601622"</f>
        <v>09601622</v>
      </c>
      <c r="B560" t="str">
        <f t="shared" si="28"/>
        <v>PENETRO</v>
      </c>
      <c r="C560" t="str">
        <f t="shared" si="29"/>
        <v>Flavien</v>
      </c>
      <c r="D560">
        <v>7210</v>
      </c>
      <c r="E560" t="str">
        <f>"PROV RTT SALAIRE"</f>
        <v>PROV RTT SALAIRE</v>
      </c>
      <c r="F560" s="4">
        <v>91.58</v>
      </c>
    </row>
    <row r="561" spans="1:6" x14ac:dyDescent="0.25">
      <c r="A561" t="str">
        <f>"09601622"</f>
        <v>09601622</v>
      </c>
      <c r="B561" t="str">
        <f t="shared" si="28"/>
        <v>PENETRO</v>
      </c>
      <c r="C561" t="str">
        <f t="shared" si="29"/>
        <v>Flavien</v>
      </c>
      <c r="D561">
        <v>7220</v>
      </c>
      <c r="E561" t="str">
        <f>"PROV RTT CHG PAT SOC"</f>
        <v>PROV RTT CHG PAT SOC</v>
      </c>
      <c r="F561" s="4">
        <v>38.29</v>
      </c>
    </row>
    <row r="562" spans="1:6" x14ac:dyDescent="0.25">
      <c r="A562" t="str">
        <f>"09601622"</f>
        <v>09601622</v>
      </c>
      <c r="B562" t="str">
        <f t="shared" si="28"/>
        <v>PENETRO</v>
      </c>
      <c r="C562" t="str">
        <f t="shared" si="29"/>
        <v>Flavien</v>
      </c>
      <c r="D562">
        <v>7230</v>
      </c>
      <c r="E562" t="str">
        <f>"AN PROV RTT SALAIRE"</f>
        <v>AN PROV RTT SALAIRE</v>
      </c>
      <c r="F562" s="4">
        <v>35.1</v>
      </c>
    </row>
    <row r="563" spans="1:6" x14ac:dyDescent="0.25">
      <c r="A563" t="str">
        <f>"09601622"</f>
        <v>09601622</v>
      </c>
      <c r="B563" t="str">
        <f t="shared" si="28"/>
        <v>PENETRO</v>
      </c>
      <c r="C563" t="str">
        <f t="shared" si="29"/>
        <v>Flavien</v>
      </c>
      <c r="D563">
        <v>7240</v>
      </c>
      <c r="E563" t="str">
        <f>"AN PROV RTT CHG PAT SOC"</f>
        <v>AN PROV RTT CHG PAT SOC</v>
      </c>
      <c r="F563" s="4">
        <v>14.67</v>
      </c>
    </row>
    <row r="564" spans="1:6" x14ac:dyDescent="0.25">
      <c r="A564" t="str">
        <f>"09601622"</f>
        <v>09601622</v>
      </c>
      <c r="B564" t="str">
        <f t="shared" si="28"/>
        <v>PENETRO</v>
      </c>
      <c r="C564" t="str">
        <f t="shared" si="29"/>
        <v>Flavien</v>
      </c>
      <c r="D564">
        <v>8030</v>
      </c>
      <c r="E564" t="str">
        <f>"NB JOURS CALENDAIRES"</f>
        <v>NB JOURS CALENDAIRES</v>
      </c>
      <c r="F564" s="4">
        <v>30</v>
      </c>
    </row>
    <row r="565" spans="1:6" x14ac:dyDescent="0.25">
      <c r="A565" t="str">
        <f>"09601622"</f>
        <v>09601622</v>
      </c>
      <c r="B565" t="str">
        <f t="shared" si="28"/>
        <v>PENETRO</v>
      </c>
      <c r="C565" t="str">
        <f t="shared" si="29"/>
        <v>Flavien</v>
      </c>
      <c r="D565">
        <v>7305</v>
      </c>
      <c r="E565" t="str">
        <f>"P PrimesVac SALAIRE"</f>
        <v>P PrimesVac SALAIRE</v>
      </c>
      <c r="F565" s="4">
        <v>829.14</v>
      </c>
    </row>
    <row r="566" spans="1:6" x14ac:dyDescent="0.25">
      <c r="A566" t="str">
        <f>"09601622"</f>
        <v>09601622</v>
      </c>
      <c r="B566" t="str">
        <f t="shared" si="28"/>
        <v>PENETRO</v>
      </c>
      <c r="C566" t="str">
        <f t="shared" si="29"/>
        <v>Flavien</v>
      </c>
      <c r="D566">
        <v>7315</v>
      </c>
      <c r="E566" t="str">
        <f>"P PrimesVac CHG PAT SOC"</f>
        <v>P PrimesVac CHG PAT SOC</v>
      </c>
      <c r="F566" s="4">
        <v>346.66</v>
      </c>
    </row>
    <row r="567" spans="1:6" x14ac:dyDescent="0.25">
      <c r="A567" t="str">
        <f>"09601622"</f>
        <v>09601622</v>
      </c>
      <c r="B567" t="str">
        <f t="shared" si="28"/>
        <v>PENETRO</v>
      </c>
      <c r="C567" t="str">
        <f t="shared" si="29"/>
        <v>Flavien</v>
      </c>
      <c r="D567">
        <v>7325</v>
      </c>
      <c r="E567" t="str">
        <f>"A PROV PrimesVac SALAIRE"</f>
        <v>A PROV PrimesVac SALAIRE</v>
      </c>
      <c r="F567" s="4">
        <v>-693.22</v>
      </c>
    </row>
    <row r="568" spans="1:6" x14ac:dyDescent="0.25">
      <c r="A568" t="str">
        <f>"09601622"</f>
        <v>09601622</v>
      </c>
      <c r="B568" t="str">
        <f t="shared" si="28"/>
        <v>PENETRO</v>
      </c>
      <c r="C568" t="str">
        <f t="shared" si="29"/>
        <v>Flavien</v>
      </c>
      <c r="D568">
        <v>7335</v>
      </c>
      <c r="E568" t="str">
        <f>"A PROV PrimesVac CHG PAT SOC"</f>
        <v>A PROV PrimesVac CHG PAT SOC</v>
      </c>
      <c r="F568" s="4">
        <v>-289.7</v>
      </c>
    </row>
    <row r="569" spans="1:6" x14ac:dyDescent="0.25">
      <c r="A569" t="str">
        <f>"09601622"</f>
        <v>09601622</v>
      </c>
      <c r="B569" t="str">
        <f t="shared" si="28"/>
        <v>PENETRO</v>
      </c>
      <c r="C569" t="str">
        <f t="shared" si="29"/>
        <v>Flavien</v>
      </c>
      <c r="D569">
        <v>7992</v>
      </c>
      <c r="E569" t="str">
        <f>"REINT PP MUTUELLE NET IMPOS"</f>
        <v>REINT PP MUTUELLE NET IMPOS</v>
      </c>
      <c r="F569" s="4">
        <v>75.87</v>
      </c>
    </row>
    <row r="570" spans="1:6" x14ac:dyDescent="0.25">
      <c r="A570" t="str">
        <f>"09601622"</f>
        <v>09601622</v>
      </c>
      <c r="B570" t="str">
        <f t="shared" si="28"/>
        <v>PENETRO</v>
      </c>
      <c r="C570" t="str">
        <f t="shared" si="29"/>
        <v>Flavien</v>
      </c>
      <c r="D570">
        <v>8005</v>
      </c>
      <c r="E570" t="str">
        <f>"HEURES TRAVAILLEES"</f>
        <v>HEURES TRAVAILLEES</v>
      </c>
      <c r="F570" s="4">
        <v>151.66999999999999</v>
      </c>
    </row>
    <row r="571" spans="1:6" x14ac:dyDescent="0.25">
      <c r="A571" t="str">
        <f>"09601622"</f>
        <v>09601622</v>
      </c>
      <c r="B571" t="str">
        <f t="shared" si="28"/>
        <v>PENETRO</v>
      </c>
      <c r="C571" t="str">
        <f t="shared" si="29"/>
        <v>Flavien</v>
      </c>
      <c r="D571">
        <v>8010</v>
      </c>
      <c r="E571" t="str">
        <f>"HEURES REMUNEREES"</f>
        <v>HEURES REMUNEREES</v>
      </c>
      <c r="F571" s="4">
        <v>151.66999999999999</v>
      </c>
    </row>
    <row r="572" spans="1:6" x14ac:dyDescent="0.25">
      <c r="A572" t="str">
        <f>"09601622"</f>
        <v>09601622</v>
      </c>
      <c r="B572" t="str">
        <f t="shared" si="28"/>
        <v>PENETRO</v>
      </c>
      <c r="C572" t="str">
        <f t="shared" si="29"/>
        <v>Flavien</v>
      </c>
      <c r="D572">
        <v>8015</v>
      </c>
      <c r="E572" t="str">
        <f>"HEURES REMUNEREES FILLON"</f>
        <v>HEURES REMUNEREES FILLON</v>
      </c>
      <c r="F572" s="4">
        <v>151.41999999999999</v>
      </c>
    </row>
    <row r="573" spans="1:6" x14ac:dyDescent="0.25">
      <c r="A573" t="str">
        <f>"09601622"</f>
        <v>09601622</v>
      </c>
      <c r="B573" t="str">
        <f t="shared" si="28"/>
        <v>PENETRO</v>
      </c>
      <c r="C573" t="str">
        <f t="shared" si="29"/>
        <v>Flavien</v>
      </c>
      <c r="D573">
        <v>8101</v>
      </c>
      <c r="E573" t="str">
        <f>"Test allègement CAF ET MALADIE"</f>
        <v>Test allègement CAF ET MALADIE</v>
      </c>
      <c r="F573" s="4">
        <v>62.02</v>
      </c>
    </row>
    <row r="574" spans="1:6" x14ac:dyDescent="0.25">
      <c r="A574" t="str">
        <f>"09601622"</f>
        <v>09601622</v>
      </c>
      <c r="B574" t="str">
        <f t="shared" si="28"/>
        <v>PENETRO</v>
      </c>
      <c r="C574" t="str">
        <f t="shared" si="29"/>
        <v>Flavien</v>
      </c>
      <c r="D574">
        <v>8202</v>
      </c>
      <c r="E574" t="str">
        <f>"DUREE REMUNEREE"</f>
        <v>DUREE REMUNEREE</v>
      </c>
      <c r="F574" s="4">
        <v>21.67</v>
      </c>
    </row>
    <row r="575" spans="1:6" x14ac:dyDescent="0.25">
      <c r="A575" t="str">
        <f>"09601622"</f>
        <v>09601622</v>
      </c>
      <c r="B575" t="str">
        <f t="shared" si="28"/>
        <v>PENETRO</v>
      </c>
      <c r="C575" t="str">
        <f t="shared" si="29"/>
        <v>Flavien</v>
      </c>
      <c r="D575">
        <v>8206</v>
      </c>
      <c r="E575" t="str">
        <f>"SALAIRE RETABLI"</f>
        <v>SALAIRE RETABLI</v>
      </c>
      <c r="F575" s="4">
        <v>3445.66</v>
      </c>
    </row>
    <row r="576" spans="1:6" x14ac:dyDescent="0.25">
      <c r="A576" t="str">
        <f>"09601622"</f>
        <v>09601622</v>
      </c>
      <c r="B576" t="str">
        <f t="shared" si="28"/>
        <v>PENETRO</v>
      </c>
      <c r="C576" t="str">
        <f t="shared" si="29"/>
        <v>Flavien</v>
      </c>
      <c r="D576">
        <v>8208</v>
      </c>
      <c r="E576" t="str">
        <f>"BRUT FISCAL"</f>
        <v>BRUT FISCAL</v>
      </c>
      <c r="F576" s="4">
        <v>3550.85</v>
      </c>
    </row>
    <row r="577" spans="1:6" x14ac:dyDescent="0.25">
      <c r="A577" t="str">
        <f>"09601622"</f>
        <v>09601622</v>
      </c>
      <c r="B577" t="str">
        <f t="shared" si="28"/>
        <v>PENETRO</v>
      </c>
      <c r="C577" t="str">
        <f t="shared" si="29"/>
        <v>Flavien</v>
      </c>
      <c r="D577">
        <v>9896</v>
      </c>
      <c r="E577" t="str">
        <f>"Prélèvement à la source"</f>
        <v>Prélèvement à la source</v>
      </c>
      <c r="F577" s="4">
        <v>-118.44</v>
      </c>
    </row>
    <row r="578" spans="1:6" x14ac:dyDescent="0.25">
      <c r="A578" t="str">
        <f>"09601622"</f>
        <v>09601622</v>
      </c>
      <c r="B578" t="str">
        <f t="shared" si="28"/>
        <v>PENETRO</v>
      </c>
      <c r="C578" t="str">
        <f t="shared" si="29"/>
        <v>Flavien</v>
      </c>
      <c r="D578">
        <v>9899</v>
      </c>
      <c r="E578" t="str">
        <f>"Extourne Net à Payer après PAS"</f>
        <v>Extourne Net à Payer après PAS</v>
      </c>
      <c r="F578" s="4">
        <v>-118.44</v>
      </c>
    </row>
    <row r="579" spans="1:6" x14ac:dyDescent="0.25">
      <c r="A579" t="str">
        <f>"09601622"</f>
        <v>09601622</v>
      </c>
      <c r="B579" t="str">
        <f t="shared" si="28"/>
        <v>PENETRO</v>
      </c>
      <c r="C579" t="str">
        <f t="shared" si="29"/>
        <v>Flavien</v>
      </c>
      <c r="D579">
        <v>9994</v>
      </c>
      <c r="E579" t="str">
        <f>"ETP Egalité F/H"</f>
        <v>ETP Egalité F/H</v>
      </c>
      <c r="F579" s="4">
        <v>1</v>
      </c>
    </row>
    <row r="580" spans="1:6" x14ac:dyDescent="0.25">
      <c r="A580" t="str">
        <f>"09601622"</f>
        <v>09601622</v>
      </c>
      <c r="B580" t="str">
        <f t="shared" si="28"/>
        <v>PENETRO</v>
      </c>
      <c r="C580" t="str">
        <f t="shared" si="29"/>
        <v>Flavien</v>
      </c>
      <c r="D580">
        <v>9995</v>
      </c>
      <c r="E580" t="str">
        <f>"ETP PRORTISE JOURS OUVRES"</f>
        <v>ETP PRORTISE JOURS OUVRES</v>
      </c>
      <c r="F580" s="4">
        <v>1</v>
      </c>
    </row>
    <row r="581" spans="1:6" x14ac:dyDescent="0.25">
      <c r="A581" t="str">
        <f>"09601622"</f>
        <v>09601622</v>
      </c>
      <c r="B581" t="str">
        <f t="shared" si="28"/>
        <v>PENETRO</v>
      </c>
      <c r="C581" t="str">
        <f t="shared" si="29"/>
        <v>Flavien</v>
      </c>
      <c r="D581">
        <v>9999</v>
      </c>
      <c r="E581" t="str">
        <f>"**Dont gain pouvoir d'achat**"</f>
        <v>**Dont gain pouvoir d'achat**</v>
      </c>
      <c r="F581" s="4">
        <v>49.2</v>
      </c>
    </row>
    <row r="582" spans="1:6" x14ac:dyDescent="0.25">
      <c r="A582" t="str">
        <f>"09601622"</f>
        <v>09601622</v>
      </c>
      <c r="B582" t="str">
        <f t="shared" si="28"/>
        <v>PENETRO</v>
      </c>
      <c r="C582" t="str">
        <f t="shared" si="29"/>
        <v>Flavien</v>
      </c>
      <c r="D582" t="str">
        <f>"PRESENCE"</f>
        <v>PRESENCE</v>
      </c>
      <c r="E582" t="str">
        <f>"Présence"</f>
        <v>Présence</v>
      </c>
      <c r="F582" s="4">
        <v>151.66999999999999</v>
      </c>
    </row>
    <row r="583" spans="1:6" x14ac:dyDescent="0.25">
      <c r="A583" t="str">
        <f>"09601622"</f>
        <v>09601622</v>
      </c>
      <c r="B583" t="str">
        <f t="shared" si="28"/>
        <v>PENETRO</v>
      </c>
      <c r="C583" t="str">
        <f t="shared" si="29"/>
        <v>Flavien</v>
      </c>
      <c r="D583" t="str">
        <f>"BRUT"</f>
        <v>BRUT</v>
      </c>
      <c r="E583" t="str">
        <f>"Brut"</f>
        <v>Brut</v>
      </c>
      <c r="F583" s="4">
        <v>3445.66</v>
      </c>
    </row>
    <row r="584" spans="1:6" x14ac:dyDescent="0.25">
      <c r="A584" t="str">
        <f>"09601622"</f>
        <v>09601622</v>
      </c>
      <c r="B584" t="str">
        <f t="shared" si="28"/>
        <v>PENETRO</v>
      </c>
      <c r="C584" t="str">
        <f t="shared" si="29"/>
        <v>Flavien</v>
      </c>
      <c r="D584" t="str">
        <f>"COTISAL"</f>
        <v>COTISAL</v>
      </c>
      <c r="E584" t="str">
        <f>"Cotisations salariales"</f>
        <v>Cotisations salariales</v>
      </c>
      <c r="F584" s="4">
        <v>802.66</v>
      </c>
    </row>
    <row r="585" spans="1:6" x14ac:dyDescent="0.25">
      <c r="A585" t="str">
        <f>"09601622"</f>
        <v>09601622</v>
      </c>
      <c r="B585" t="str">
        <f t="shared" ref="B585:B598" si="30">"PENETRO"</f>
        <v>PENETRO</v>
      </c>
      <c r="C585" t="str">
        <f t="shared" ref="C585:C598" si="31">"Flavien"</f>
        <v>Flavien</v>
      </c>
      <c r="D585" t="str">
        <f>"COTIPAT"</f>
        <v>COTIPAT</v>
      </c>
      <c r="E585" t="str">
        <f>"Cotisations patronales"</f>
        <v>Cotisations patronales</v>
      </c>
      <c r="F585" s="4">
        <v>1534.01</v>
      </c>
    </row>
    <row r="586" spans="1:6" x14ac:dyDescent="0.25">
      <c r="A586" t="str">
        <f>"09601622"</f>
        <v>09601622</v>
      </c>
      <c r="B586" t="str">
        <f t="shared" si="30"/>
        <v>PENETRO</v>
      </c>
      <c r="C586" t="str">
        <f t="shared" si="31"/>
        <v>Flavien</v>
      </c>
      <c r="D586" t="str">
        <f>"NETPAIE"</f>
        <v>NETPAIE</v>
      </c>
      <c r="E586" t="str">
        <f>"Net à payer"</f>
        <v>Net à payer</v>
      </c>
      <c r="F586" s="4">
        <v>2335.4</v>
      </c>
    </row>
    <row r="587" spans="1:6" x14ac:dyDescent="0.25">
      <c r="A587" t="str">
        <f>"09601622"</f>
        <v>09601622</v>
      </c>
      <c r="B587" t="str">
        <f t="shared" si="30"/>
        <v>PENETRO</v>
      </c>
      <c r="C587" t="str">
        <f t="shared" si="31"/>
        <v>Flavien</v>
      </c>
      <c r="D587" t="str">
        <f>"NETIMPO"</f>
        <v>NETIMPO</v>
      </c>
      <c r="E587" t="str">
        <f>"Net imposable"</f>
        <v>Net imposable</v>
      </c>
      <c r="F587" s="4">
        <v>2820.1</v>
      </c>
    </row>
    <row r="588" spans="1:6" x14ac:dyDescent="0.25">
      <c r="A588" t="str">
        <f>"09601622"</f>
        <v>09601622</v>
      </c>
      <c r="B588" t="str">
        <f t="shared" si="30"/>
        <v>PENETRO</v>
      </c>
      <c r="C588" t="str">
        <f t="shared" si="31"/>
        <v>Flavien</v>
      </c>
      <c r="D588" t="str">
        <f>"AVANTUR"</f>
        <v>AVANTUR</v>
      </c>
      <c r="E588" t="str">
        <f>"Avantages en nature"</f>
        <v>Avantages en nature</v>
      </c>
      <c r="F588" s="4">
        <v>138.16</v>
      </c>
    </row>
    <row r="589" spans="1:6" x14ac:dyDescent="0.25">
      <c r="A589" t="str">
        <f>"09601622"</f>
        <v>09601622</v>
      </c>
      <c r="B589" t="str">
        <f t="shared" si="30"/>
        <v>PENETRO</v>
      </c>
      <c r="C589" t="str">
        <f t="shared" si="31"/>
        <v>Flavien</v>
      </c>
      <c r="D589" t="str">
        <f>"TOTALHTRAV"</f>
        <v>TOTALHTRAV</v>
      </c>
      <c r="E589" t="str">
        <f>"Total des heures travaillées"</f>
        <v>Total des heures travaillées</v>
      </c>
      <c r="F589" s="4">
        <v>151.66999999999999</v>
      </c>
    </row>
    <row r="590" spans="1:6" x14ac:dyDescent="0.25">
      <c r="A590" t="str">
        <f>"09601622"</f>
        <v>09601622</v>
      </c>
      <c r="B590" t="str">
        <f t="shared" si="30"/>
        <v>PENETRO</v>
      </c>
      <c r="C590" t="str">
        <f t="shared" si="31"/>
        <v>Flavien</v>
      </c>
      <c r="D590" t="str">
        <f>"TOTALHS"</f>
        <v>TOTALHS</v>
      </c>
      <c r="E590" t="str">
        <f>"Total des hres supplémentaires"</f>
        <v>Total des hres supplémentaires</v>
      </c>
      <c r="F590" s="4">
        <v>0</v>
      </c>
    </row>
    <row r="591" spans="1:6" x14ac:dyDescent="0.25">
      <c r="A591" t="str">
        <f>"09601622"</f>
        <v>09601622</v>
      </c>
      <c r="B591" t="str">
        <f t="shared" si="30"/>
        <v>PENETRO</v>
      </c>
      <c r="C591" t="str">
        <f t="shared" si="31"/>
        <v>Flavien</v>
      </c>
      <c r="D591" t="str">
        <f>"TOTALHC"</f>
        <v>TOTALHC</v>
      </c>
      <c r="E591" t="str">
        <f>"Total des hres complémentaires"</f>
        <v>Total des hres complémentaires</v>
      </c>
      <c r="F591" s="4">
        <v>0</v>
      </c>
    </row>
    <row r="592" spans="1:6" x14ac:dyDescent="0.25">
      <c r="A592" t="str">
        <f>"09601622"</f>
        <v>09601622</v>
      </c>
      <c r="B592" t="str">
        <f t="shared" si="30"/>
        <v>PENETRO</v>
      </c>
      <c r="C592" t="str">
        <f t="shared" si="31"/>
        <v>Flavien</v>
      </c>
      <c r="D592" t="str">
        <f>"TOTALHA"</f>
        <v>TOTALHA</v>
      </c>
      <c r="E592" t="str">
        <f>"Total des heures d'absence"</f>
        <v>Total des heures d'absence</v>
      </c>
      <c r="F592" s="4">
        <v>0</v>
      </c>
    </row>
    <row r="593" spans="1:6" x14ac:dyDescent="0.25">
      <c r="A593" t="str">
        <f>"09601622"</f>
        <v>09601622</v>
      </c>
      <c r="B593" t="str">
        <f t="shared" si="30"/>
        <v>PENETRO</v>
      </c>
      <c r="C593" t="str">
        <f t="shared" si="31"/>
        <v>Flavien</v>
      </c>
      <c r="D593" t="str">
        <f>"ABSENCE"</f>
        <v>ABSENCE</v>
      </c>
      <c r="E593" t="str">
        <f>"Absence"</f>
        <v>Absence</v>
      </c>
      <c r="F593" s="4">
        <v>0</v>
      </c>
    </row>
    <row r="594" spans="1:6" x14ac:dyDescent="0.25">
      <c r="A594" t="str">
        <f>"09601622"</f>
        <v>09601622</v>
      </c>
      <c r="B594" t="str">
        <f t="shared" si="30"/>
        <v>PENETRO</v>
      </c>
      <c r="C594" t="str">
        <f t="shared" si="31"/>
        <v>Flavien</v>
      </c>
      <c r="D594" t="str">
        <f>"COACMOIS"</f>
        <v>COACMOIS</v>
      </c>
      <c r="E594" t="str">
        <f>"Congés acquis dans le mois"</f>
        <v>Congés acquis dans le mois</v>
      </c>
      <c r="F594" s="4">
        <v>2.08</v>
      </c>
    </row>
    <row r="595" spans="1:6" x14ac:dyDescent="0.25">
      <c r="A595" t="str">
        <f>"09601622"</f>
        <v>09601622</v>
      </c>
      <c r="B595" t="str">
        <f t="shared" si="30"/>
        <v>PENETRO</v>
      </c>
      <c r="C595" t="str">
        <f t="shared" si="31"/>
        <v>Flavien</v>
      </c>
      <c r="D595" t="str">
        <f>"COPRIMOI"</f>
        <v>COPRIMOI</v>
      </c>
      <c r="E595" t="str">
        <f>"Congés pris dans le mois"</f>
        <v>Congés pris dans le mois</v>
      </c>
      <c r="F595" s="4">
        <v>0</v>
      </c>
    </row>
    <row r="596" spans="1:6" x14ac:dyDescent="0.25">
      <c r="A596" t="str">
        <f>"09601622"</f>
        <v>09601622</v>
      </c>
      <c r="B596" t="str">
        <f t="shared" si="30"/>
        <v>PENETRO</v>
      </c>
      <c r="C596" t="str">
        <f t="shared" si="31"/>
        <v>Flavien</v>
      </c>
      <c r="D596" t="str">
        <f>"TOTALPRES"</f>
        <v>TOTALPRES</v>
      </c>
      <c r="E596" t="str">
        <f>"Total des heures de présence"</f>
        <v>Total des heures de présence</v>
      </c>
      <c r="F596" s="4">
        <v>151.66999999999999</v>
      </c>
    </row>
    <row r="597" spans="1:6" x14ac:dyDescent="0.25">
      <c r="A597" t="str">
        <f>"09601622"</f>
        <v>09601622</v>
      </c>
      <c r="B597" t="str">
        <f t="shared" si="30"/>
        <v>PENETRO</v>
      </c>
      <c r="C597" t="str">
        <f t="shared" si="31"/>
        <v>Flavien</v>
      </c>
      <c r="D597" t="str">
        <f>"TOTHANA"</f>
        <v>TOTHANA</v>
      </c>
      <c r="E597" t="str">
        <f>"Total des heures / Analytique"</f>
        <v>Total des heures / Analytique</v>
      </c>
      <c r="F597" s="4">
        <v>0</v>
      </c>
    </row>
    <row r="598" spans="1:6" x14ac:dyDescent="0.25">
      <c r="A598" t="str">
        <f>"09601622"</f>
        <v>09601622</v>
      </c>
      <c r="B598" t="str">
        <f t="shared" si="30"/>
        <v>PENETRO</v>
      </c>
      <c r="C598" t="str">
        <f t="shared" si="31"/>
        <v>Flavien</v>
      </c>
      <c r="D598" t="str">
        <f>"COUT_TOTAL"</f>
        <v>COUT_TOTAL</v>
      </c>
      <c r="E598" t="str">
        <f>"Cout total"</f>
        <v>Cout total</v>
      </c>
      <c r="F598" s="4">
        <v>4979.67</v>
      </c>
    </row>
    <row r="599" spans="1:6" x14ac:dyDescent="0.25">
      <c r="A599" t="str">
        <f>"09601611"</f>
        <v>09601611</v>
      </c>
      <c r="B599" t="str">
        <f t="shared" ref="B599:B662" si="32">"PROMINSKI"</f>
        <v>PROMINSKI</v>
      </c>
      <c r="C599" t="str">
        <f t="shared" ref="C599:C662" si="33">"Céline"</f>
        <v>Céline</v>
      </c>
      <c r="D599">
        <v>1</v>
      </c>
      <c r="E599" t="str">
        <f>"**GMP DU MOIS"</f>
        <v>**GMP DU MOIS</v>
      </c>
      <c r="F599" s="4">
        <v>353.82</v>
      </c>
    </row>
    <row r="600" spans="1:6" x14ac:dyDescent="0.25">
      <c r="A600" t="str">
        <f>"09601611"</f>
        <v>09601611</v>
      </c>
      <c r="B600" t="str">
        <f t="shared" si="32"/>
        <v>PROMINSKI</v>
      </c>
      <c r="C600" t="str">
        <f t="shared" si="33"/>
        <v>Céline</v>
      </c>
      <c r="D600">
        <v>10</v>
      </c>
      <c r="E600" t="str">
        <f>"SALAIRE DE BASE"</f>
        <v>SALAIRE DE BASE</v>
      </c>
      <c r="F600" s="4">
        <v>3120</v>
      </c>
    </row>
    <row r="601" spans="1:6" x14ac:dyDescent="0.25">
      <c r="A601" t="str">
        <f>"09601611"</f>
        <v>09601611</v>
      </c>
      <c r="B601" t="str">
        <f t="shared" si="32"/>
        <v>PROMINSKI</v>
      </c>
      <c r="C601" t="str">
        <f t="shared" si="33"/>
        <v>Céline</v>
      </c>
      <c r="D601">
        <v>1986</v>
      </c>
      <c r="E601" t="str">
        <f>"DSN - Nb jrs calendaires PSS"</f>
        <v>DSN - Nb jrs calendaires PSS</v>
      </c>
      <c r="F601" s="4">
        <v>30</v>
      </c>
    </row>
    <row r="602" spans="1:6" x14ac:dyDescent="0.25">
      <c r="A602" t="str">
        <f>"09601611"</f>
        <v>09601611</v>
      </c>
      <c r="B602" t="str">
        <f t="shared" si="32"/>
        <v>PROMINSKI</v>
      </c>
      <c r="C602" t="str">
        <f t="shared" si="33"/>
        <v>Céline</v>
      </c>
      <c r="D602">
        <v>3014</v>
      </c>
      <c r="E602" t="str">
        <f>"SS VIEIL DEPLAFONNEE"</f>
        <v>SS VIEIL DEPLAFONNEE</v>
      </c>
      <c r="F602" s="4">
        <v>12.48</v>
      </c>
    </row>
    <row r="603" spans="1:6" x14ac:dyDescent="0.25">
      <c r="A603" t="str">
        <f>"09601611"</f>
        <v>09601611</v>
      </c>
      <c r="B603" t="str">
        <f t="shared" si="32"/>
        <v>PROMINSKI</v>
      </c>
      <c r="C603" t="str">
        <f t="shared" si="33"/>
        <v>Céline</v>
      </c>
      <c r="D603">
        <v>3110</v>
      </c>
      <c r="E603" t="str">
        <f>"SS CG VIEILLESSE TA"</f>
        <v>SS CG VIEILLESSE TA</v>
      </c>
      <c r="F603" s="4">
        <v>215.28</v>
      </c>
    </row>
    <row r="604" spans="1:6" x14ac:dyDescent="0.25">
      <c r="A604" t="str">
        <f>"09601611"</f>
        <v>09601611</v>
      </c>
      <c r="B604" t="str">
        <f t="shared" si="32"/>
        <v>PROMINSKI</v>
      </c>
      <c r="C604" t="str">
        <f t="shared" si="33"/>
        <v>Céline</v>
      </c>
      <c r="D604">
        <v>3504</v>
      </c>
      <c r="E604" t="str">
        <f>"**LIMITE D'EXO AF"</f>
        <v>**LIMITE D'EXO AF</v>
      </c>
      <c r="F604" s="4">
        <v>2434</v>
      </c>
    </row>
    <row r="605" spans="1:6" x14ac:dyDescent="0.25">
      <c r="A605" t="str">
        <f>"09601611"</f>
        <v>09601611</v>
      </c>
      <c r="B605" t="str">
        <f t="shared" si="32"/>
        <v>PROMINSKI</v>
      </c>
      <c r="C605" t="str">
        <f t="shared" si="33"/>
        <v>Céline</v>
      </c>
      <c r="D605">
        <v>3501</v>
      </c>
      <c r="E605" t="str">
        <f>"** HISTORISATION REMUNERATION"</f>
        <v>** HISTORISATION REMUNERATION</v>
      </c>
      <c r="F605" s="4">
        <v>3120</v>
      </c>
    </row>
    <row r="606" spans="1:6" x14ac:dyDescent="0.25">
      <c r="A606" t="str">
        <f>"09601611"</f>
        <v>09601611</v>
      </c>
      <c r="B606" t="str">
        <f t="shared" si="32"/>
        <v>PROMINSKI</v>
      </c>
      <c r="C606" t="str">
        <f t="shared" si="33"/>
        <v>Céline</v>
      </c>
      <c r="D606">
        <v>4031</v>
      </c>
      <c r="E606" t="str">
        <f>"Réduction salariale chômage"</f>
        <v>Réduction salariale chômage</v>
      </c>
      <c r="F606" s="4">
        <v>-74.88</v>
      </c>
    </row>
    <row r="607" spans="1:6" x14ac:dyDescent="0.25">
      <c r="A607" t="str">
        <f>"09601611"</f>
        <v>09601611</v>
      </c>
      <c r="B607" t="str">
        <f t="shared" si="32"/>
        <v>PROMINSKI</v>
      </c>
      <c r="C607" t="str">
        <f t="shared" si="33"/>
        <v>Céline</v>
      </c>
      <c r="D607">
        <v>4610</v>
      </c>
      <c r="E607" t="str">
        <f>"Retraite T1"</f>
        <v>Retraite T1</v>
      </c>
      <c r="F607" s="4">
        <v>98.28</v>
      </c>
    </row>
    <row r="608" spans="1:6" x14ac:dyDescent="0.25">
      <c r="A608" t="str">
        <f>"09601611"</f>
        <v>09601611</v>
      </c>
      <c r="B608" t="str">
        <f t="shared" si="32"/>
        <v>PROMINSKI</v>
      </c>
      <c r="C608" t="str">
        <f t="shared" si="33"/>
        <v>Céline</v>
      </c>
      <c r="D608">
        <v>4625</v>
      </c>
      <c r="E608" t="str">
        <f>"CEG T1"</f>
        <v>CEG T1</v>
      </c>
      <c r="F608" s="4">
        <v>26.83</v>
      </c>
    </row>
    <row r="609" spans="1:6" x14ac:dyDescent="0.25">
      <c r="A609" t="str">
        <f>"09601611"</f>
        <v>09601611</v>
      </c>
      <c r="B609" t="str">
        <f t="shared" si="32"/>
        <v>PROMINSKI</v>
      </c>
      <c r="C609" t="str">
        <f t="shared" si="33"/>
        <v>Céline</v>
      </c>
      <c r="D609">
        <v>4635</v>
      </c>
      <c r="E609" t="str">
        <f>"APEC"</f>
        <v>APEC</v>
      </c>
      <c r="F609" s="4">
        <v>0.75</v>
      </c>
    </row>
    <row r="610" spans="1:6" x14ac:dyDescent="0.25">
      <c r="A610" t="str">
        <f>"09601611"</f>
        <v>09601611</v>
      </c>
      <c r="B610" t="str">
        <f t="shared" si="32"/>
        <v>PROMINSKI</v>
      </c>
      <c r="C610" t="str">
        <f t="shared" si="33"/>
        <v>Céline</v>
      </c>
      <c r="D610">
        <v>4720</v>
      </c>
      <c r="E610" t="str">
        <f>"PREVOYANCE TA CADRE"</f>
        <v>PREVOYANCE TA CADRE</v>
      </c>
      <c r="F610" s="4">
        <v>6.68</v>
      </c>
    </row>
    <row r="611" spans="1:6" x14ac:dyDescent="0.25">
      <c r="A611" t="str">
        <f>"09601611"</f>
        <v>09601611</v>
      </c>
      <c r="B611" t="str">
        <f t="shared" si="32"/>
        <v>PROMINSKI</v>
      </c>
      <c r="C611" t="str">
        <f t="shared" si="33"/>
        <v>Céline</v>
      </c>
      <c r="D611">
        <v>4774</v>
      </c>
      <c r="E611" t="str">
        <f>"MUTUELLE BASE OBLIGAT. CAD (M)"</f>
        <v>MUTUELLE BASE OBLIGAT. CAD (M)</v>
      </c>
      <c r="F611" s="4">
        <v>4.84</v>
      </c>
    </row>
    <row r="612" spans="1:6" x14ac:dyDescent="0.25">
      <c r="A612" t="str">
        <f>"09601611"</f>
        <v>09601611</v>
      </c>
      <c r="B612" t="str">
        <f t="shared" si="32"/>
        <v>PROMINSKI</v>
      </c>
      <c r="C612" t="str">
        <f t="shared" si="33"/>
        <v>Céline</v>
      </c>
      <c r="D612">
        <v>4797</v>
      </c>
      <c r="E612" t="str">
        <f>"CSG DEDUCTIBLE PREV-MUTUELLE"</f>
        <v>CSG DEDUCTIBLE PREV-MUTUELLE</v>
      </c>
      <c r="F612" s="4">
        <v>6.98</v>
      </c>
    </row>
    <row r="613" spans="1:6" x14ac:dyDescent="0.25">
      <c r="A613" t="str">
        <f>"09601611"</f>
        <v>09601611</v>
      </c>
      <c r="B613" t="str">
        <f t="shared" si="32"/>
        <v>PROMINSKI</v>
      </c>
      <c r="C613" t="str">
        <f t="shared" si="33"/>
        <v>Céline</v>
      </c>
      <c r="D613">
        <v>4798</v>
      </c>
      <c r="E613" t="str">
        <f>"CSG/CRDS NON DED.PREV.MUTUELLE"</f>
        <v>CSG/CRDS NON DED.PREV.MUTUELLE</v>
      </c>
      <c r="F613" s="4">
        <v>2.97</v>
      </c>
    </row>
    <row r="614" spans="1:6" x14ac:dyDescent="0.25">
      <c r="A614" t="str">
        <f>"09601611"</f>
        <v>09601611</v>
      </c>
      <c r="B614" t="str">
        <f t="shared" si="32"/>
        <v>PROMINSKI</v>
      </c>
      <c r="C614" t="str">
        <f t="shared" si="33"/>
        <v>Céline</v>
      </c>
      <c r="D614">
        <v>4800</v>
      </c>
      <c r="E614" t="str">
        <f>"CSG DEDUCTIBLE"</f>
        <v>CSG DEDUCTIBLE</v>
      </c>
      <c r="F614" s="4">
        <v>208.45</v>
      </c>
    </row>
    <row r="615" spans="1:6" x14ac:dyDescent="0.25">
      <c r="A615" t="str">
        <f>"09601611"</f>
        <v>09601611</v>
      </c>
      <c r="B615" t="str">
        <f t="shared" si="32"/>
        <v>PROMINSKI</v>
      </c>
      <c r="C615" t="str">
        <f t="shared" si="33"/>
        <v>Céline</v>
      </c>
      <c r="D615">
        <v>4801</v>
      </c>
      <c r="E615" t="str">
        <f>"CSG/CRDS NON DEDUCTIBLE"</f>
        <v>CSG/CRDS NON DEDUCTIBLE</v>
      </c>
      <c r="F615" s="4">
        <v>88.9</v>
      </c>
    </row>
    <row r="616" spans="1:6" x14ac:dyDescent="0.25">
      <c r="A616" t="str">
        <f>"09601611"</f>
        <v>09601611</v>
      </c>
      <c r="B616" t="str">
        <f t="shared" si="32"/>
        <v>PROMINSKI</v>
      </c>
      <c r="C616" t="str">
        <f t="shared" si="33"/>
        <v>Céline</v>
      </c>
      <c r="D616">
        <v>6014</v>
      </c>
      <c r="E616" t="str">
        <f>"Frais professionnel DSN"</f>
        <v>Frais professionnel DSN</v>
      </c>
      <c r="F616" s="4">
        <v>238.8</v>
      </c>
    </row>
    <row r="617" spans="1:6" x14ac:dyDescent="0.25">
      <c r="A617" t="str">
        <f>"09601611"</f>
        <v>09601611</v>
      </c>
      <c r="B617" t="str">
        <f t="shared" si="32"/>
        <v>PROMINSKI</v>
      </c>
      <c r="C617" t="str">
        <f t="shared" si="33"/>
        <v>Céline</v>
      </c>
      <c r="D617">
        <v>6030</v>
      </c>
      <c r="E617" t="str">
        <f>"TITRES RESTAURANT"</f>
        <v>TITRES RESTAURANT</v>
      </c>
      <c r="F617" s="4">
        <v>-57</v>
      </c>
    </row>
    <row r="618" spans="1:6" x14ac:dyDescent="0.25">
      <c r="A618" t="str">
        <f>"09601611"</f>
        <v>09601611</v>
      </c>
      <c r="B618" t="str">
        <f t="shared" si="32"/>
        <v>PROMINSKI</v>
      </c>
      <c r="C618" t="str">
        <f t="shared" si="33"/>
        <v>Céline</v>
      </c>
      <c r="D618">
        <v>6031</v>
      </c>
      <c r="E618" t="str">
        <f>"TITRES RESTAURANT PP"</f>
        <v>TITRES RESTAURANT PP</v>
      </c>
      <c r="F618" s="4">
        <v>-85.5</v>
      </c>
    </row>
    <row r="619" spans="1:6" x14ac:dyDescent="0.25">
      <c r="A619" t="str">
        <f>"09601611"</f>
        <v>09601611</v>
      </c>
      <c r="B619" t="str">
        <f t="shared" si="32"/>
        <v>PROMINSKI</v>
      </c>
      <c r="C619" t="str">
        <f t="shared" si="33"/>
        <v>Céline</v>
      </c>
      <c r="D619">
        <v>6210</v>
      </c>
      <c r="E619" t="str">
        <f>"RTT ACQUIS DU MOIS"</f>
        <v>RTT ACQUIS DU MOIS</v>
      </c>
      <c r="F619" s="4">
        <v>0.83</v>
      </c>
    </row>
    <row r="620" spans="1:6" x14ac:dyDescent="0.25">
      <c r="A620" t="str">
        <f>"09601611"</f>
        <v>09601611</v>
      </c>
      <c r="B620" t="str">
        <f t="shared" si="32"/>
        <v>PROMINSKI</v>
      </c>
      <c r="C620" t="str">
        <f t="shared" si="33"/>
        <v>Céline</v>
      </c>
      <c r="D620">
        <v>6220</v>
      </c>
      <c r="E620" t="str">
        <f>"RTT SOLDE FIN DE MOIS"</f>
        <v>RTT SOLDE FIN DE MOIS</v>
      </c>
      <c r="F620" s="4">
        <v>0.6</v>
      </c>
    </row>
    <row r="621" spans="1:6" x14ac:dyDescent="0.25">
      <c r="A621" t="str">
        <f>"09601611"</f>
        <v>09601611</v>
      </c>
      <c r="B621" t="str">
        <f t="shared" si="32"/>
        <v>PROMINSKI</v>
      </c>
      <c r="C621" t="str">
        <f t="shared" si="33"/>
        <v>Céline</v>
      </c>
      <c r="D621">
        <v>6250</v>
      </c>
      <c r="E621" t="str">
        <f>"ACQUIS CP N-1"</f>
        <v>ACQUIS CP N-1</v>
      </c>
      <c r="F621" s="4">
        <v>-8</v>
      </c>
    </row>
    <row r="622" spans="1:6" x14ac:dyDescent="0.25">
      <c r="A622" t="str">
        <f>"09601611"</f>
        <v>09601611</v>
      </c>
      <c r="B622" t="str">
        <f t="shared" si="32"/>
        <v>PROMINSKI</v>
      </c>
      <c r="C622" t="str">
        <f t="shared" si="33"/>
        <v>Céline</v>
      </c>
      <c r="D622">
        <v>6260</v>
      </c>
      <c r="E622" t="str">
        <f>"SOLDE CP N-1"</f>
        <v>SOLDE CP N-1</v>
      </c>
      <c r="F622" s="4">
        <v>-8</v>
      </c>
    </row>
    <row r="623" spans="1:6" x14ac:dyDescent="0.25">
      <c r="A623" t="str">
        <f>"09601611"</f>
        <v>09601611</v>
      </c>
      <c r="B623" t="str">
        <f t="shared" si="32"/>
        <v>PROMINSKI</v>
      </c>
      <c r="C623" t="str">
        <f t="shared" si="33"/>
        <v>Céline</v>
      </c>
      <c r="D623">
        <v>6265</v>
      </c>
      <c r="E623" t="str">
        <f>"ACQUIS CP N"</f>
        <v>ACQUIS CP N</v>
      </c>
      <c r="F623" s="4">
        <v>11.82</v>
      </c>
    </row>
    <row r="624" spans="1:6" x14ac:dyDescent="0.25">
      <c r="A624" t="str">
        <f>"09601611"</f>
        <v>09601611</v>
      </c>
      <c r="B624" t="str">
        <f t="shared" si="32"/>
        <v>PROMINSKI</v>
      </c>
      <c r="C624" t="str">
        <f t="shared" si="33"/>
        <v>Céline</v>
      </c>
      <c r="D624">
        <v>7092</v>
      </c>
      <c r="E624" t="str">
        <f>"TX CHG PAT SOC"</f>
        <v>TX CHG PAT SOC</v>
      </c>
      <c r="F624" s="4">
        <v>36.090000000000003</v>
      </c>
    </row>
    <row r="625" spans="1:6" x14ac:dyDescent="0.25">
      <c r="A625" t="str">
        <f>"09601611"</f>
        <v>09601611</v>
      </c>
      <c r="B625" t="str">
        <f t="shared" si="32"/>
        <v>PROMINSKI</v>
      </c>
      <c r="C625" t="str">
        <f t="shared" si="33"/>
        <v>Céline</v>
      </c>
      <c r="D625">
        <v>7105</v>
      </c>
      <c r="E625" t="str">
        <f>"PROV CP  SALAIRE"</f>
        <v>PROV CP  SALAIRE</v>
      </c>
      <c r="F625" s="4">
        <v>550</v>
      </c>
    </row>
    <row r="626" spans="1:6" x14ac:dyDescent="0.25">
      <c r="A626" t="str">
        <f>"09601611"</f>
        <v>09601611</v>
      </c>
      <c r="B626" t="str">
        <f t="shared" si="32"/>
        <v>PROMINSKI</v>
      </c>
      <c r="C626" t="str">
        <f t="shared" si="33"/>
        <v>Céline</v>
      </c>
      <c r="D626">
        <v>7115</v>
      </c>
      <c r="E626" t="str">
        <f>"PROV CP N CHG PAT SOC"</f>
        <v>PROV CP N CHG PAT SOC</v>
      </c>
      <c r="F626" s="4">
        <v>198.5</v>
      </c>
    </row>
    <row r="627" spans="1:6" x14ac:dyDescent="0.25">
      <c r="A627" t="str">
        <f>"09601611"</f>
        <v>09601611</v>
      </c>
      <c r="B627" t="str">
        <f t="shared" si="32"/>
        <v>PROMINSKI</v>
      </c>
      <c r="C627" t="str">
        <f t="shared" si="33"/>
        <v>Céline</v>
      </c>
      <c r="D627">
        <v>7125</v>
      </c>
      <c r="E627" t="str">
        <f>"AN PROV CP N SALAIRE"</f>
        <v>AN PROV CP N SALAIRE</v>
      </c>
      <c r="F627" s="4">
        <v>-250.53</v>
      </c>
    </row>
    <row r="628" spans="1:6" x14ac:dyDescent="0.25">
      <c r="A628" t="str">
        <f>"09601611"</f>
        <v>09601611</v>
      </c>
      <c r="B628" t="str">
        <f t="shared" si="32"/>
        <v>PROMINSKI</v>
      </c>
      <c r="C628" t="str">
        <f t="shared" si="33"/>
        <v>Céline</v>
      </c>
      <c r="D628">
        <v>7135</v>
      </c>
      <c r="E628" t="str">
        <f>"AN PROV CP N CHG PAT SOC"</f>
        <v>AN PROV CP N CHG PAT SOC</v>
      </c>
      <c r="F628" s="4">
        <v>-90.42</v>
      </c>
    </row>
    <row r="629" spans="1:6" x14ac:dyDescent="0.25">
      <c r="A629" t="str">
        <f>"09601611"</f>
        <v>09601611</v>
      </c>
      <c r="B629" t="str">
        <f t="shared" si="32"/>
        <v>PROMINSKI</v>
      </c>
      <c r="C629" t="str">
        <f t="shared" si="33"/>
        <v>Céline</v>
      </c>
      <c r="D629">
        <v>7210</v>
      </c>
      <c r="E629" t="str">
        <f>"PROV RTT SALAIRE"</f>
        <v>PROV RTT SALAIRE</v>
      </c>
      <c r="F629" s="4">
        <v>86.39</v>
      </c>
    </row>
    <row r="630" spans="1:6" x14ac:dyDescent="0.25">
      <c r="A630" t="str">
        <f>"09601611"</f>
        <v>09601611</v>
      </c>
      <c r="B630" t="str">
        <f t="shared" si="32"/>
        <v>PROMINSKI</v>
      </c>
      <c r="C630" t="str">
        <f t="shared" si="33"/>
        <v>Céline</v>
      </c>
      <c r="D630">
        <v>7220</v>
      </c>
      <c r="E630" t="str">
        <f>"PROV RTT CHG PAT SOC"</f>
        <v>PROV RTT CHG PAT SOC</v>
      </c>
      <c r="F630" s="4">
        <v>31.18</v>
      </c>
    </row>
    <row r="631" spans="1:6" x14ac:dyDescent="0.25">
      <c r="A631" t="str">
        <f>"09601611"</f>
        <v>09601611</v>
      </c>
      <c r="B631" t="str">
        <f t="shared" si="32"/>
        <v>PROMINSKI</v>
      </c>
      <c r="C631" t="str">
        <f t="shared" si="33"/>
        <v>Céline</v>
      </c>
      <c r="D631">
        <v>7230</v>
      </c>
      <c r="E631" t="str">
        <f>"AN PROV RTT SALAIRE"</f>
        <v>AN PROV RTT SALAIRE</v>
      </c>
      <c r="F631" s="4">
        <v>33.119999999999997</v>
      </c>
    </row>
    <row r="632" spans="1:6" x14ac:dyDescent="0.25">
      <c r="A632" t="str">
        <f>"09601611"</f>
        <v>09601611</v>
      </c>
      <c r="B632" t="str">
        <f t="shared" si="32"/>
        <v>PROMINSKI</v>
      </c>
      <c r="C632" t="str">
        <f t="shared" si="33"/>
        <v>Céline</v>
      </c>
      <c r="D632">
        <v>7240</v>
      </c>
      <c r="E632" t="str">
        <f>"AN PROV RTT CHG PAT SOC"</f>
        <v>AN PROV RTT CHG PAT SOC</v>
      </c>
      <c r="F632" s="4">
        <v>11.95</v>
      </c>
    </row>
    <row r="633" spans="1:6" x14ac:dyDescent="0.25">
      <c r="A633" t="str">
        <f>"09601611"</f>
        <v>09601611</v>
      </c>
      <c r="B633" t="str">
        <f t="shared" si="32"/>
        <v>PROMINSKI</v>
      </c>
      <c r="C633" t="str">
        <f t="shared" si="33"/>
        <v>Céline</v>
      </c>
      <c r="D633">
        <v>8030</v>
      </c>
      <c r="E633" t="str">
        <f>"NB JOURS CALENDAIRES"</f>
        <v>NB JOURS CALENDAIRES</v>
      </c>
      <c r="F633" s="4">
        <v>30</v>
      </c>
    </row>
    <row r="634" spans="1:6" x14ac:dyDescent="0.25">
      <c r="A634" t="str">
        <f>"09601611"</f>
        <v>09601611</v>
      </c>
      <c r="B634" t="str">
        <f t="shared" si="32"/>
        <v>PROMINSKI</v>
      </c>
      <c r="C634" t="str">
        <f t="shared" si="33"/>
        <v>Céline</v>
      </c>
      <c r="D634">
        <v>7305</v>
      </c>
      <c r="E634" t="str">
        <f>"P PrimesVac SALAIRE"</f>
        <v>P PrimesVac SALAIRE</v>
      </c>
      <c r="F634" s="4">
        <v>782.14</v>
      </c>
    </row>
    <row r="635" spans="1:6" x14ac:dyDescent="0.25">
      <c r="A635" t="str">
        <f>"09601611"</f>
        <v>09601611</v>
      </c>
      <c r="B635" t="str">
        <f t="shared" si="32"/>
        <v>PROMINSKI</v>
      </c>
      <c r="C635" t="str">
        <f t="shared" si="33"/>
        <v>Céline</v>
      </c>
      <c r="D635">
        <v>7315</v>
      </c>
      <c r="E635" t="str">
        <f>"P PrimesVac CHG PAT SOC"</f>
        <v>P PrimesVac CHG PAT SOC</v>
      </c>
      <c r="F635" s="4">
        <v>282.27</v>
      </c>
    </row>
    <row r="636" spans="1:6" x14ac:dyDescent="0.25">
      <c r="A636" t="str">
        <f>"09601611"</f>
        <v>09601611</v>
      </c>
      <c r="B636" t="str">
        <f t="shared" si="32"/>
        <v>PROMINSKI</v>
      </c>
      <c r="C636" t="str">
        <f t="shared" si="33"/>
        <v>Céline</v>
      </c>
      <c r="D636">
        <v>7325</v>
      </c>
      <c r="E636" t="str">
        <f>"A PROV PrimesVac SALAIRE"</f>
        <v>A PROV PrimesVac SALAIRE</v>
      </c>
      <c r="F636" s="4">
        <v>-653.91999999999996</v>
      </c>
    </row>
    <row r="637" spans="1:6" x14ac:dyDescent="0.25">
      <c r="A637" t="str">
        <f>"09601611"</f>
        <v>09601611</v>
      </c>
      <c r="B637" t="str">
        <f t="shared" si="32"/>
        <v>PROMINSKI</v>
      </c>
      <c r="C637" t="str">
        <f t="shared" si="33"/>
        <v>Céline</v>
      </c>
      <c r="D637">
        <v>7335</v>
      </c>
      <c r="E637" t="str">
        <f>"A PROV PrimesVac CHG PAT SOC"</f>
        <v>A PROV PrimesVac CHG PAT SOC</v>
      </c>
      <c r="F637" s="4">
        <v>-236</v>
      </c>
    </row>
    <row r="638" spans="1:6" x14ac:dyDescent="0.25">
      <c r="A638" t="str">
        <f>"09601611"</f>
        <v>09601611</v>
      </c>
      <c r="B638" t="str">
        <f t="shared" si="32"/>
        <v>PROMINSKI</v>
      </c>
      <c r="C638" t="str">
        <f t="shared" si="33"/>
        <v>Céline</v>
      </c>
      <c r="D638">
        <v>7355</v>
      </c>
      <c r="E638" t="str">
        <f>"P PRIME SALAIRE"</f>
        <v>P PRIME SALAIRE</v>
      </c>
      <c r="F638" s="4">
        <v>915.07</v>
      </c>
    </row>
    <row r="639" spans="1:6" x14ac:dyDescent="0.25">
      <c r="A639" t="str">
        <f>"09601611"</f>
        <v>09601611</v>
      </c>
      <c r="B639" t="str">
        <f t="shared" si="32"/>
        <v>PROMINSKI</v>
      </c>
      <c r="C639" t="str">
        <f t="shared" si="33"/>
        <v>Céline</v>
      </c>
      <c r="D639">
        <v>7365</v>
      </c>
      <c r="E639" t="str">
        <f>"P PRIME CHG PAT SOC"</f>
        <v>P PRIME CHG PAT SOC</v>
      </c>
      <c r="F639" s="4">
        <v>330.25</v>
      </c>
    </row>
    <row r="640" spans="1:6" x14ac:dyDescent="0.25">
      <c r="A640" t="str">
        <f>"09601611"</f>
        <v>09601611</v>
      </c>
      <c r="B640" t="str">
        <f t="shared" si="32"/>
        <v>PROMINSKI</v>
      </c>
      <c r="C640" t="str">
        <f t="shared" si="33"/>
        <v>Céline</v>
      </c>
      <c r="D640">
        <v>7375</v>
      </c>
      <c r="E640" t="str">
        <f>"A PRIME SALAIRE"</f>
        <v>A PRIME SALAIRE</v>
      </c>
      <c r="F640" s="4">
        <v>-832.88</v>
      </c>
    </row>
    <row r="641" spans="1:6" x14ac:dyDescent="0.25">
      <c r="A641" t="str">
        <f>"09601611"</f>
        <v>09601611</v>
      </c>
      <c r="B641" t="str">
        <f t="shared" si="32"/>
        <v>PROMINSKI</v>
      </c>
      <c r="C641" t="str">
        <f t="shared" si="33"/>
        <v>Céline</v>
      </c>
      <c r="D641">
        <v>7385</v>
      </c>
      <c r="E641" t="str">
        <f>"A PRIME CHG PAT SOC"</f>
        <v>A PRIME CHG PAT SOC</v>
      </c>
      <c r="F641" s="4">
        <v>-300.58999999999997</v>
      </c>
    </row>
    <row r="642" spans="1:6" x14ac:dyDescent="0.25">
      <c r="A642" t="str">
        <f>"09601611"</f>
        <v>09601611</v>
      </c>
      <c r="B642" t="str">
        <f t="shared" si="32"/>
        <v>PROMINSKI</v>
      </c>
      <c r="C642" t="str">
        <f t="shared" si="33"/>
        <v>Céline</v>
      </c>
      <c r="D642">
        <v>7992</v>
      </c>
      <c r="E642" t="str">
        <f>"REINT PP MUTUELLE NET IMPOS"</f>
        <v>REINT PP MUTUELLE NET IMPOS</v>
      </c>
      <c r="F642" s="4">
        <v>75.87</v>
      </c>
    </row>
    <row r="643" spans="1:6" x14ac:dyDescent="0.25">
      <c r="A643" t="str">
        <f>"09601611"</f>
        <v>09601611</v>
      </c>
      <c r="B643" t="str">
        <f t="shared" si="32"/>
        <v>PROMINSKI</v>
      </c>
      <c r="C643" t="str">
        <f t="shared" si="33"/>
        <v>Céline</v>
      </c>
      <c r="D643">
        <v>8005</v>
      </c>
      <c r="E643" t="str">
        <f>"HEURES TRAVAILLEES"</f>
        <v>HEURES TRAVAILLEES</v>
      </c>
      <c r="F643" s="4">
        <v>151.66999999999999</v>
      </c>
    </row>
    <row r="644" spans="1:6" x14ac:dyDescent="0.25">
      <c r="A644" t="str">
        <f>"09601611"</f>
        <v>09601611</v>
      </c>
      <c r="B644" t="str">
        <f t="shared" si="32"/>
        <v>PROMINSKI</v>
      </c>
      <c r="C644" t="str">
        <f t="shared" si="33"/>
        <v>Céline</v>
      </c>
      <c r="D644">
        <v>8010</v>
      </c>
      <c r="E644" t="str">
        <f>"HEURES REMUNEREES"</f>
        <v>HEURES REMUNEREES</v>
      </c>
      <c r="F644" s="4">
        <v>151.66999999999999</v>
      </c>
    </row>
    <row r="645" spans="1:6" x14ac:dyDescent="0.25">
      <c r="A645" t="str">
        <f>"09601611"</f>
        <v>09601611</v>
      </c>
      <c r="B645" t="str">
        <f t="shared" si="32"/>
        <v>PROMINSKI</v>
      </c>
      <c r="C645" t="str">
        <f t="shared" si="33"/>
        <v>Céline</v>
      </c>
      <c r="D645">
        <v>8015</v>
      </c>
      <c r="E645" t="str">
        <f>"HEURES REMUNEREES FILLON"</f>
        <v>HEURES REMUNEREES FILLON</v>
      </c>
      <c r="F645" s="4">
        <v>151.63</v>
      </c>
    </row>
    <row r="646" spans="1:6" x14ac:dyDescent="0.25">
      <c r="A646" t="str">
        <f>"09601611"</f>
        <v>09601611</v>
      </c>
      <c r="B646" t="str">
        <f t="shared" si="32"/>
        <v>PROMINSKI</v>
      </c>
      <c r="C646" t="str">
        <f t="shared" si="33"/>
        <v>Céline</v>
      </c>
      <c r="D646">
        <v>8101</v>
      </c>
      <c r="E646" t="str">
        <f>"Test allègement CAF ET MALADIE"</f>
        <v>Test allègement CAF ET MALADIE</v>
      </c>
      <c r="F646" s="4">
        <v>243.36</v>
      </c>
    </row>
    <row r="647" spans="1:6" x14ac:dyDescent="0.25">
      <c r="A647" t="str">
        <f>"09601611"</f>
        <v>09601611</v>
      </c>
      <c r="B647" t="str">
        <f t="shared" si="32"/>
        <v>PROMINSKI</v>
      </c>
      <c r="C647" t="str">
        <f t="shared" si="33"/>
        <v>Céline</v>
      </c>
      <c r="D647">
        <v>8202</v>
      </c>
      <c r="E647" t="str">
        <f>"DUREE REMUNEREE"</f>
        <v>DUREE REMUNEREE</v>
      </c>
      <c r="F647" s="4">
        <v>151.66999999999999</v>
      </c>
    </row>
    <row r="648" spans="1:6" x14ac:dyDescent="0.25">
      <c r="A648" t="str">
        <f>"09601611"</f>
        <v>09601611</v>
      </c>
      <c r="B648" t="str">
        <f t="shared" si="32"/>
        <v>PROMINSKI</v>
      </c>
      <c r="C648" t="str">
        <f t="shared" si="33"/>
        <v>Céline</v>
      </c>
      <c r="D648">
        <v>8206</v>
      </c>
      <c r="E648" t="str">
        <f>"SALAIRE RETABLI"</f>
        <v>SALAIRE RETABLI</v>
      </c>
      <c r="F648" s="4">
        <v>3120</v>
      </c>
    </row>
    <row r="649" spans="1:6" x14ac:dyDescent="0.25">
      <c r="A649" t="str">
        <f>"09601611"</f>
        <v>09601611</v>
      </c>
      <c r="B649" t="str">
        <f t="shared" si="32"/>
        <v>PROMINSKI</v>
      </c>
      <c r="C649" t="str">
        <f t="shared" si="33"/>
        <v>Céline</v>
      </c>
      <c r="D649">
        <v>8208</v>
      </c>
      <c r="E649" t="str">
        <f>"BRUT FISCAL"</f>
        <v>BRUT FISCAL</v>
      </c>
      <c r="F649" s="4">
        <v>3222.58</v>
      </c>
    </row>
    <row r="650" spans="1:6" x14ac:dyDescent="0.25">
      <c r="A650" t="str">
        <f>"09601611"</f>
        <v>09601611</v>
      </c>
      <c r="B650" t="str">
        <f t="shared" si="32"/>
        <v>PROMINSKI</v>
      </c>
      <c r="C650" t="str">
        <f t="shared" si="33"/>
        <v>Céline</v>
      </c>
      <c r="D650">
        <v>9994</v>
      </c>
      <c r="E650" t="str">
        <f>"ETP Egalité F/H"</f>
        <v>ETP Egalité F/H</v>
      </c>
      <c r="F650" s="4">
        <v>1</v>
      </c>
    </row>
    <row r="651" spans="1:6" x14ac:dyDescent="0.25">
      <c r="A651" t="str">
        <f>"09601611"</f>
        <v>09601611</v>
      </c>
      <c r="B651" t="str">
        <f t="shared" si="32"/>
        <v>PROMINSKI</v>
      </c>
      <c r="C651" t="str">
        <f t="shared" si="33"/>
        <v>Céline</v>
      </c>
      <c r="D651">
        <v>9995</v>
      </c>
      <c r="E651" t="str">
        <f>"ETP PRORTISE JOURS OUVRES"</f>
        <v>ETP PRORTISE JOURS OUVRES</v>
      </c>
      <c r="F651" s="4">
        <v>1</v>
      </c>
    </row>
    <row r="652" spans="1:6" x14ac:dyDescent="0.25">
      <c r="A652" t="str">
        <f>"09601611"</f>
        <v>09601611</v>
      </c>
      <c r="B652" t="str">
        <f t="shared" si="32"/>
        <v>PROMINSKI</v>
      </c>
      <c r="C652" t="str">
        <f t="shared" si="33"/>
        <v>Céline</v>
      </c>
      <c r="D652">
        <v>9999</v>
      </c>
      <c r="E652" t="str">
        <f>"**Dont gain pouvoir d'achat**"</f>
        <v>**Dont gain pouvoir d'achat**</v>
      </c>
      <c r="F652" s="4">
        <v>44.42</v>
      </c>
    </row>
    <row r="653" spans="1:6" x14ac:dyDescent="0.25">
      <c r="A653" t="str">
        <f>"09601611"</f>
        <v>09601611</v>
      </c>
      <c r="B653" t="str">
        <f t="shared" si="32"/>
        <v>PROMINSKI</v>
      </c>
      <c r="C653" t="str">
        <f t="shared" si="33"/>
        <v>Céline</v>
      </c>
      <c r="D653" t="str">
        <f>"PRESENCE"</f>
        <v>PRESENCE</v>
      </c>
      <c r="E653" t="str">
        <f>"Présence"</f>
        <v>Présence</v>
      </c>
      <c r="F653" s="4">
        <v>151.66999999999999</v>
      </c>
    </row>
    <row r="654" spans="1:6" x14ac:dyDescent="0.25">
      <c r="A654" t="str">
        <f>"09601611"</f>
        <v>09601611</v>
      </c>
      <c r="B654" t="str">
        <f t="shared" si="32"/>
        <v>PROMINSKI</v>
      </c>
      <c r="C654" t="str">
        <f t="shared" si="33"/>
        <v>Céline</v>
      </c>
      <c r="D654" t="str">
        <f>"BRUT"</f>
        <v>BRUT</v>
      </c>
      <c r="E654" t="str">
        <f>"Brut"</f>
        <v>Brut</v>
      </c>
      <c r="F654" s="4">
        <v>3120</v>
      </c>
    </row>
    <row r="655" spans="1:6" x14ac:dyDescent="0.25">
      <c r="A655" t="str">
        <f>"09601611"</f>
        <v>09601611</v>
      </c>
      <c r="B655" t="str">
        <f t="shared" si="32"/>
        <v>PROMINSKI</v>
      </c>
      <c r="C655" t="str">
        <f t="shared" si="33"/>
        <v>Céline</v>
      </c>
      <c r="D655" t="str">
        <f>"COTISAL"</f>
        <v>COTISAL</v>
      </c>
      <c r="E655" t="str">
        <f>"Cotisations salariales"</f>
        <v>Cotisations salariales</v>
      </c>
      <c r="F655" s="4">
        <v>672.44</v>
      </c>
    </row>
    <row r="656" spans="1:6" x14ac:dyDescent="0.25">
      <c r="A656" t="str">
        <f>"09601611"</f>
        <v>09601611</v>
      </c>
      <c r="B656" t="str">
        <f t="shared" si="32"/>
        <v>PROMINSKI</v>
      </c>
      <c r="C656" t="str">
        <f t="shared" si="33"/>
        <v>Céline</v>
      </c>
      <c r="D656" t="str">
        <f>"COTIPAT"</f>
        <v>COTIPAT</v>
      </c>
      <c r="E656" t="str">
        <f>"Cotisations patronales"</f>
        <v>Cotisations patronales</v>
      </c>
      <c r="F656" s="4">
        <v>1203.1600000000001</v>
      </c>
    </row>
    <row r="657" spans="1:6" x14ac:dyDescent="0.25">
      <c r="A657" t="str">
        <f>"09601611"</f>
        <v>09601611</v>
      </c>
      <c r="B657" t="str">
        <f t="shared" si="32"/>
        <v>PROMINSKI</v>
      </c>
      <c r="C657" t="str">
        <f t="shared" si="33"/>
        <v>Céline</v>
      </c>
      <c r="D657" t="str">
        <f>"NETPAIE"</f>
        <v>NETPAIE</v>
      </c>
      <c r="E657" t="str">
        <f>"Net à payer"</f>
        <v>Net à payer</v>
      </c>
      <c r="F657" s="4">
        <v>2390.56</v>
      </c>
    </row>
    <row r="658" spans="1:6" x14ac:dyDescent="0.25">
      <c r="A658" t="str">
        <f>"09601611"</f>
        <v>09601611</v>
      </c>
      <c r="B658" t="str">
        <f t="shared" si="32"/>
        <v>PROMINSKI</v>
      </c>
      <c r="C658" t="str">
        <f t="shared" si="33"/>
        <v>Céline</v>
      </c>
      <c r="D658" t="str">
        <f>"NETIMPO"</f>
        <v>NETIMPO</v>
      </c>
      <c r="E658" t="str">
        <f>"Net imposable"</f>
        <v>Net imposable</v>
      </c>
      <c r="F658" s="4">
        <v>2615.3000000000002</v>
      </c>
    </row>
    <row r="659" spans="1:6" x14ac:dyDescent="0.25">
      <c r="A659" t="str">
        <f>"09601611"</f>
        <v>09601611</v>
      </c>
      <c r="B659" t="str">
        <f t="shared" si="32"/>
        <v>PROMINSKI</v>
      </c>
      <c r="C659" t="str">
        <f t="shared" si="33"/>
        <v>Céline</v>
      </c>
      <c r="D659" t="str">
        <f>"AVANTUR"</f>
        <v>AVANTUR</v>
      </c>
      <c r="E659" t="str">
        <f>"Avantages en nature"</f>
        <v>Avantages en nature</v>
      </c>
      <c r="F659" s="4">
        <v>0</v>
      </c>
    </row>
    <row r="660" spans="1:6" x14ac:dyDescent="0.25">
      <c r="A660" t="str">
        <f>"09601611"</f>
        <v>09601611</v>
      </c>
      <c r="B660" t="str">
        <f t="shared" si="32"/>
        <v>PROMINSKI</v>
      </c>
      <c r="C660" t="str">
        <f t="shared" si="33"/>
        <v>Céline</v>
      </c>
      <c r="D660" t="str">
        <f>"TOTALHTRAV"</f>
        <v>TOTALHTRAV</v>
      </c>
      <c r="E660" t="str">
        <f>"Total des heures travaillées"</f>
        <v>Total des heures travaillées</v>
      </c>
      <c r="F660" s="4">
        <v>151.66999999999999</v>
      </c>
    </row>
    <row r="661" spans="1:6" x14ac:dyDescent="0.25">
      <c r="A661" t="str">
        <f>"09601611"</f>
        <v>09601611</v>
      </c>
      <c r="B661" t="str">
        <f t="shared" si="32"/>
        <v>PROMINSKI</v>
      </c>
      <c r="C661" t="str">
        <f t="shared" si="33"/>
        <v>Céline</v>
      </c>
      <c r="D661" t="str">
        <f>"TOTALHS"</f>
        <v>TOTALHS</v>
      </c>
      <c r="E661" t="str">
        <f>"Total des hres supplémentaires"</f>
        <v>Total des hres supplémentaires</v>
      </c>
      <c r="F661" s="4">
        <v>0</v>
      </c>
    </row>
    <row r="662" spans="1:6" x14ac:dyDescent="0.25">
      <c r="A662" t="str">
        <f>"09601611"</f>
        <v>09601611</v>
      </c>
      <c r="B662" t="str">
        <f t="shared" si="32"/>
        <v>PROMINSKI</v>
      </c>
      <c r="C662" t="str">
        <f t="shared" si="33"/>
        <v>Céline</v>
      </c>
      <c r="D662" t="str">
        <f>"TOTALHC"</f>
        <v>TOTALHC</v>
      </c>
      <c r="E662" t="str">
        <f>"Total des hres complémentaires"</f>
        <v>Total des hres complémentaires</v>
      </c>
      <c r="F662" s="4">
        <v>0</v>
      </c>
    </row>
    <row r="663" spans="1:6" x14ac:dyDescent="0.25">
      <c r="A663" t="str">
        <f>"09601611"</f>
        <v>09601611</v>
      </c>
      <c r="B663" t="str">
        <f t="shared" ref="B663:B669" si="34">"PROMINSKI"</f>
        <v>PROMINSKI</v>
      </c>
      <c r="C663" t="str">
        <f t="shared" ref="C663:C669" si="35">"Céline"</f>
        <v>Céline</v>
      </c>
      <c r="D663" t="str">
        <f>"TOTALHA"</f>
        <v>TOTALHA</v>
      </c>
      <c r="E663" t="str">
        <f>"Total des heures d'absence"</f>
        <v>Total des heures d'absence</v>
      </c>
      <c r="F663" s="4">
        <v>0</v>
      </c>
    </row>
    <row r="664" spans="1:6" x14ac:dyDescent="0.25">
      <c r="A664" t="str">
        <f>"09601611"</f>
        <v>09601611</v>
      </c>
      <c r="B664" t="str">
        <f t="shared" si="34"/>
        <v>PROMINSKI</v>
      </c>
      <c r="C664" t="str">
        <f t="shared" si="35"/>
        <v>Céline</v>
      </c>
      <c r="D664" t="str">
        <f>"ABSENCE"</f>
        <v>ABSENCE</v>
      </c>
      <c r="E664" t="str">
        <f>"Absence"</f>
        <v>Absence</v>
      </c>
      <c r="F664" s="4">
        <v>0</v>
      </c>
    </row>
    <row r="665" spans="1:6" x14ac:dyDescent="0.25">
      <c r="A665" t="str">
        <f>"09601611"</f>
        <v>09601611</v>
      </c>
      <c r="B665" t="str">
        <f t="shared" si="34"/>
        <v>PROMINSKI</v>
      </c>
      <c r="C665" t="str">
        <f t="shared" si="35"/>
        <v>Céline</v>
      </c>
      <c r="D665" t="str">
        <f>"COACMOIS"</f>
        <v>COACMOIS</v>
      </c>
      <c r="E665" t="str">
        <f>"Congés acquis dans le mois"</f>
        <v>Congés acquis dans le mois</v>
      </c>
      <c r="F665" s="4">
        <v>2.08</v>
      </c>
    </row>
    <row r="666" spans="1:6" x14ac:dyDescent="0.25">
      <c r="A666" t="str">
        <f>"09601611"</f>
        <v>09601611</v>
      </c>
      <c r="B666" t="str">
        <f t="shared" si="34"/>
        <v>PROMINSKI</v>
      </c>
      <c r="C666" t="str">
        <f t="shared" si="35"/>
        <v>Céline</v>
      </c>
      <c r="D666" t="str">
        <f>"COPRIMOI"</f>
        <v>COPRIMOI</v>
      </c>
      <c r="E666" t="str">
        <f>"Congés pris dans le mois"</f>
        <v>Congés pris dans le mois</v>
      </c>
      <c r="F666" s="4">
        <v>0</v>
      </c>
    </row>
    <row r="667" spans="1:6" x14ac:dyDescent="0.25">
      <c r="A667" t="str">
        <f>"09601611"</f>
        <v>09601611</v>
      </c>
      <c r="B667" t="str">
        <f t="shared" si="34"/>
        <v>PROMINSKI</v>
      </c>
      <c r="C667" t="str">
        <f t="shared" si="35"/>
        <v>Céline</v>
      </c>
      <c r="D667" t="str">
        <f>"TOTALPRES"</f>
        <v>TOTALPRES</v>
      </c>
      <c r="E667" t="str">
        <f>"Total des heures de présence"</f>
        <v>Total des heures de présence</v>
      </c>
      <c r="F667" s="4">
        <v>151.66999999999999</v>
      </c>
    </row>
    <row r="668" spans="1:6" x14ac:dyDescent="0.25">
      <c r="A668" t="str">
        <f>"09601611"</f>
        <v>09601611</v>
      </c>
      <c r="B668" t="str">
        <f t="shared" si="34"/>
        <v>PROMINSKI</v>
      </c>
      <c r="C668" t="str">
        <f t="shared" si="35"/>
        <v>Céline</v>
      </c>
      <c r="D668" t="str">
        <f>"TOTHANA"</f>
        <v>TOTHANA</v>
      </c>
      <c r="E668" t="str">
        <f>"Total des heures / Analytique"</f>
        <v>Total des heures / Analytique</v>
      </c>
      <c r="F668" s="4">
        <v>0</v>
      </c>
    </row>
    <row r="669" spans="1:6" x14ac:dyDescent="0.25">
      <c r="A669" t="str">
        <f>"09601611"</f>
        <v>09601611</v>
      </c>
      <c r="B669" t="str">
        <f t="shared" si="34"/>
        <v>PROMINSKI</v>
      </c>
      <c r="C669" t="str">
        <f t="shared" si="35"/>
        <v>Céline</v>
      </c>
      <c r="D669" t="str">
        <f>"COUT_TOTAL"</f>
        <v>COUT_TOTAL</v>
      </c>
      <c r="E669" t="str">
        <f>"Cout total"</f>
        <v>Cout total</v>
      </c>
      <c r="F669" s="4">
        <v>4323.16</v>
      </c>
    </row>
    <row r="670" spans="1:6" x14ac:dyDescent="0.25">
      <c r="A670" t="str">
        <f>"00005880"</f>
        <v>00005880</v>
      </c>
      <c r="B670" t="str">
        <f t="shared" ref="B670:B733" si="36">"BEGOUEN"</f>
        <v>BEGOUEN</v>
      </c>
      <c r="C670" t="str">
        <f t="shared" ref="C670:C733" si="37">"OLIVIER"</f>
        <v>OLIVIER</v>
      </c>
      <c r="D670">
        <v>1</v>
      </c>
      <c r="E670" t="str">
        <f>"**GMP DU MOIS"</f>
        <v>**GMP DU MOIS</v>
      </c>
      <c r="F670" s="4">
        <v>353.82</v>
      </c>
    </row>
    <row r="671" spans="1:6" x14ac:dyDescent="0.25">
      <c r="A671" t="str">
        <f>"00005880"</f>
        <v>00005880</v>
      </c>
      <c r="B671" t="str">
        <f t="shared" si="36"/>
        <v>BEGOUEN</v>
      </c>
      <c r="C671" t="str">
        <f t="shared" si="37"/>
        <v>OLIVIER</v>
      </c>
      <c r="D671">
        <v>10</v>
      </c>
      <c r="E671" t="str">
        <f>"SALAIRE DE BASE"</f>
        <v>SALAIRE DE BASE</v>
      </c>
      <c r="F671" s="4">
        <v>5240</v>
      </c>
    </row>
    <row r="672" spans="1:6" x14ac:dyDescent="0.25">
      <c r="A672" t="str">
        <f>"00005880"</f>
        <v>00005880</v>
      </c>
      <c r="B672" t="str">
        <f t="shared" si="36"/>
        <v>BEGOUEN</v>
      </c>
      <c r="C672" t="str">
        <f t="shared" si="37"/>
        <v>OLIVIER</v>
      </c>
      <c r="D672">
        <v>1030</v>
      </c>
      <c r="E672" t="str">
        <f>"PRIME DE VACANCES"</f>
        <v>PRIME DE VACANCES</v>
      </c>
      <c r="F672" s="4">
        <v>1310</v>
      </c>
    </row>
    <row r="673" spans="1:6" x14ac:dyDescent="0.25">
      <c r="A673" t="str">
        <f>"00005880"</f>
        <v>00005880</v>
      </c>
      <c r="B673" t="str">
        <f t="shared" si="36"/>
        <v>BEGOUEN</v>
      </c>
      <c r="C673" t="str">
        <f t="shared" si="37"/>
        <v>OLIVIER</v>
      </c>
      <c r="D673">
        <v>1750</v>
      </c>
      <c r="E673" t="str">
        <f>"AVANTAGE EN NATURE VOITURE"</f>
        <v>AVANTAGE EN NATURE VOITURE</v>
      </c>
      <c r="F673" s="4">
        <v>143.26</v>
      </c>
    </row>
    <row r="674" spans="1:6" x14ac:dyDescent="0.25">
      <c r="A674" t="str">
        <f>"00005880"</f>
        <v>00005880</v>
      </c>
      <c r="B674" t="str">
        <f t="shared" si="36"/>
        <v>BEGOUEN</v>
      </c>
      <c r="C674" t="str">
        <f t="shared" si="37"/>
        <v>OLIVIER</v>
      </c>
      <c r="D674">
        <v>1986</v>
      </c>
      <c r="E674" t="str">
        <f>"DSN - Nb jrs calendaires PSS"</f>
        <v>DSN - Nb jrs calendaires PSS</v>
      </c>
      <c r="F674" s="4">
        <v>30</v>
      </c>
    </row>
    <row r="675" spans="1:6" x14ac:dyDescent="0.25">
      <c r="A675" t="str">
        <f>"00005880"</f>
        <v>00005880</v>
      </c>
      <c r="B675" t="str">
        <f t="shared" si="36"/>
        <v>BEGOUEN</v>
      </c>
      <c r="C675" t="str">
        <f t="shared" si="37"/>
        <v>OLIVIER</v>
      </c>
      <c r="D675">
        <v>2015</v>
      </c>
      <c r="E675" t="str">
        <f>"IND COMPENS. RTT"</f>
        <v>IND COMPENS. RTT</v>
      </c>
      <c r="F675" s="4">
        <v>1550.8</v>
      </c>
    </row>
    <row r="676" spans="1:6" x14ac:dyDescent="0.25">
      <c r="A676" t="str">
        <f>"00005880"</f>
        <v>00005880</v>
      </c>
      <c r="B676" t="str">
        <f t="shared" si="36"/>
        <v>BEGOUEN</v>
      </c>
      <c r="C676" t="str">
        <f t="shared" si="37"/>
        <v>OLIVIER</v>
      </c>
      <c r="D676">
        <v>2020</v>
      </c>
      <c r="E676" t="str">
        <f>"IND COMPENS. CP N"</f>
        <v>IND COMPENS. CP N</v>
      </c>
      <c r="F676" s="4">
        <v>4090.86</v>
      </c>
    </row>
    <row r="677" spans="1:6" x14ac:dyDescent="0.25">
      <c r="A677" t="str">
        <f>"00005880"</f>
        <v>00005880</v>
      </c>
      <c r="B677" t="str">
        <f t="shared" si="36"/>
        <v>BEGOUEN</v>
      </c>
      <c r="C677" t="str">
        <f t="shared" si="37"/>
        <v>OLIVIER</v>
      </c>
      <c r="D677">
        <v>2025</v>
      </c>
      <c r="E677" t="str">
        <f>"IND COMPENS. CP N-1"</f>
        <v>IND COMPENS. CP N-1</v>
      </c>
      <c r="F677" s="4">
        <v>4232.74</v>
      </c>
    </row>
    <row r="678" spans="1:6" x14ac:dyDescent="0.25">
      <c r="A678" t="str">
        <f>"00005880"</f>
        <v>00005880</v>
      </c>
      <c r="B678" t="str">
        <f t="shared" si="36"/>
        <v>BEGOUEN</v>
      </c>
      <c r="C678" t="str">
        <f t="shared" si="37"/>
        <v>OLIVIER</v>
      </c>
      <c r="D678">
        <v>3014</v>
      </c>
      <c r="E678" t="str">
        <f>"SS VIEIL DEPLAFONNEE"</f>
        <v>SS VIEIL DEPLAFONNEE</v>
      </c>
      <c r="F678" s="4">
        <v>66.27</v>
      </c>
    </row>
    <row r="679" spans="1:6" x14ac:dyDescent="0.25">
      <c r="A679" t="str">
        <f>"00005880"</f>
        <v>00005880</v>
      </c>
      <c r="B679" t="str">
        <f t="shared" si="36"/>
        <v>BEGOUEN</v>
      </c>
      <c r="C679" t="str">
        <f t="shared" si="37"/>
        <v>OLIVIER</v>
      </c>
      <c r="D679">
        <v>3110</v>
      </c>
      <c r="E679" t="str">
        <f>"SS CG VIEILLESSE TA"</f>
        <v>SS CG VIEILLESSE TA</v>
      </c>
      <c r="F679" s="4">
        <v>233.01</v>
      </c>
    </row>
    <row r="680" spans="1:6" x14ac:dyDescent="0.25">
      <c r="A680" t="str">
        <f>"00005880"</f>
        <v>00005880</v>
      </c>
      <c r="B680" t="str">
        <f t="shared" si="36"/>
        <v>BEGOUEN</v>
      </c>
      <c r="C680" t="str">
        <f t="shared" si="37"/>
        <v>OLIVIER</v>
      </c>
      <c r="D680">
        <v>3504</v>
      </c>
      <c r="E680" t="str">
        <f>"**LIMITE D'EXO AF"</f>
        <v>**LIMITE D'EXO AF</v>
      </c>
      <c r="F680" s="4">
        <v>2434</v>
      </c>
    </row>
    <row r="681" spans="1:6" x14ac:dyDescent="0.25">
      <c r="A681" t="str">
        <f>"00005880"</f>
        <v>00005880</v>
      </c>
      <c r="B681" t="str">
        <f t="shared" si="36"/>
        <v>BEGOUEN</v>
      </c>
      <c r="C681" t="str">
        <f t="shared" si="37"/>
        <v>OLIVIER</v>
      </c>
      <c r="D681">
        <v>3501</v>
      </c>
      <c r="E681" t="str">
        <f>"** HISTORISATION REMUNERATION"</f>
        <v>** HISTORISATION REMUNERATION</v>
      </c>
      <c r="F681" s="4">
        <v>16567.66</v>
      </c>
    </row>
    <row r="682" spans="1:6" x14ac:dyDescent="0.25">
      <c r="A682" t="str">
        <f>"00005880"</f>
        <v>00005880</v>
      </c>
      <c r="B682" t="str">
        <f t="shared" si="36"/>
        <v>BEGOUEN</v>
      </c>
      <c r="C682" t="str">
        <f t="shared" si="37"/>
        <v>OLIVIER</v>
      </c>
      <c r="D682">
        <v>4031</v>
      </c>
      <c r="E682" t="str">
        <f>"Réduction salariale chômage"</f>
        <v>Réduction salariale chômage</v>
      </c>
      <c r="F682" s="4">
        <v>-397.62</v>
      </c>
    </row>
    <row r="683" spans="1:6" x14ac:dyDescent="0.25">
      <c r="A683" t="str">
        <f>"00005880"</f>
        <v>00005880</v>
      </c>
      <c r="B683" t="str">
        <f t="shared" si="36"/>
        <v>BEGOUEN</v>
      </c>
      <c r="C683" t="str">
        <f t="shared" si="37"/>
        <v>OLIVIER</v>
      </c>
      <c r="D683">
        <v>4610</v>
      </c>
      <c r="E683" t="str">
        <f>"Retraite T1"</f>
        <v>Retraite T1</v>
      </c>
      <c r="F683" s="4">
        <v>106.38</v>
      </c>
    </row>
    <row r="684" spans="1:6" x14ac:dyDescent="0.25">
      <c r="A684" t="str">
        <f>"00005880"</f>
        <v>00005880</v>
      </c>
      <c r="B684" t="str">
        <f t="shared" si="36"/>
        <v>BEGOUEN</v>
      </c>
      <c r="C684" t="str">
        <f t="shared" si="37"/>
        <v>OLIVIER</v>
      </c>
      <c r="D684">
        <v>4615</v>
      </c>
      <c r="E684" t="str">
        <f>"Retraite T2"</f>
        <v>Retraite T2</v>
      </c>
      <c r="F684" s="4">
        <v>1139.67</v>
      </c>
    </row>
    <row r="685" spans="1:6" x14ac:dyDescent="0.25">
      <c r="A685" t="str">
        <f>"00005880"</f>
        <v>00005880</v>
      </c>
      <c r="B685" t="str">
        <f t="shared" si="36"/>
        <v>BEGOUEN</v>
      </c>
      <c r="C685" t="str">
        <f t="shared" si="37"/>
        <v>OLIVIER</v>
      </c>
      <c r="D685">
        <v>4620</v>
      </c>
      <c r="E685" t="str">
        <f>"Contribut  Equilibre Technique"</f>
        <v>Contribut  Equilibre Technique</v>
      </c>
      <c r="F685" s="4">
        <v>23.19</v>
      </c>
    </row>
    <row r="686" spans="1:6" x14ac:dyDescent="0.25">
      <c r="A686" t="str">
        <f>"00005880"</f>
        <v>00005880</v>
      </c>
      <c r="B686" t="str">
        <f t="shared" si="36"/>
        <v>BEGOUEN</v>
      </c>
      <c r="C686" t="str">
        <f t="shared" si="37"/>
        <v>OLIVIER</v>
      </c>
      <c r="D686">
        <v>4625</v>
      </c>
      <c r="E686" t="str">
        <f>"CEG T1"</f>
        <v>CEG T1</v>
      </c>
      <c r="F686" s="4">
        <v>29.04</v>
      </c>
    </row>
    <row r="687" spans="1:6" x14ac:dyDescent="0.25">
      <c r="A687" t="str">
        <f>"00005880"</f>
        <v>00005880</v>
      </c>
      <c r="B687" t="str">
        <f t="shared" si="36"/>
        <v>BEGOUEN</v>
      </c>
      <c r="C687" t="str">
        <f t="shared" si="37"/>
        <v>OLIVIER</v>
      </c>
      <c r="D687">
        <v>4630</v>
      </c>
      <c r="E687" t="str">
        <f>"CEG T2"</f>
        <v>CEG T2</v>
      </c>
      <c r="F687" s="4">
        <v>142.46</v>
      </c>
    </row>
    <row r="688" spans="1:6" x14ac:dyDescent="0.25">
      <c r="A688" t="str">
        <f>"00005880"</f>
        <v>00005880</v>
      </c>
      <c r="B688" t="str">
        <f t="shared" si="36"/>
        <v>BEGOUEN</v>
      </c>
      <c r="C688" t="str">
        <f t="shared" si="37"/>
        <v>OLIVIER</v>
      </c>
      <c r="D688">
        <v>4635</v>
      </c>
      <c r="E688" t="str">
        <f>"APEC"</f>
        <v>APEC</v>
      </c>
      <c r="F688" s="4">
        <v>3.98</v>
      </c>
    </row>
    <row r="689" spans="1:6" x14ac:dyDescent="0.25">
      <c r="A689" t="str">
        <f>"00005880"</f>
        <v>00005880</v>
      </c>
      <c r="B689" t="str">
        <f t="shared" si="36"/>
        <v>BEGOUEN</v>
      </c>
      <c r="C689" t="str">
        <f t="shared" si="37"/>
        <v>OLIVIER</v>
      </c>
      <c r="D689">
        <v>4720</v>
      </c>
      <c r="E689" t="str">
        <f>"PREVOYANCE TA CADRE"</f>
        <v>PREVOYANCE TA CADRE</v>
      </c>
      <c r="F689" s="4">
        <v>7.23</v>
      </c>
    </row>
    <row r="690" spans="1:6" x14ac:dyDescent="0.25">
      <c r="A690" t="str">
        <f>"00005880"</f>
        <v>00005880</v>
      </c>
      <c r="B690" t="str">
        <f t="shared" si="36"/>
        <v>BEGOUEN</v>
      </c>
      <c r="C690" t="str">
        <f t="shared" si="37"/>
        <v>OLIVIER</v>
      </c>
      <c r="D690">
        <v>4725</v>
      </c>
      <c r="E690" t="str">
        <f>"PREVOYANCE TB CADRE"</f>
        <v>PREVOYANCE TB CADRE</v>
      </c>
      <c r="F690" s="4">
        <v>77.819999999999993</v>
      </c>
    </row>
    <row r="691" spans="1:6" x14ac:dyDescent="0.25">
      <c r="A691" t="str">
        <f>"00005880"</f>
        <v>00005880</v>
      </c>
      <c r="B691" t="str">
        <f t="shared" si="36"/>
        <v>BEGOUEN</v>
      </c>
      <c r="C691" t="str">
        <f t="shared" si="37"/>
        <v>OLIVIER</v>
      </c>
      <c r="D691">
        <v>4774</v>
      </c>
      <c r="E691" t="str">
        <f>"MUTUELLE BASE OBLIGAT. CAD (M)"</f>
        <v>MUTUELLE BASE OBLIGAT. CAD (M)</v>
      </c>
      <c r="F691" s="4">
        <v>4.84</v>
      </c>
    </row>
    <row r="692" spans="1:6" x14ac:dyDescent="0.25">
      <c r="A692" t="str">
        <f>"00005880"</f>
        <v>00005880</v>
      </c>
      <c r="B692" t="str">
        <f t="shared" si="36"/>
        <v>BEGOUEN</v>
      </c>
      <c r="C692" t="str">
        <f t="shared" si="37"/>
        <v>OLIVIER</v>
      </c>
      <c r="D692">
        <v>4775</v>
      </c>
      <c r="E692" t="str">
        <f>"MUTUELLE BASE CONJOINT CAD (M)"</f>
        <v>MUTUELLE BASE CONJOINT CAD (M)</v>
      </c>
      <c r="F692" s="4">
        <v>37.15</v>
      </c>
    </row>
    <row r="693" spans="1:6" x14ac:dyDescent="0.25">
      <c r="A693" t="str">
        <f>"00005880"</f>
        <v>00005880</v>
      </c>
      <c r="B693" t="str">
        <f t="shared" si="36"/>
        <v>BEGOUEN</v>
      </c>
      <c r="C693" t="str">
        <f t="shared" si="37"/>
        <v>OLIVIER</v>
      </c>
      <c r="D693">
        <v>4776</v>
      </c>
      <c r="E693" t="str">
        <f>"MUTUELLE SUR COMPL. CAD (M)"</f>
        <v>MUTUELLE SUR COMPL. CAD (M)</v>
      </c>
      <c r="F693" s="4">
        <v>11.82</v>
      </c>
    </row>
    <row r="694" spans="1:6" x14ac:dyDescent="0.25">
      <c r="A694" t="str">
        <f>"00005880"</f>
        <v>00005880</v>
      </c>
      <c r="B694" t="str">
        <f t="shared" si="36"/>
        <v>BEGOUEN</v>
      </c>
      <c r="C694" t="str">
        <f t="shared" si="37"/>
        <v>OLIVIER</v>
      </c>
      <c r="D694">
        <v>4777</v>
      </c>
      <c r="E694" t="str">
        <f>"MUTUELLE S/COMP/CONJ. CAD (M)"</f>
        <v>MUTUELLE S/COMP/CONJ. CAD (M)</v>
      </c>
      <c r="F694" s="4">
        <v>8.1</v>
      </c>
    </row>
    <row r="695" spans="1:6" x14ac:dyDescent="0.25">
      <c r="A695" t="str">
        <f>"00005880"</f>
        <v>00005880</v>
      </c>
      <c r="B695" t="str">
        <f t="shared" si="36"/>
        <v>BEGOUEN</v>
      </c>
      <c r="C695" t="str">
        <f t="shared" si="37"/>
        <v>OLIVIER</v>
      </c>
      <c r="D695">
        <v>4797</v>
      </c>
      <c r="E695" t="str">
        <f>"CSG DEDUCTIBLE PREV-MUTUELLE"</f>
        <v>CSG DEDUCTIBLE PREV-MUTUELLE</v>
      </c>
      <c r="F695" s="4">
        <v>12.42</v>
      </c>
    </row>
    <row r="696" spans="1:6" x14ac:dyDescent="0.25">
      <c r="A696" t="str">
        <f>"00005880"</f>
        <v>00005880</v>
      </c>
      <c r="B696" t="str">
        <f t="shared" si="36"/>
        <v>BEGOUEN</v>
      </c>
      <c r="C696" t="str">
        <f t="shared" si="37"/>
        <v>OLIVIER</v>
      </c>
      <c r="D696">
        <v>4798</v>
      </c>
      <c r="E696" t="str">
        <f>"CSG/CRDS NON DED.PREV.MUTUELLE"</f>
        <v>CSG/CRDS NON DED.PREV.MUTUELLE</v>
      </c>
      <c r="F696" s="4">
        <v>5.3</v>
      </c>
    </row>
    <row r="697" spans="1:6" x14ac:dyDescent="0.25">
      <c r="A697" t="str">
        <f>"00005880"</f>
        <v>00005880</v>
      </c>
      <c r="B697" t="str">
        <f t="shared" si="36"/>
        <v>BEGOUEN</v>
      </c>
      <c r="C697" t="str">
        <f t="shared" si="37"/>
        <v>OLIVIER</v>
      </c>
      <c r="D697">
        <v>4800</v>
      </c>
      <c r="E697" t="str">
        <f>"CSG DEDUCTIBLE"</f>
        <v>CSG DEDUCTIBLE</v>
      </c>
      <c r="F697" s="4">
        <v>1106.8900000000001</v>
      </c>
    </row>
    <row r="698" spans="1:6" x14ac:dyDescent="0.25">
      <c r="A698" t="str">
        <f>"00005880"</f>
        <v>00005880</v>
      </c>
      <c r="B698" t="str">
        <f t="shared" si="36"/>
        <v>BEGOUEN</v>
      </c>
      <c r="C698" t="str">
        <f t="shared" si="37"/>
        <v>OLIVIER</v>
      </c>
      <c r="D698">
        <v>4801</v>
      </c>
      <c r="E698" t="str">
        <f>"CSG/CRDS NON DEDUCTIBLE"</f>
        <v>CSG/CRDS NON DEDUCTIBLE</v>
      </c>
      <c r="F698" s="4">
        <v>472.05</v>
      </c>
    </row>
    <row r="699" spans="1:6" x14ac:dyDescent="0.25">
      <c r="A699" t="str">
        <f>"00005880"</f>
        <v>00005880</v>
      </c>
      <c r="B699" t="str">
        <f t="shared" si="36"/>
        <v>BEGOUEN</v>
      </c>
      <c r="C699" t="str">
        <f t="shared" si="37"/>
        <v>OLIVIER</v>
      </c>
      <c r="D699">
        <v>6002</v>
      </c>
      <c r="E699" t="str">
        <f>"ACOMPTE"</f>
        <v>ACOMPTE</v>
      </c>
      <c r="F699" s="4">
        <v>-3275.94</v>
      </c>
    </row>
    <row r="700" spans="1:6" x14ac:dyDescent="0.25">
      <c r="A700" t="str">
        <f>"00005880"</f>
        <v>00005880</v>
      </c>
      <c r="B700" t="str">
        <f t="shared" si="36"/>
        <v>BEGOUEN</v>
      </c>
      <c r="C700" t="str">
        <f t="shared" si="37"/>
        <v>OLIVIER</v>
      </c>
      <c r="D700">
        <v>6010</v>
      </c>
      <c r="E700" t="str">
        <f>"AVANTAGE EN NATURE"</f>
        <v>AVANTAGE EN NATURE</v>
      </c>
      <c r="F700" s="4">
        <v>-143.26</v>
      </c>
    </row>
    <row r="701" spans="1:6" x14ac:dyDescent="0.25">
      <c r="A701" t="str">
        <f>"00005880"</f>
        <v>00005880</v>
      </c>
      <c r="B701" t="str">
        <f t="shared" si="36"/>
        <v>BEGOUEN</v>
      </c>
      <c r="C701" t="str">
        <f t="shared" si="37"/>
        <v>OLIVIER</v>
      </c>
      <c r="D701">
        <v>6014</v>
      </c>
      <c r="E701" t="str">
        <f>"Frais professionnel DSN"</f>
        <v>Frais professionnel DSN</v>
      </c>
      <c r="F701" s="4">
        <v>796.57</v>
      </c>
    </row>
    <row r="702" spans="1:6" x14ac:dyDescent="0.25">
      <c r="A702" t="str">
        <f>"00005880"</f>
        <v>00005880</v>
      </c>
      <c r="B702" t="str">
        <f t="shared" si="36"/>
        <v>BEGOUEN</v>
      </c>
      <c r="C702" t="str">
        <f t="shared" si="37"/>
        <v>OLIVIER</v>
      </c>
      <c r="D702">
        <v>6030</v>
      </c>
      <c r="E702" t="str">
        <f>"TITRES RESTAURANT"</f>
        <v>TITRES RESTAURANT</v>
      </c>
      <c r="F702" s="4">
        <v>-45</v>
      </c>
    </row>
    <row r="703" spans="1:6" x14ac:dyDescent="0.25">
      <c r="A703" t="str">
        <f>"00005880"</f>
        <v>00005880</v>
      </c>
      <c r="B703" t="str">
        <f t="shared" si="36"/>
        <v>BEGOUEN</v>
      </c>
      <c r="C703" t="str">
        <f t="shared" si="37"/>
        <v>OLIVIER</v>
      </c>
      <c r="D703">
        <v>6031</v>
      </c>
      <c r="E703" t="str">
        <f>"TITRES RESTAURANT PP"</f>
        <v>TITRES RESTAURANT PP</v>
      </c>
      <c r="F703" s="4">
        <v>-67.5</v>
      </c>
    </row>
    <row r="704" spans="1:6" x14ac:dyDescent="0.25">
      <c r="A704" t="str">
        <f>"00005880"</f>
        <v>00005880</v>
      </c>
      <c r="B704" t="str">
        <f t="shared" si="36"/>
        <v>BEGOUEN</v>
      </c>
      <c r="C704" t="str">
        <f t="shared" si="37"/>
        <v>OLIVIER</v>
      </c>
      <c r="D704">
        <v>7092</v>
      </c>
      <c r="E704" t="str">
        <f>"TX CHG PAT SOC"</f>
        <v>TX CHG PAT SOC</v>
      </c>
      <c r="F704" s="4">
        <v>42.66</v>
      </c>
    </row>
    <row r="705" spans="1:6" x14ac:dyDescent="0.25">
      <c r="A705" t="str">
        <f>"00005880"</f>
        <v>00005880</v>
      </c>
      <c r="B705" t="str">
        <f t="shared" si="36"/>
        <v>BEGOUEN</v>
      </c>
      <c r="C705" t="str">
        <f t="shared" si="37"/>
        <v>OLIVIER</v>
      </c>
      <c r="D705">
        <v>7125</v>
      </c>
      <c r="E705" t="str">
        <f>"AN PROV CP N SALAIRE"</f>
        <v>AN PROV CP N SALAIRE</v>
      </c>
      <c r="F705" s="4">
        <v>-6751.34</v>
      </c>
    </row>
    <row r="706" spans="1:6" x14ac:dyDescent="0.25">
      <c r="A706" t="str">
        <f>"00005880"</f>
        <v>00005880</v>
      </c>
      <c r="B706" t="str">
        <f t="shared" si="36"/>
        <v>BEGOUEN</v>
      </c>
      <c r="C706" t="str">
        <f t="shared" si="37"/>
        <v>OLIVIER</v>
      </c>
      <c r="D706">
        <v>7135</v>
      </c>
      <c r="E706" t="str">
        <f>"AN PROV CP N CHG PAT SOC"</f>
        <v>AN PROV CP N CHG PAT SOC</v>
      </c>
      <c r="F706" s="4">
        <v>-2878.77</v>
      </c>
    </row>
    <row r="707" spans="1:6" x14ac:dyDescent="0.25">
      <c r="A707" t="str">
        <f>"00005880"</f>
        <v>00005880</v>
      </c>
      <c r="B707" t="str">
        <f t="shared" si="36"/>
        <v>BEGOUEN</v>
      </c>
      <c r="C707" t="str">
        <f t="shared" si="37"/>
        <v>OLIVIER</v>
      </c>
      <c r="D707">
        <v>7230</v>
      </c>
      <c r="E707" t="str">
        <f>"AN PROV RTT SALAIRE"</f>
        <v>AN PROV RTT SALAIRE</v>
      </c>
      <c r="F707" s="4">
        <v>-1039.78</v>
      </c>
    </row>
    <row r="708" spans="1:6" x14ac:dyDescent="0.25">
      <c r="A708" t="str">
        <f>"00005880"</f>
        <v>00005880</v>
      </c>
      <c r="B708" t="str">
        <f t="shared" si="36"/>
        <v>BEGOUEN</v>
      </c>
      <c r="C708" t="str">
        <f t="shared" si="37"/>
        <v>OLIVIER</v>
      </c>
      <c r="D708">
        <v>7240</v>
      </c>
      <c r="E708" t="str">
        <f>"AN PROV RTT CHG PAT SOC"</f>
        <v>AN PROV RTT CHG PAT SOC</v>
      </c>
      <c r="F708" s="4">
        <v>-443.36</v>
      </c>
    </row>
    <row r="709" spans="1:6" x14ac:dyDescent="0.25">
      <c r="A709" t="str">
        <f>"00005880"</f>
        <v>00005880</v>
      </c>
      <c r="B709" t="str">
        <f t="shared" si="36"/>
        <v>BEGOUEN</v>
      </c>
      <c r="C709" t="str">
        <f t="shared" si="37"/>
        <v>OLIVIER</v>
      </c>
      <c r="D709">
        <v>8030</v>
      </c>
      <c r="E709" t="str">
        <f>"NB JOURS CALENDAIRES"</f>
        <v>NB JOURS CALENDAIRES</v>
      </c>
      <c r="F709" s="4">
        <v>30</v>
      </c>
    </row>
    <row r="710" spans="1:6" x14ac:dyDescent="0.25">
      <c r="A710" t="str">
        <f>"00005880"</f>
        <v>00005880</v>
      </c>
      <c r="B710" t="str">
        <f t="shared" si="36"/>
        <v>BEGOUEN</v>
      </c>
      <c r="C710" t="str">
        <f t="shared" si="37"/>
        <v>OLIVIER</v>
      </c>
      <c r="D710">
        <v>7325</v>
      </c>
      <c r="E710" t="str">
        <f>"A PROV PrimesVac SALAIRE"</f>
        <v>A PROV PrimesVac SALAIRE</v>
      </c>
      <c r="F710" s="4">
        <v>-1098.25</v>
      </c>
    </row>
    <row r="711" spans="1:6" x14ac:dyDescent="0.25">
      <c r="A711" t="str">
        <f>"00005880"</f>
        <v>00005880</v>
      </c>
      <c r="B711" t="str">
        <f t="shared" si="36"/>
        <v>BEGOUEN</v>
      </c>
      <c r="C711" t="str">
        <f t="shared" si="37"/>
        <v>OLIVIER</v>
      </c>
      <c r="D711">
        <v>7335</v>
      </c>
      <c r="E711" t="str">
        <f>"A PROV PrimesVac CHG PAT SOC"</f>
        <v>A PROV PrimesVac CHG PAT SOC</v>
      </c>
      <c r="F711" s="4">
        <v>-468.29</v>
      </c>
    </row>
    <row r="712" spans="1:6" x14ac:dyDescent="0.25">
      <c r="A712" t="str">
        <f>"00005880"</f>
        <v>00005880</v>
      </c>
      <c r="B712" t="str">
        <f t="shared" si="36"/>
        <v>BEGOUEN</v>
      </c>
      <c r="C712" t="str">
        <f t="shared" si="37"/>
        <v>OLIVIER</v>
      </c>
      <c r="D712">
        <v>7992</v>
      </c>
      <c r="E712" t="str">
        <f>"REINT PP MUTUELLE NET IMPOS"</f>
        <v>REINT PP MUTUELLE NET IMPOS</v>
      </c>
      <c r="F712" s="4">
        <v>75.87</v>
      </c>
    </row>
    <row r="713" spans="1:6" x14ac:dyDescent="0.25">
      <c r="A713" t="str">
        <f>"00005880"</f>
        <v>00005880</v>
      </c>
      <c r="B713" t="str">
        <f t="shared" si="36"/>
        <v>BEGOUEN</v>
      </c>
      <c r="C713" t="str">
        <f t="shared" si="37"/>
        <v>OLIVIER</v>
      </c>
      <c r="D713">
        <v>7997</v>
      </c>
      <c r="E713" t="str">
        <f>"N4DS - Mt abattu prime &amp; indem"</f>
        <v>N4DS - Mt abattu prime &amp; indem</v>
      </c>
      <c r="F713" s="4">
        <v>11184.4</v>
      </c>
    </row>
    <row r="714" spans="1:6" x14ac:dyDescent="0.25">
      <c r="A714" t="str">
        <f>"00005880"</f>
        <v>00005880</v>
      </c>
      <c r="B714" t="str">
        <f t="shared" si="36"/>
        <v>BEGOUEN</v>
      </c>
      <c r="C714" t="str">
        <f t="shared" si="37"/>
        <v>OLIVIER</v>
      </c>
      <c r="D714">
        <v>8005</v>
      </c>
      <c r="E714" t="str">
        <f>"HEURES TRAVAILLEES"</f>
        <v>HEURES TRAVAILLEES</v>
      </c>
      <c r="F714" s="4">
        <v>151.66999999999999</v>
      </c>
    </row>
    <row r="715" spans="1:6" x14ac:dyDescent="0.25">
      <c r="A715" t="str">
        <f>"00005880"</f>
        <v>00005880</v>
      </c>
      <c r="B715" t="str">
        <f t="shared" si="36"/>
        <v>BEGOUEN</v>
      </c>
      <c r="C715" t="str">
        <f t="shared" si="37"/>
        <v>OLIVIER</v>
      </c>
      <c r="D715">
        <v>8010</v>
      </c>
      <c r="E715" t="str">
        <f>"HEURES REMUNEREES"</f>
        <v>HEURES REMUNEREES</v>
      </c>
      <c r="F715" s="4">
        <v>151.66999999999999</v>
      </c>
    </row>
    <row r="716" spans="1:6" x14ac:dyDescent="0.25">
      <c r="A716" t="str">
        <f>"00005880"</f>
        <v>00005880</v>
      </c>
      <c r="B716" t="str">
        <f t="shared" si="36"/>
        <v>BEGOUEN</v>
      </c>
      <c r="C716" t="str">
        <f t="shared" si="37"/>
        <v>OLIVIER</v>
      </c>
      <c r="D716">
        <v>8015</v>
      </c>
      <c r="E716" t="str">
        <f>"HEURES REMUNEREES FILLON"</f>
        <v>HEURES REMUNEREES FILLON</v>
      </c>
      <c r="F716" s="4">
        <v>151.41999999999999</v>
      </c>
    </row>
    <row r="717" spans="1:6" x14ac:dyDescent="0.25">
      <c r="A717" t="str">
        <f>"00005880"</f>
        <v>00005880</v>
      </c>
      <c r="B717" t="str">
        <f t="shared" si="36"/>
        <v>BEGOUEN</v>
      </c>
      <c r="C717" t="str">
        <f t="shared" si="37"/>
        <v>OLIVIER</v>
      </c>
      <c r="D717">
        <v>8100</v>
      </c>
      <c r="E717" t="str">
        <f>"SOLDE CP POUR AED"</f>
        <v>SOLDE CP POUR AED</v>
      </c>
      <c r="F717" s="4">
        <v>19</v>
      </c>
    </row>
    <row r="718" spans="1:6" x14ac:dyDescent="0.25">
      <c r="A718" t="str">
        <f>"00005880"</f>
        <v>00005880</v>
      </c>
      <c r="B718" t="str">
        <f t="shared" si="36"/>
        <v>BEGOUEN</v>
      </c>
      <c r="C718" t="str">
        <f t="shared" si="37"/>
        <v>OLIVIER</v>
      </c>
      <c r="D718">
        <v>8202</v>
      </c>
      <c r="E718" t="str">
        <f>"DUREE REMUNEREE"</f>
        <v>DUREE REMUNEREE</v>
      </c>
      <c r="F718" s="4">
        <v>21.67</v>
      </c>
    </row>
    <row r="719" spans="1:6" x14ac:dyDescent="0.25">
      <c r="A719" t="str">
        <f>"00005880"</f>
        <v>00005880</v>
      </c>
      <c r="B719" t="str">
        <f t="shared" si="36"/>
        <v>BEGOUEN</v>
      </c>
      <c r="C719" t="str">
        <f t="shared" si="37"/>
        <v>OLIVIER</v>
      </c>
      <c r="D719">
        <v>8206</v>
      </c>
      <c r="E719" t="str">
        <f>"SALAIRE RETABLI"</f>
        <v>SALAIRE RETABLI</v>
      </c>
      <c r="F719" s="4">
        <v>6693.26</v>
      </c>
    </row>
    <row r="720" spans="1:6" x14ac:dyDescent="0.25">
      <c r="A720" t="str">
        <f>"00005880"</f>
        <v>00005880</v>
      </c>
      <c r="B720" t="str">
        <f t="shared" si="36"/>
        <v>BEGOUEN</v>
      </c>
      <c r="C720" t="str">
        <f t="shared" si="37"/>
        <v>OLIVIER</v>
      </c>
      <c r="D720">
        <v>8208</v>
      </c>
      <c r="E720" t="str">
        <f>"BRUT FISCAL"</f>
        <v>BRUT FISCAL</v>
      </c>
      <c r="F720" s="4">
        <v>16750.259999999998</v>
      </c>
    </row>
    <row r="721" spans="1:6" x14ac:dyDescent="0.25">
      <c r="A721" t="str">
        <f>"00005880"</f>
        <v>00005880</v>
      </c>
      <c r="B721" t="str">
        <f t="shared" si="36"/>
        <v>BEGOUEN</v>
      </c>
      <c r="C721" t="str">
        <f t="shared" si="37"/>
        <v>OLIVIER</v>
      </c>
      <c r="D721">
        <v>9896</v>
      </c>
      <c r="E721" t="str">
        <f>"Prélèvement à la source"</f>
        <v>Prélèvement à la source</v>
      </c>
      <c r="F721" s="4">
        <v>-2222.2199999999998</v>
      </c>
    </row>
    <row r="722" spans="1:6" x14ac:dyDescent="0.25">
      <c r="A722" t="str">
        <f>"00005880"</f>
        <v>00005880</v>
      </c>
      <c r="B722" t="str">
        <f t="shared" si="36"/>
        <v>BEGOUEN</v>
      </c>
      <c r="C722" t="str">
        <f t="shared" si="37"/>
        <v>OLIVIER</v>
      </c>
      <c r="D722">
        <v>9899</v>
      </c>
      <c r="E722" t="str">
        <f>"Extourne Net à Payer après PAS"</f>
        <v>Extourne Net à Payer après PAS</v>
      </c>
      <c r="F722" s="4">
        <v>-2222.2199999999998</v>
      </c>
    </row>
    <row r="723" spans="1:6" x14ac:dyDescent="0.25">
      <c r="A723" t="str">
        <f>"00005880"</f>
        <v>00005880</v>
      </c>
      <c r="B723" t="str">
        <f t="shared" si="36"/>
        <v>BEGOUEN</v>
      </c>
      <c r="C723" t="str">
        <f t="shared" si="37"/>
        <v>OLIVIER</v>
      </c>
      <c r="D723">
        <v>9994</v>
      </c>
      <c r="E723" t="str">
        <f>"ETP Egalité F/H"</f>
        <v>ETP Egalité F/H</v>
      </c>
      <c r="F723" s="4">
        <v>1</v>
      </c>
    </row>
    <row r="724" spans="1:6" x14ac:dyDescent="0.25">
      <c r="A724" t="str">
        <f>"00005880"</f>
        <v>00005880</v>
      </c>
      <c r="B724" t="str">
        <f t="shared" si="36"/>
        <v>BEGOUEN</v>
      </c>
      <c r="C724" t="str">
        <f t="shared" si="37"/>
        <v>OLIVIER</v>
      </c>
      <c r="D724">
        <v>9995</v>
      </c>
      <c r="E724" t="str">
        <f>"ETP PRORTISE JOURS OUVRES"</f>
        <v>ETP PRORTISE JOURS OUVRES</v>
      </c>
      <c r="F724" s="4">
        <v>1</v>
      </c>
    </row>
    <row r="725" spans="1:6" x14ac:dyDescent="0.25">
      <c r="A725" t="str">
        <f>"00005880"</f>
        <v>00005880</v>
      </c>
      <c r="B725" t="str">
        <f t="shared" si="36"/>
        <v>BEGOUEN</v>
      </c>
      <c r="C725" t="str">
        <f t="shared" si="37"/>
        <v>OLIVIER</v>
      </c>
      <c r="D725">
        <v>9999</v>
      </c>
      <c r="E725" t="str">
        <f>"**Dont gain pouvoir d'achat**"</f>
        <v>**Dont gain pouvoir d'achat**</v>
      </c>
      <c r="F725" s="4">
        <v>242.05</v>
      </c>
    </row>
    <row r="726" spans="1:6" x14ac:dyDescent="0.25">
      <c r="A726" t="str">
        <f>"00005880"</f>
        <v>00005880</v>
      </c>
      <c r="B726" t="str">
        <f t="shared" si="36"/>
        <v>BEGOUEN</v>
      </c>
      <c r="C726" t="str">
        <f t="shared" si="37"/>
        <v>OLIVIER</v>
      </c>
      <c r="D726" t="str">
        <f>"PRESENCE"</f>
        <v>PRESENCE</v>
      </c>
      <c r="E726" t="str">
        <f>"Présence"</f>
        <v>Présence</v>
      </c>
      <c r="F726" s="4">
        <v>151.66999999999999</v>
      </c>
    </row>
    <row r="727" spans="1:6" x14ac:dyDescent="0.25">
      <c r="A727" t="str">
        <f>"00005880"</f>
        <v>00005880</v>
      </c>
      <c r="B727" t="str">
        <f t="shared" si="36"/>
        <v>BEGOUEN</v>
      </c>
      <c r="C727" t="str">
        <f t="shared" si="37"/>
        <v>OLIVIER</v>
      </c>
      <c r="D727" t="str">
        <f>"BRUT"</f>
        <v>BRUT</v>
      </c>
      <c r="E727" t="str">
        <f>"Brut"</f>
        <v>Brut</v>
      </c>
      <c r="F727" s="4">
        <v>16567.66</v>
      </c>
    </row>
    <row r="728" spans="1:6" x14ac:dyDescent="0.25">
      <c r="A728" t="str">
        <f>"00005880"</f>
        <v>00005880</v>
      </c>
      <c r="B728" t="str">
        <f t="shared" si="36"/>
        <v>BEGOUEN</v>
      </c>
      <c r="C728" t="str">
        <f t="shared" si="37"/>
        <v>OLIVIER</v>
      </c>
      <c r="D728" t="str">
        <f>"COTISAL"</f>
        <v>COTISAL</v>
      </c>
      <c r="E728" t="str">
        <f>"Cotisations salariales"</f>
        <v>Cotisations salariales</v>
      </c>
      <c r="F728" s="4">
        <v>3487.62</v>
      </c>
    </row>
    <row r="729" spans="1:6" x14ac:dyDescent="0.25">
      <c r="A729" t="str">
        <f>"00005880"</f>
        <v>00005880</v>
      </c>
      <c r="B729" t="str">
        <f t="shared" si="36"/>
        <v>BEGOUEN</v>
      </c>
      <c r="C729" t="str">
        <f t="shared" si="37"/>
        <v>OLIVIER</v>
      </c>
      <c r="D729" t="str">
        <f>"COTIPAT"</f>
        <v>COTIPAT</v>
      </c>
      <c r="E729" t="str">
        <f>"Cotisations patronales"</f>
        <v>Cotisations patronales</v>
      </c>
      <c r="F729" s="4">
        <v>7326.25</v>
      </c>
    </row>
    <row r="730" spans="1:6" x14ac:dyDescent="0.25">
      <c r="A730" t="str">
        <f>"00005880"</f>
        <v>00005880</v>
      </c>
      <c r="B730" t="str">
        <f t="shared" si="36"/>
        <v>BEGOUEN</v>
      </c>
      <c r="C730" t="str">
        <f t="shared" si="37"/>
        <v>OLIVIER</v>
      </c>
      <c r="D730" t="str">
        <f>"NETPAIE"</f>
        <v>NETPAIE</v>
      </c>
      <c r="E730" t="str">
        <f>"Net à payer"</f>
        <v>Net à payer</v>
      </c>
      <c r="F730" s="4">
        <v>7393.62</v>
      </c>
    </row>
    <row r="731" spans="1:6" x14ac:dyDescent="0.25">
      <c r="A731" t="str">
        <f>"00005880"</f>
        <v>00005880</v>
      </c>
      <c r="B731" t="str">
        <f t="shared" si="36"/>
        <v>BEGOUEN</v>
      </c>
      <c r="C731" t="str">
        <f t="shared" si="37"/>
        <v>OLIVIER</v>
      </c>
      <c r="D731" t="str">
        <f>"NETIMPO"</f>
        <v>NETIMPO</v>
      </c>
      <c r="E731" t="str">
        <f>"Net imposable"</f>
        <v>Net imposable</v>
      </c>
      <c r="F731" s="4">
        <v>13633.26</v>
      </c>
    </row>
    <row r="732" spans="1:6" x14ac:dyDescent="0.25">
      <c r="A732" t="str">
        <f>"00005880"</f>
        <v>00005880</v>
      </c>
      <c r="B732" t="str">
        <f t="shared" si="36"/>
        <v>BEGOUEN</v>
      </c>
      <c r="C732" t="str">
        <f t="shared" si="37"/>
        <v>OLIVIER</v>
      </c>
      <c r="D732" t="str">
        <f>"AVANTUR"</f>
        <v>AVANTUR</v>
      </c>
      <c r="E732" t="str">
        <f>"Avantages en nature"</f>
        <v>Avantages en nature</v>
      </c>
      <c r="F732" s="4">
        <v>143.26</v>
      </c>
    </row>
    <row r="733" spans="1:6" x14ac:dyDescent="0.25">
      <c r="A733" t="str">
        <f>"00005880"</f>
        <v>00005880</v>
      </c>
      <c r="B733" t="str">
        <f t="shared" si="36"/>
        <v>BEGOUEN</v>
      </c>
      <c r="C733" t="str">
        <f t="shared" si="37"/>
        <v>OLIVIER</v>
      </c>
      <c r="D733" t="str">
        <f>"TOTALHTRAV"</f>
        <v>TOTALHTRAV</v>
      </c>
      <c r="E733" t="str">
        <f>"Total des heures travaillées"</f>
        <v>Total des heures travaillées</v>
      </c>
      <c r="F733" s="4">
        <v>151.66999999999999</v>
      </c>
    </row>
    <row r="734" spans="1:6" x14ac:dyDescent="0.25">
      <c r="A734" t="str">
        <f>"00005880"</f>
        <v>00005880</v>
      </c>
      <c r="B734" t="str">
        <f t="shared" ref="B734:B742" si="38">"BEGOUEN"</f>
        <v>BEGOUEN</v>
      </c>
      <c r="C734" t="str">
        <f t="shared" ref="C734:C742" si="39">"OLIVIER"</f>
        <v>OLIVIER</v>
      </c>
      <c r="D734" t="str">
        <f>"TOTALHS"</f>
        <v>TOTALHS</v>
      </c>
      <c r="E734" t="str">
        <f>"Total des hres supplémentaires"</f>
        <v>Total des hres supplémentaires</v>
      </c>
      <c r="F734" s="4">
        <v>0</v>
      </c>
    </row>
    <row r="735" spans="1:6" x14ac:dyDescent="0.25">
      <c r="A735" t="str">
        <f>"00005880"</f>
        <v>00005880</v>
      </c>
      <c r="B735" t="str">
        <f t="shared" si="38"/>
        <v>BEGOUEN</v>
      </c>
      <c r="C735" t="str">
        <f t="shared" si="39"/>
        <v>OLIVIER</v>
      </c>
      <c r="D735" t="str">
        <f>"TOTALHC"</f>
        <v>TOTALHC</v>
      </c>
      <c r="E735" t="str">
        <f>"Total des hres complémentaires"</f>
        <v>Total des hres complémentaires</v>
      </c>
      <c r="F735" s="4">
        <v>0</v>
      </c>
    </row>
    <row r="736" spans="1:6" x14ac:dyDescent="0.25">
      <c r="A736" t="str">
        <f>"00005880"</f>
        <v>00005880</v>
      </c>
      <c r="B736" t="str">
        <f t="shared" si="38"/>
        <v>BEGOUEN</v>
      </c>
      <c r="C736" t="str">
        <f t="shared" si="39"/>
        <v>OLIVIER</v>
      </c>
      <c r="D736" t="str">
        <f>"TOTALHA"</f>
        <v>TOTALHA</v>
      </c>
      <c r="E736" t="str">
        <f>"Total des heures d'absence"</f>
        <v>Total des heures d'absence</v>
      </c>
      <c r="F736" s="4">
        <v>0</v>
      </c>
    </row>
    <row r="737" spans="1:6" x14ac:dyDescent="0.25">
      <c r="A737" t="str">
        <f>"00005880"</f>
        <v>00005880</v>
      </c>
      <c r="B737" t="str">
        <f t="shared" si="38"/>
        <v>BEGOUEN</v>
      </c>
      <c r="C737" t="str">
        <f t="shared" si="39"/>
        <v>OLIVIER</v>
      </c>
      <c r="D737" t="str">
        <f>"ABSENCE"</f>
        <v>ABSENCE</v>
      </c>
      <c r="E737" t="str">
        <f>"Absence"</f>
        <v>Absence</v>
      </c>
      <c r="F737" s="4">
        <v>0</v>
      </c>
    </row>
    <row r="738" spans="1:6" x14ac:dyDescent="0.25">
      <c r="A738" t="str">
        <f>"00005880"</f>
        <v>00005880</v>
      </c>
      <c r="B738" t="str">
        <f t="shared" si="38"/>
        <v>BEGOUEN</v>
      </c>
      <c r="C738" t="str">
        <f t="shared" si="39"/>
        <v>OLIVIER</v>
      </c>
      <c r="D738" t="str">
        <f>"COACMOIS"</f>
        <v>COACMOIS</v>
      </c>
      <c r="E738" t="str">
        <f>"Congés acquis dans le mois"</f>
        <v>Congés acquis dans le mois</v>
      </c>
      <c r="F738" s="4">
        <v>5.08</v>
      </c>
    </row>
    <row r="739" spans="1:6" x14ac:dyDescent="0.25">
      <c r="A739" t="str">
        <f>"00005880"</f>
        <v>00005880</v>
      </c>
      <c r="B739" t="str">
        <f t="shared" si="38"/>
        <v>BEGOUEN</v>
      </c>
      <c r="C739" t="str">
        <f t="shared" si="39"/>
        <v>OLIVIER</v>
      </c>
      <c r="D739" t="str">
        <f>"COPRIMOI"</f>
        <v>COPRIMOI</v>
      </c>
      <c r="E739" t="str">
        <f>"Congés pris dans le mois"</f>
        <v>Congés pris dans le mois</v>
      </c>
      <c r="F739" s="4">
        <v>0</v>
      </c>
    </row>
    <row r="740" spans="1:6" x14ac:dyDescent="0.25">
      <c r="A740" t="str">
        <f>"00005880"</f>
        <v>00005880</v>
      </c>
      <c r="B740" t="str">
        <f t="shared" si="38"/>
        <v>BEGOUEN</v>
      </c>
      <c r="C740" t="str">
        <f t="shared" si="39"/>
        <v>OLIVIER</v>
      </c>
      <c r="D740" t="str">
        <f>"TOTALPRES"</f>
        <v>TOTALPRES</v>
      </c>
      <c r="E740" t="str">
        <f>"Total des heures de présence"</f>
        <v>Total des heures de présence</v>
      </c>
      <c r="F740" s="4">
        <v>151.66999999999999</v>
      </c>
    </row>
    <row r="741" spans="1:6" x14ac:dyDescent="0.25">
      <c r="A741" t="str">
        <f>"00005880"</f>
        <v>00005880</v>
      </c>
      <c r="B741" t="str">
        <f t="shared" si="38"/>
        <v>BEGOUEN</v>
      </c>
      <c r="C741" t="str">
        <f t="shared" si="39"/>
        <v>OLIVIER</v>
      </c>
      <c r="D741" t="str">
        <f>"TOTHANA"</f>
        <v>TOTHANA</v>
      </c>
      <c r="E741" t="str">
        <f>"Total des heures / Analytique"</f>
        <v>Total des heures / Analytique</v>
      </c>
      <c r="F741" s="4">
        <v>0</v>
      </c>
    </row>
    <row r="742" spans="1:6" x14ac:dyDescent="0.25">
      <c r="A742" t="str">
        <f>"00005880"</f>
        <v>00005880</v>
      </c>
      <c r="B742" t="str">
        <f t="shared" si="38"/>
        <v>BEGOUEN</v>
      </c>
      <c r="C742" t="str">
        <f t="shared" si="39"/>
        <v>OLIVIER</v>
      </c>
      <c r="D742" t="str">
        <f>"COUT_TOTAL"</f>
        <v>COUT_TOTAL</v>
      </c>
      <c r="E742" t="str">
        <f>"Cout total"</f>
        <v>Cout total</v>
      </c>
      <c r="F742" s="4">
        <v>23893.91</v>
      </c>
    </row>
  </sheetData>
  <autoFilter ref="A1:F74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LDP SAGE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 moulinat</dc:creator>
  <cp:lastModifiedBy>USER</cp:lastModifiedBy>
  <dcterms:created xsi:type="dcterms:W3CDTF">2021-04-20T15:50:06Z</dcterms:created>
  <dcterms:modified xsi:type="dcterms:W3CDTF">2021-06-25T09:34:04Z</dcterms:modified>
</cp:coreProperties>
</file>