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6" sheetId="1" state="visible" r:id="rId2"/>
  </sheets>
  <externalReferences>
    <externalReference r:id="rId3"/>
  </externalReferences>
  <definedNames>
    <definedName function="false" hidden="true" localSheetId="0" name="_xlnm._FilterDatabase" vbProcedure="false">Feuille6!$M$1:$M$14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<sst xmlns="http://schemas.openxmlformats.org/spreadsheetml/2006/main" count="362" uniqueCount="194">
  <si>
    <t xml:space="preserve">AK→ AN c’est des variables liées a qlq chose</t>
  </si>
  <si>
    <t xml:space="preserve">normalement la c’est selon la catégorie</t>
  </si>
  <si>
    <t xml:space="preserve">Montant/Tx</t>
  </si>
  <si>
    <t xml:space="preserve">Date départ</t>
  </si>
  <si>
    <t xml:space="preserve">Chargé</t>
  </si>
  <si>
    <t xml:space="preserve">xAncieneté</t>
  </si>
  <si>
    <t xml:space="preserve">Brut</t>
  </si>
  <si>
    <t xml:space="preserve">MATRICULE</t>
  </si>
  <si>
    <t xml:space="preserve">Nom</t>
  </si>
  <si>
    <t xml:space="preserve">Prénom</t>
  </si>
  <si>
    <t xml:space="preserve">R/C</t>
  </si>
  <si>
    <t xml:space="preserve">Sexe</t>
  </si>
  <si>
    <t xml:space="preserve">libelle Sexe</t>
  </si>
  <si>
    <t xml:space="preserve">Cat Prof résolue</t>
  </si>
  <si>
    <t xml:space="preserve">L cat prof</t>
  </si>
  <si>
    <t xml:space="preserve">Date Ancienneté</t>
  </si>
  <si>
    <t xml:space="preserve">date d’entrée groupe</t>
  </si>
  <si>
    <t xml:space="preserve">Date de naissance</t>
  </si>
  <si>
    <t xml:space="preserve">C Etab</t>
  </si>
  <si>
    <t xml:space="preserve">L Etab</t>
  </si>
  <si>
    <t xml:space="preserve">Nature contrat</t>
  </si>
  <si>
    <t xml:space="preserve">Type Contrat</t>
  </si>
  <si>
    <t xml:space="preserve">C Type Contrat</t>
  </si>
  <si>
    <t xml:space="preserve">L Type Contrat</t>
  </si>
  <si>
    <t xml:space="preserve">C Classification</t>
  </si>
  <si>
    <t xml:space="preserve">L Classification</t>
  </si>
  <si>
    <t xml:space="preserve">V_Niveau Classif</t>
  </si>
  <si>
    <t xml:space="preserve">COEFF</t>
  </si>
  <si>
    <t xml:space="preserve">C Catégorie Prof résolue</t>
  </si>
  <si>
    <t xml:space="preserve">L Catégorie Profess. résolue</t>
  </si>
  <si>
    <t xml:space="preserve">Métier résolu</t>
  </si>
  <si>
    <t xml:space="preserve">L Métier résolu</t>
  </si>
  <si>
    <t xml:space="preserve">C Emploi</t>
  </si>
  <si>
    <t xml:space="preserve">L Emploi</t>
  </si>
  <si>
    <t xml:space="preserve">Libellé emploi individuel</t>
  </si>
  <si>
    <t xml:space="preserve">Ancienneté (année, mois) à date choisie</t>
  </si>
  <si>
    <t xml:space="preserve">V_Classe ancienneté</t>
  </si>
  <si>
    <t xml:space="preserve">V_Salaire Contractuel Proraté</t>
  </si>
  <si>
    <t xml:space="preserve">V_Salaire Contractuel ETP</t>
  </si>
  <si>
    <t xml:space="preserve">V_Salaire Contractuel Annuel ETP</t>
  </si>
  <si>
    <t xml:space="preserve">Coefficient horaire</t>
  </si>
  <si>
    <t xml:space="preserve">Comment</t>
  </si>
  <si>
    <t xml:space="preserve">CATEGORIE (Ouv, ETAM, Cadres)</t>
  </si>
  <si>
    <t xml:space="preserve">Prime anc.</t>
  </si>
  <si>
    <t xml:space="preserve">Taux anc.</t>
  </si>
  <si>
    <t xml:space="preserve">Primes mensuelles</t>
  </si>
  <si>
    <t xml:space="preserve">Nbr de mois de salaire de base</t>
  </si>
  <si>
    <t xml:space="preserve">Salaire Annuel Brut de base</t>
  </si>
  <si>
    <t xml:space="preserve">MOD / MOI</t>
  </si>
  <si>
    <t xml:space="preserve">Niv-job</t>
  </si>
  <si>
    <t xml:space="preserve">Niv-expertise niveau de postes peut etre divisé</t>
  </si>
  <si>
    <t xml:space="preserve">filiere_métiers</t>
  </si>
  <si>
    <t xml:space="preserve">sous_filiere</t>
  </si>
  <si>
    <t xml:space="preserve">Cat-Pro</t>
  </si>
  <si>
    <t xml:space="preserve">Catégorie-retenue</t>
  </si>
  <si>
    <t xml:space="preserve">Ancienneté</t>
  </si>
  <si>
    <t xml:space="preserve">nb an</t>
  </si>
  <si>
    <t xml:space="preserve">nb mois</t>
  </si>
  <si>
    <t xml:space="preserve">Age</t>
  </si>
  <si>
    <t xml:space="preserve">Salaire brut perçu 12 mois</t>
  </si>
  <si>
    <t xml:space="preserve">salaire brut rétabli</t>
  </si>
  <si>
    <t xml:space="preserve">Poste Supp</t>
  </si>
  <si>
    <t xml:space="preserve">Salaire Base calcul</t>
  </si>
  <si>
    <t xml:space="preserve">Estimation du net salarié
hors préavis et CR</t>
  </si>
  <si>
    <t xml:space="preserve">idcc</t>
  </si>
  <si>
    <t xml:space="preserve">idcc retenu</t>
  </si>
  <si>
    <t xml:space="preserve">Statut</t>
  </si>
  <si>
    <t xml:space="preserve">&lt;50</t>
  </si>
  <si>
    <t xml:space="preserve">50&lt; x &lt;55</t>
  </si>
  <si>
    <t xml:space="preserve">&gt;55</t>
  </si>
  <si>
    <t xml:space="preserve">NCAD</t>
  </si>
  <si>
    <t xml:space="preserve">Préavis</t>
  </si>
  <si>
    <t xml:space="preserve">Majo préavis</t>
  </si>
  <si>
    <t xml:space="preserve">IL légale</t>
  </si>
  <si>
    <t xml:space="preserve">Indemnité Licenciement CCN</t>
  </si>
  <si>
    <t xml:space="preserve">IL</t>
  </si>
  <si>
    <t xml:space="preserve">10% Solde CP</t>
  </si>
  <si>
    <r>
      <rPr>
        <b val="true"/>
        <sz val="12"/>
        <color rgb="FFFF0000"/>
        <rFont val="Calibri"/>
        <family val="2"/>
        <charset val="1"/>
      </rPr>
      <t xml:space="preserve">Préavis </t>
    </r>
    <r>
      <rPr>
        <b val="true"/>
        <sz val="11"/>
        <color rgb="FFFF0000"/>
        <rFont val="Calibri"/>
        <family val="2"/>
        <charset val="1"/>
      </rPr>
      <t xml:space="preserve">chargé</t>
    </r>
  </si>
  <si>
    <t xml:space="preserve">Supra-légale</t>
  </si>
  <si>
    <t xml:space="preserve">Charges IL+Supra &gt;seuil sociaux</t>
  </si>
  <si>
    <t xml:space="preserve">Congé reclassement (préavis déduit)</t>
  </si>
  <si>
    <t xml:space="preserve">Portabilité Prevoyance Santé et Décès</t>
  </si>
  <si>
    <t xml:space="preserve">Aide à l'embauche 50&lt; X &gt;50</t>
  </si>
  <si>
    <t xml:space="preserve">Fonds formation</t>
  </si>
  <si>
    <t xml:space="preserve">Fonds Mobilité</t>
  </si>
  <si>
    <t xml:space="preserve">Fonds Création / Reprise entreprise</t>
  </si>
  <si>
    <t xml:space="preserve">Revitalisation</t>
  </si>
  <si>
    <t xml:space="preserve">Antenne Emploi + Cellule reclassement</t>
  </si>
  <si>
    <t xml:space="preserve">00013203</t>
  </si>
  <si>
    <t xml:space="preserve">AUTRAND</t>
  </si>
  <si>
    <t xml:space="preserve">Gregory</t>
  </si>
  <si>
    <t xml:space="preserve">M</t>
  </si>
  <si>
    <t xml:space="preserve">m</t>
  </si>
  <si>
    <t xml:space="preserve">O</t>
  </si>
  <si>
    <t xml:space="preserve">Ouvrier</t>
  </si>
  <si>
    <t xml:space="preserve">01003</t>
  </si>
  <si>
    <t xml:space="preserve">U-SHIN FRANCE NEVERS</t>
  </si>
  <si>
    <t xml:space="preserve">00</t>
  </si>
  <si>
    <t xml:space="preserve">CDI</t>
  </si>
  <si>
    <t xml:space="preserve">TA3</t>
  </si>
  <si>
    <t xml:space="preserve">OUVRIER NIV IV TA3</t>
  </si>
  <si>
    <t xml:space="preserve">Niv IV - Coeff 255 à 285</t>
  </si>
  <si>
    <t xml:space="preserve">35</t>
  </si>
  <si>
    <t xml:space="preserve">Ouvrier qualifié</t>
  </si>
  <si>
    <t xml:space="preserve">MNT</t>
  </si>
  <si>
    <t xml:space="preserve">MAINTENANCE</t>
  </si>
  <si>
    <t xml:space="preserve">MNT120</t>
  </si>
  <si>
    <t xml:space="preserve">TECHNICIEN OUTILLAGE</t>
  </si>
  <si>
    <t xml:space="preserve">6 à 10 ans</t>
  </si>
  <si>
    <t xml:space="preserve">Ouvriers</t>
  </si>
  <si>
    <t xml:space="preserve">MOI</t>
  </si>
  <si>
    <t xml:space="preserve">MAINTENANCIER</t>
  </si>
  <si>
    <t xml:space="preserve">09601936</t>
  </si>
  <si>
    <t xml:space="preserve">DESCHAMPS</t>
  </si>
  <si>
    <t xml:space="preserve">Ludovic</t>
  </si>
  <si>
    <t xml:space="preserve">f</t>
  </si>
  <si>
    <t xml:space="preserve">P3</t>
  </si>
  <si>
    <t xml:space="preserve">OUVRIER NIV III P3</t>
  </si>
  <si>
    <t xml:space="preserve">Niv III - Coeff 215 à 240</t>
  </si>
  <si>
    <t xml:space="preserve">MFG</t>
  </si>
  <si>
    <t xml:space="preserve">PRODUCTION</t>
  </si>
  <si>
    <t xml:space="preserve">MFG301</t>
  </si>
  <si>
    <t xml:space="preserve">OPERATEUR DE PRODUCTION</t>
  </si>
  <si>
    <t xml:space="preserve">21 à 30 ans</t>
  </si>
  <si>
    <t xml:space="preserve">MOD</t>
  </si>
  <si>
    <t xml:space="preserve">INVAL</t>
  </si>
  <si>
    <t xml:space="preserve">09901228</t>
  </si>
  <si>
    <t xml:space="preserve">KASKASSIAN</t>
  </si>
  <si>
    <t xml:space="preserve">Alexandra</t>
  </si>
  <si>
    <t xml:space="preserve">F</t>
  </si>
  <si>
    <t xml:space="preserve">P2</t>
  </si>
  <si>
    <t xml:space="preserve">OUVRIER NIV II P2</t>
  </si>
  <si>
    <t xml:space="preserve">Niv II - Coeff 170 à 190</t>
  </si>
  <si>
    <t xml:space="preserve">0 à 5 ans</t>
  </si>
  <si>
    <t xml:space="preserve">FONDERIE</t>
  </si>
  <si>
    <t xml:space="preserve">OPERATEUR-FONDERIE</t>
  </si>
  <si>
    <t xml:space="preserve">09901326</t>
  </si>
  <si>
    <t xml:space="preserve">PERRISSOUD</t>
  </si>
  <si>
    <t xml:space="preserve">Nadia</t>
  </si>
  <si>
    <t xml:space="preserve">E</t>
  </si>
  <si>
    <t xml:space="preserve">Employé</t>
  </si>
  <si>
    <t xml:space="preserve">01001</t>
  </si>
  <si>
    <t xml:space="preserve">U-SHIN FRANCE ABBEVILLE</t>
  </si>
  <si>
    <t xml:space="preserve">ET43</t>
  </si>
  <si>
    <t xml:space="preserve">A/T NIV IV ECH 3</t>
  </si>
  <si>
    <t xml:space="preserve">30</t>
  </si>
  <si>
    <t xml:space="preserve">ETAM</t>
  </si>
  <si>
    <t xml:space="preserve">09600395</t>
  </si>
  <si>
    <t xml:space="preserve">GIRAUD</t>
  </si>
  <si>
    <t xml:space="preserve">Philippe</t>
  </si>
  <si>
    <t xml:space="preserve">TA1</t>
  </si>
  <si>
    <t xml:space="preserve">OUVRIER NIV III TA1</t>
  </si>
  <si>
    <t xml:space="preserve">LOG</t>
  </si>
  <si>
    <t xml:space="preserve">LOGISTIQUE</t>
  </si>
  <si>
    <t xml:space="preserve">LOG201</t>
  </si>
  <si>
    <t xml:space="preserve">OPERATEUR RECEPTION  / EXPEDIT</t>
  </si>
  <si>
    <t xml:space="preserve">LOGISTICIEN</t>
  </si>
  <si>
    <t xml:space="preserve">09601748</t>
  </si>
  <si>
    <t xml:space="preserve">LAGAROSSE</t>
  </si>
  <si>
    <t xml:space="preserve">11 à 20 ans</t>
  </si>
  <si>
    <t xml:space="preserve">09601307</t>
  </si>
  <si>
    <t xml:space="preserve">LETESSIER</t>
  </si>
  <si>
    <t xml:space="preserve">Isabelle</t>
  </si>
  <si>
    <t xml:space="preserve">09601622</t>
  </si>
  <si>
    <t xml:space="preserve">PENETRO</t>
  </si>
  <si>
    <t xml:space="preserve">Daniel</t>
  </si>
  <si>
    <t xml:space="preserve">+ 30 ans</t>
  </si>
  <si>
    <t xml:space="preserve">OPERATEUR</t>
  </si>
  <si>
    <t xml:space="preserve">09601611</t>
  </si>
  <si>
    <t xml:space="preserve">PROMINSKI</t>
  </si>
  <si>
    <t xml:space="preserve">Céline</t>
  </si>
  <si>
    <t xml:space="preserve">C</t>
  </si>
  <si>
    <t xml:space="preserve">Cadre</t>
  </si>
  <si>
    <t xml:space="preserve">CA2</t>
  </si>
  <si>
    <t xml:space="preserve">CADRE POSITION II</t>
  </si>
  <si>
    <t xml:space="preserve">I&amp;C Pos. II</t>
  </si>
  <si>
    <t xml:space="preserve">10</t>
  </si>
  <si>
    <t xml:space="preserve">Ingénieur / Cadre</t>
  </si>
  <si>
    <t xml:space="preserve">MFG023</t>
  </si>
  <si>
    <t xml:space="preserve">SUPERVISEUR DE PRODUCTION</t>
  </si>
  <si>
    <t xml:space="preserve">Cadres</t>
  </si>
  <si>
    <t xml:space="preserve">SUPERVISION PRODUCTION</t>
  </si>
  <si>
    <t xml:space="preserve">00005880</t>
  </si>
  <si>
    <t xml:space="preserve">BEGOUEN</t>
  </si>
  <si>
    <t xml:space="preserve">Olivier</t>
  </si>
  <si>
    <t xml:space="preserve">01002</t>
  </si>
  <si>
    <t xml:space="preserve">U-SHIN FRANCE CRETEIL</t>
  </si>
  <si>
    <t xml:space="preserve">ET41</t>
  </si>
  <si>
    <t xml:space="preserve">A/T NIV IV ECH 1</t>
  </si>
  <si>
    <t xml:space="preserve">HRS</t>
  </si>
  <si>
    <t xml:space="preserve">RESSOURCES HUMAINES</t>
  </si>
  <si>
    <t xml:space="preserve">HRS051</t>
  </si>
  <si>
    <t xml:space="preserve">ADMINISTRATEUR RH</t>
  </si>
  <si>
    <t xml:space="preserve">GENERAL MANAGEMENT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</si>
</sst>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#,##0&quot;    &quot;;#,##0&quot;    &quot;;\-#&quot;    &quot;;\ @\ "/>
    <numFmt numFmtId="167" formatCode="0.00\ %"/>
    <numFmt numFmtId="168" formatCode="d/m/yy"/>
    <numFmt numFmtId="169" formatCode="#,##0.00&quot;    &quot;;#,##0.00&quot;    &quot;;\-#&quot;    &quot;;\ @\ "/>
    <numFmt numFmtId="170" formatCode="dd/mm/yyyy"/>
    <numFmt numFmtId="171" formatCode="0.00;0.00;0.00"/>
    <numFmt numFmtId="172" formatCode="General"/>
    <numFmt numFmtId="173" formatCode="0.####"/>
    <numFmt numFmtId="174" formatCode="#,##0.00"/>
    <numFmt numFmtId="175" formatCode="0.00"/>
    <numFmt numFmtId="176" formatCode="0"/>
    <numFmt numFmtId="177" formatCode="#,##0"/>
  </numFmts>
  <fonts count="3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FF0000"/>
      <name val="Arial"/>
      <family val="2"/>
      <charset val="1"/>
    </font>
    <font>
      <b val="true"/>
      <u val="single"/>
      <sz val="9"/>
      <color rgb="FFFF0000"/>
      <name val="Arial"/>
      <family val="2"/>
      <charset val="1"/>
    </font>
    <font>
      <b val="true"/>
      <sz val="9"/>
      <color rgb="FFFF4000"/>
      <name val="Arial"/>
      <family val="2"/>
      <charset val="1"/>
    </font>
    <font>
      <b val="true"/>
      <sz val="9"/>
      <color rgb="FFC9211E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1"/>
      <color rgb="FFFF4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808080"/>
        <bgColor rgb="FF5175B9"/>
      </patternFill>
    </fill>
    <fill>
      <patternFill patternType="solid">
        <fgColor rgb="FFDDDDDD"/>
        <bgColor rgb="FFCACAD9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5E0B4"/>
      </patternFill>
    </fill>
    <fill>
      <patternFill patternType="solid">
        <fgColor rgb="FFFFFFCC"/>
        <bgColor rgb="FFFFF2CC"/>
      </patternFill>
    </fill>
    <fill>
      <patternFill patternType="solid">
        <fgColor rgb="FFFFFF00"/>
        <bgColor rgb="FFD4EA6B"/>
      </patternFill>
    </fill>
    <fill>
      <patternFill patternType="solid">
        <fgColor rgb="FF1C1C1C"/>
        <bgColor rgb="FF333333"/>
      </patternFill>
    </fill>
    <fill>
      <patternFill patternType="solid">
        <fgColor rgb="FF92D050"/>
        <bgColor rgb="FF81D41A"/>
      </patternFill>
    </fill>
    <fill>
      <patternFill patternType="solid">
        <fgColor rgb="FFFFE699"/>
        <bgColor rgb="FFFFF2CC"/>
      </patternFill>
    </fill>
    <fill>
      <patternFill patternType="solid">
        <fgColor rgb="FFFF860D"/>
        <bgColor rgb="FFFF8000"/>
      </patternFill>
    </fill>
    <fill>
      <patternFill patternType="solid">
        <fgColor rgb="FFFF8000"/>
        <bgColor rgb="FFFF860D"/>
      </patternFill>
    </fill>
    <fill>
      <patternFill patternType="solid">
        <fgColor rgb="FFFFC000"/>
        <bgColor rgb="FFE8A202"/>
      </patternFill>
    </fill>
    <fill>
      <patternFill patternType="solid">
        <fgColor rgb="FFC5E0B4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00A933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rgb="FF5175B9"/>
        <bgColor rgb="FF4472C4"/>
      </patternFill>
    </fill>
    <fill>
      <patternFill patternType="solid">
        <fgColor rgb="FFFF4000"/>
        <bgColor rgb="FFC9211E"/>
      </patternFill>
    </fill>
    <fill>
      <patternFill patternType="solid">
        <fgColor rgb="FFFF0000"/>
        <bgColor rgb="FFCC0000"/>
      </patternFill>
    </fill>
    <fill>
      <patternFill patternType="solid">
        <fgColor rgb="FFD4EA6B"/>
        <bgColor rgb="FFC5E0B4"/>
      </patternFill>
    </fill>
    <fill>
      <patternFill patternType="solid">
        <fgColor rgb="FF4472C4"/>
        <bgColor rgb="FF5175B9"/>
      </patternFill>
    </fill>
    <fill>
      <patternFill patternType="solid">
        <fgColor rgb="FFE8A202"/>
        <bgColor rgb="FFFF860D"/>
      </patternFill>
    </fill>
    <fill>
      <patternFill patternType="solid">
        <fgColor rgb="FFF0F0F4"/>
        <bgColor rgb="FFFFFFFF"/>
      </patternFill>
    </fill>
    <fill>
      <patternFill patternType="solid">
        <fgColor rgb="FFFFF2CC"/>
        <bgColor rgb="FFFFFFCC"/>
      </patternFill>
    </fill>
    <fill>
      <patternFill patternType="solid">
        <fgColor rgb="FFFFFFFF"/>
        <bgColor rgb="FFF0F0F4"/>
      </patternFill>
    </fill>
    <fill>
      <patternFill patternType="solid">
        <fgColor rgb="FFB4C7E7"/>
        <bgColor rgb="FFCAC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2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11" borderId="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17" fillId="0" borderId="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9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17" borderId="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9" borderId="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9" borderId="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1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1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17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3" fillId="1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1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4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5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2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2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1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2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1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9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9" fillId="2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2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1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2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30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9" fillId="27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Result (user)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AC9D9"/>
      <rgbColor rgb="FF808080"/>
      <rgbColor rgb="FFFFF2CC"/>
      <rgbColor rgb="FFFF4000"/>
      <rgbColor rgb="FFFFFFCC"/>
      <rgbColor rgb="FFF0F0F4"/>
      <rgbColor rgb="FF660066"/>
      <rgbColor rgb="FFFF860D"/>
      <rgbColor rgb="FF0066CC"/>
      <rgbColor rgb="FFCACAD9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B4C7E7"/>
      <rgbColor rgb="FFFFCCCC"/>
      <rgbColor rgb="FFC5E0B4"/>
      <rgbColor rgb="FFF8CBAD"/>
      <rgbColor rgb="FF4472C4"/>
      <rgbColor rgb="FF33CCCC"/>
      <rgbColor rgb="FF81D41A"/>
      <rgbColor rgb="FFFFC000"/>
      <rgbColor rgb="FFE8A202"/>
      <rgbColor rgb="FFFF8000"/>
      <rgbColor rgb="FF5175B9"/>
      <rgbColor rgb="FF92D050"/>
      <rgbColor rgb="FF003366"/>
      <rgbColor rgb="FF00A933"/>
      <rgbColor rgb="FF003300"/>
      <rgbColor rgb="FF1C1C1C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home/soltana/Bureau/USHIN-EVAL%20soltan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dres"/>
      <sheetName val="NCAD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G1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1" ySplit="0" topLeftCell="B4" activePane="topRight" state="frozen"/>
      <selection pane="topLeft" activeCell="A4" activeCellId="0" sqref="A4"/>
      <selection pane="topRight" activeCell="H22" activeCellId="0" sqref="H22"/>
    </sheetView>
  </sheetViews>
  <sheetFormatPr defaultColWidth="10.609375" defaultRowHeight="13.8" zeroHeight="false" outlineLevelRow="0" outlineLevelCol="0"/>
  <cols>
    <col collapsed="false" customWidth="true" hidden="false" outlineLevel="0" max="8" min="8" style="0" width="12.75"/>
    <col collapsed="false" customWidth="true" hidden="false" outlineLevel="0" max="13" min="13" style="0" width="21.13"/>
    <col collapsed="false" customWidth="true" hidden="false" outlineLevel="0" max="19" min="19" style="0" width="15"/>
    <col collapsed="false" customWidth="true" hidden="false" outlineLevel="0" max="20" min="20" style="0" width="16.87"/>
  </cols>
  <sheetData>
    <row r="1" customFormat="false" ht="68.65" hidden="false" customHeight="false" outlineLevel="0" collapsed="false">
      <c r="A1" s="1"/>
      <c r="B1" s="1"/>
      <c r="C1" s="1"/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  <c r="AJ1" s="3"/>
      <c r="AK1" s="3" t="s">
        <v>0</v>
      </c>
      <c r="AL1" s="3"/>
      <c r="AM1" s="3"/>
      <c r="AN1" s="4" t="s">
        <v>1</v>
      </c>
      <c r="AO1" s="5"/>
      <c r="AP1" s="5"/>
      <c r="AQ1" s="5"/>
      <c r="AR1" s="5"/>
      <c r="AS1" s="5"/>
      <c r="AT1" s="5"/>
      <c r="AU1" s="5"/>
      <c r="AV1" s="6"/>
      <c r="AW1" s="5"/>
      <c r="AX1" s="5"/>
      <c r="AY1" s="5"/>
      <c r="AZ1" s="5"/>
      <c r="BA1" s="7"/>
      <c r="BB1" s="7"/>
      <c r="BC1" s="5"/>
      <c r="BD1" s="5"/>
      <c r="BE1" s="5"/>
      <c r="BF1" s="5"/>
      <c r="BG1" s="5"/>
      <c r="BH1" s="6"/>
      <c r="BI1" s="5"/>
      <c r="BJ1" s="5"/>
      <c r="BK1" s="8"/>
      <c r="BL1" s="9"/>
      <c r="BM1" s="9"/>
      <c r="BN1" s="9"/>
      <c r="BO1" s="9"/>
      <c r="BP1" s="9"/>
      <c r="BQ1" s="9"/>
      <c r="BR1" s="9"/>
      <c r="BS1" s="9"/>
      <c r="BT1" s="9"/>
      <c r="BU1" s="9"/>
      <c r="BV1" s="10" t="s">
        <v>2</v>
      </c>
      <c r="BW1" s="11" t="n">
        <v>0</v>
      </c>
      <c r="BX1" s="11" t="n">
        <v>3428</v>
      </c>
      <c r="BY1" s="11" t="n">
        <v>0.75</v>
      </c>
      <c r="BZ1" s="11" t="n">
        <v>3.5</v>
      </c>
      <c r="CA1" s="11" t="n">
        <v>1000</v>
      </c>
      <c r="CB1" s="11" t="n">
        <v>6000</v>
      </c>
      <c r="CC1" s="11" t="n">
        <v>2000</v>
      </c>
      <c r="CD1" s="11" t="n">
        <v>2000</v>
      </c>
      <c r="CE1" s="11" t="n">
        <v>10</v>
      </c>
      <c r="CF1" s="11" t="n">
        <v>5000</v>
      </c>
    </row>
    <row r="2" customFormat="false" ht="15" hidden="false" customHeight="true" outlineLevel="0" collapsed="false">
      <c r="A2" s="12"/>
      <c r="B2" s="13" t="e">
        <f aca="false">SUM(BT3:CF3)</f>
        <v>#N/A</v>
      </c>
      <c r="C2" s="14"/>
      <c r="D2" s="14"/>
      <c r="E2" s="12"/>
      <c r="G2" s="12"/>
      <c r="H2" s="12"/>
      <c r="I2" s="12"/>
      <c r="J2" s="12"/>
      <c r="K2" s="12"/>
      <c r="L2" s="15"/>
      <c r="M2" s="16"/>
      <c r="N2" s="15"/>
      <c r="O2" s="15"/>
      <c r="P2" s="15"/>
      <c r="Q2" s="15"/>
      <c r="R2" s="15"/>
      <c r="S2" s="15"/>
      <c r="T2" s="15"/>
      <c r="U2" s="15"/>
      <c r="V2" s="15"/>
      <c r="W2" s="15"/>
      <c r="X2" s="17"/>
      <c r="Y2" s="17"/>
      <c r="Z2" s="17"/>
      <c r="AA2" s="17"/>
      <c r="AB2" s="17"/>
      <c r="AC2" s="12"/>
      <c r="AD2" s="12"/>
      <c r="AE2" s="12"/>
      <c r="AF2" s="12"/>
      <c r="AG2" s="12"/>
      <c r="AH2" s="12"/>
      <c r="AI2" s="12"/>
      <c r="AJ2" s="12"/>
      <c r="AK2" s="12" t="e">
        <f aca="false">B2/BD2</f>
        <v>#N/A</v>
      </c>
      <c r="AL2" s="12"/>
      <c r="AM2" s="12"/>
      <c r="AN2" s="12"/>
      <c r="AO2" s="18" t="e">
        <f aca="false">B2/13</f>
        <v>#N/A</v>
      </c>
      <c r="AP2" s="18"/>
      <c r="AQ2" s="18"/>
      <c r="AR2" s="18"/>
      <c r="AS2" s="18"/>
      <c r="AT2" s="18"/>
      <c r="AU2" s="12"/>
      <c r="AV2" s="12"/>
      <c r="AW2" s="19" t="s">
        <v>3</v>
      </c>
      <c r="AX2" s="19"/>
      <c r="AY2" s="19"/>
      <c r="AZ2" s="19"/>
      <c r="BA2" s="20" t="s">
        <v>4</v>
      </c>
      <c r="BB2" s="20"/>
      <c r="BC2" s="20"/>
      <c r="BD2" s="21" t="n">
        <f aca="false">BD3*1.5</f>
        <v>643285.5</v>
      </c>
      <c r="BE2" s="22"/>
      <c r="BF2" s="22"/>
      <c r="BG2" s="22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23" t="e">
        <f aca="false">B2-BU3-BV3-CE3-CF3</f>
        <v>#N/A</v>
      </c>
      <c r="BV2" s="24" t="s">
        <v>5</v>
      </c>
      <c r="BW2" s="25" t="n">
        <v>1000</v>
      </c>
      <c r="BX2" s="26" t="n">
        <v>24</v>
      </c>
      <c r="BY2" s="25" t="n">
        <v>12</v>
      </c>
      <c r="BZ2" s="9"/>
      <c r="CA2" s="27" t="n">
        <v>2000</v>
      </c>
      <c r="CB2" s="9"/>
      <c r="CC2" s="9"/>
      <c r="CD2" s="9"/>
      <c r="CE2" s="26" t="n">
        <v>4.5</v>
      </c>
      <c r="CF2" s="9"/>
    </row>
    <row r="3" customFormat="false" ht="14.15" hidden="false" customHeight="false" outlineLevel="0" collapsed="false">
      <c r="A3" s="12"/>
      <c r="B3" s="28" t="e">
        <f aca="false">B2/BD2</f>
        <v>#N/A</v>
      </c>
      <c r="C3" s="28"/>
      <c r="D3" s="28"/>
      <c r="E3" s="12"/>
      <c r="G3" s="12"/>
      <c r="H3" s="12"/>
      <c r="I3" s="12"/>
      <c r="J3" s="12"/>
      <c r="K3" s="12"/>
      <c r="L3" s="15"/>
      <c r="M3" s="16"/>
      <c r="N3" s="15"/>
      <c r="O3" s="15"/>
      <c r="P3" s="15"/>
      <c r="Q3" s="15"/>
      <c r="R3" s="15"/>
      <c r="S3" s="15"/>
      <c r="T3" s="15"/>
      <c r="U3" s="15"/>
      <c r="V3" s="15"/>
      <c r="W3" s="15"/>
      <c r="X3" s="12"/>
      <c r="Y3" s="12"/>
      <c r="Z3" s="12" t="n">
        <f aca="false">SUBTOTAL(3,Z5:Z594)</f>
        <v>10</v>
      </c>
      <c r="AA3" s="12"/>
      <c r="AB3" s="12"/>
      <c r="AC3" s="12"/>
      <c r="AD3" s="12"/>
      <c r="AE3" s="12"/>
      <c r="AF3" s="12"/>
      <c r="AG3" s="12"/>
      <c r="AH3" s="12"/>
      <c r="AI3" s="12"/>
      <c r="AJ3" s="17"/>
      <c r="AK3" s="17"/>
      <c r="AL3" s="17"/>
      <c r="AM3" s="17"/>
      <c r="AN3" s="17"/>
      <c r="AO3" s="12"/>
      <c r="AP3" s="12"/>
      <c r="AQ3" s="12"/>
      <c r="AR3" s="12"/>
      <c r="AS3" s="12"/>
      <c r="AT3" s="12"/>
      <c r="AU3" s="12"/>
      <c r="AV3" s="12"/>
      <c r="AW3" s="29" t="n">
        <v>44561</v>
      </c>
      <c r="AX3" s="29"/>
      <c r="AY3" s="29"/>
      <c r="AZ3" s="29"/>
      <c r="BA3" s="20" t="s">
        <v>6</v>
      </c>
      <c r="BB3" s="20"/>
      <c r="BC3" s="30" t="n">
        <f aca="false">SUBTOTAL(9,BC5:BC581)</f>
        <v>8</v>
      </c>
      <c r="BD3" s="30" t="n">
        <f aca="false">SUBTOTAL(9,BD5:BD581)</f>
        <v>428857</v>
      </c>
      <c r="BE3" s="31"/>
      <c r="BF3" s="31"/>
      <c r="BG3" s="31"/>
      <c r="BH3" s="9"/>
      <c r="BI3" s="30" t="n">
        <f aca="false">SUBTOTAL(9,BI5:BI581)</f>
        <v>4</v>
      </c>
      <c r="BJ3" s="30" t="n">
        <f aca="false">SUBTOTAL(9,BJ5:BJ581)</f>
        <v>1</v>
      </c>
      <c r="BK3" s="30" t="n">
        <f aca="false">SUBTOTAL(9,BK5:BK581)</f>
        <v>5</v>
      </c>
      <c r="BL3" s="30" t="e">
        <f aca="false">SUBTOTAL(9,BL5:BL581)</f>
        <v>#N/A</v>
      </c>
      <c r="BM3" s="30" t="e">
        <f aca="false">SUBTOTAL(9,BM5:BM581)</f>
        <v>#N/A</v>
      </c>
      <c r="BN3" s="30" t="e">
        <f aca="false">SUBTOTAL(9,BN5:BN581)</f>
        <v>#N/A</v>
      </c>
      <c r="BO3" s="30" t="e">
        <f aca="false">SUBTOTAL(9,BO5:BO581)</f>
        <v>#N/A</v>
      </c>
      <c r="BP3" s="30" t="n">
        <f aca="false">SUBTOTAL(9,BP5:BP581)</f>
        <v>21</v>
      </c>
      <c r="BQ3" s="30" t="e">
        <f aca="false">SUBTOTAL(9,BQ5:BQ581)</f>
        <v>#N/A</v>
      </c>
      <c r="BR3" s="32" t="n">
        <f aca="false">SUBTOTAL(9,BR5:BR581)</f>
        <v>223213.12962963</v>
      </c>
      <c r="BS3" s="32" t="e">
        <f aca="false">SUBTOTAL(9,BS5:BS581)</f>
        <v>#N/A</v>
      </c>
      <c r="BT3" s="32" t="e">
        <f aca="false">SUBTOTAL(9,BT5:BT581)</f>
        <v>#N/A</v>
      </c>
      <c r="BU3" s="33" t="n">
        <f aca="false">SUBTOTAL(9,BU5:BU581)</f>
        <v>64328.55</v>
      </c>
      <c r="BV3" s="34" t="n">
        <f aca="false">SUBTOTAL(9,BV5:BV581)</f>
        <v>107214.25</v>
      </c>
      <c r="BW3" s="30" t="n">
        <f aca="false">SUBTOTAL(9,BW5:BW581)</f>
        <v>154466.803559206</v>
      </c>
      <c r="BX3" s="30" t="e">
        <f aca="false">SUBTOTAL(9,BX5:BX581)</f>
        <v>#N/A</v>
      </c>
      <c r="BY3" s="30" t="n">
        <f aca="false">SUBTOTAL(9,BY5:BY581)</f>
        <v>335044.53125</v>
      </c>
      <c r="BZ3" s="30" t="n">
        <f aca="false">SUBTOTAL(9,BZ5:BZ581)</f>
        <v>15009.995</v>
      </c>
      <c r="CA3" s="30" t="n">
        <f aca="false">SUBTOTAL(9,CA5:CA581)</f>
        <v>12000</v>
      </c>
      <c r="CB3" s="30" t="n">
        <f aca="false">SUBTOTAL(9,CB5:CB581)</f>
        <v>48000</v>
      </c>
      <c r="CC3" s="30" t="n">
        <f aca="false">SUBTOTAL(9,CC5:CC581)</f>
        <v>16000</v>
      </c>
      <c r="CD3" s="30" t="n">
        <f aca="false">SUBTOTAL(9,CD5:CD581)</f>
        <v>16000</v>
      </c>
      <c r="CE3" s="35" t="n">
        <f aca="false">SUBTOTAL(9,CE5:CE581)</f>
        <v>54601.2</v>
      </c>
      <c r="CF3" s="36" t="n">
        <f aca="false">SUBTOTAL(9,CF5:CF581)</f>
        <v>40000</v>
      </c>
    </row>
    <row r="4" customFormat="false" ht="100.7" hidden="false" customHeight="false" outlineLevel="0" collapsed="false">
      <c r="A4" s="37" t="s">
        <v>7</v>
      </c>
      <c r="B4" s="37" t="s">
        <v>8</v>
      </c>
      <c r="C4" s="37" t="s">
        <v>9</v>
      </c>
      <c r="D4" s="38" t="s">
        <v>10</v>
      </c>
      <c r="E4" s="39" t="s">
        <v>11</v>
      </c>
      <c r="F4" s="0" t="s">
        <v>12</v>
      </c>
      <c r="G4" s="40" t="s">
        <v>13</v>
      </c>
      <c r="H4" s="40" t="s">
        <v>14</v>
      </c>
      <c r="I4" s="41" t="s">
        <v>15</v>
      </c>
      <c r="J4" s="41" t="s">
        <v>16</v>
      </c>
      <c r="K4" s="41" t="s">
        <v>17</v>
      </c>
      <c r="L4" s="42" t="s">
        <v>18</v>
      </c>
      <c r="M4" s="42" t="s">
        <v>19</v>
      </c>
      <c r="N4" s="43" t="s">
        <v>20</v>
      </c>
      <c r="O4" s="44" t="s">
        <v>21</v>
      </c>
      <c r="P4" s="45" t="s">
        <v>22</v>
      </c>
      <c r="Q4" s="45" t="s">
        <v>23</v>
      </c>
      <c r="R4" s="46" t="s">
        <v>24</v>
      </c>
      <c r="S4" s="46" t="s">
        <v>25</v>
      </c>
      <c r="T4" s="46" t="s">
        <v>26</v>
      </c>
      <c r="U4" s="47" t="s">
        <v>27</v>
      </c>
      <c r="V4" s="48" t="s">
        <v>28</v>
      </c>
      <c r="W4" s="48" t="s">
        <v>29</v>
      </c>
      <c r="X4" s="46" t="s">
        <v>30</v>
      </c>
      <c r="Y4" s="46" t="s">
        <v>31</v>
      </c>
      <c r="Z4" s="46" t="s">
        <v>32</v>
      </c>
      <c r="AA4" s="46" t="s">
        <v>33</v>
      </c>
      <c r="AB4" s="7" t="s">
        <v>34</v>
      </c>
      <c r="AC4" s="49" t="s">
        <v>35</v>
      </c>
      <c r="AD4" s="50" t="s">
        <v>36</v>
      </c>
      <c r="AE4" s="51" t="s">
        <v>37</v>
      </c>
      <c r="AF4" s="51" t="s">
        <v>38</v>
      </c>
      <c r="AG4" s="51" t="s">
        <v>39</v>
      </c>
      <c r="AH4" s="51" t="s">
        <v>40</v>
      </c>
      <c r="AI4" s="52" t="s">
        <v>41</v>
      </c>
      <c r="AJ4" s="53" t="s">
        <v>42</v>
      </c>
      <c r="AK4" s="39" t="s">
        <v>43</v>
      </c>
      <c r="AL4" s="39" t="s">
        <v>44</v>
      </c>
      <c r="AM4" s="39" t="s">
        <v>45</v>
      </c>
      <c r="AN4" s="39" t="s">
        <v>46</v>
      </c>
      <c r="AO4" s="53" t="s">
        <v>47</v>
      </c>
      <c r="AP4" s="53" t="s">
        <v>48</v>
      </c>
      <c r="AQ4" s="53" t="s">
        <v>49</v>
      </c>
      <c r="AR4" s="53" t="s">
        <v>50</v>
      </c>
      <c r="AS4" s="53" t="s">
        <v>51</v>
      </c>
      <c r="AT4" s="53" t="s">
        <v>52</v>
      </c>
      <c r="AU4" s="54" t="s">
        <v>53</v>
      </c>
      <c r="AV4" s="55" t="s">
        <v>54</v>
      </c>
      <c r="AW4" s="56" t="s">
        <v>55</v>
      </c>
      <c r="AX4" s="57" t="s">
        <v>56</v>
      </c>
      <c r="AY4" s="57" t="s">
        <v>57</v>
      </c>
      <c r="AZ4" s="56" t="s">
        <v>58</v>
      </c>
      <c r="BA4" s="58" t="s">
        <v>59</v>
      </c>
      <c r="BB4" s="58" t="s">
        <v>60</v>
      </c>
      <c r="BC4" s="59" t="s">
        <v>61</v>
      </c>
      <c r="BD4" s="60" t="s">
        <v>62</v>
      </c>
      <c r="BE4" s="57" t="s">
        <v>63</v>
      </c>
      <c r="BF4" s="56" t="s">
        <v>64</v>
      </c>
      <c r="BG4" s="56" t="s">
        <v>65</v>
      </c>
      <c r="BH4" s="56" t="s">
        <v>66</v>
      </c>
      <c r="BI4" s="57" t="s">
        <v>67</v>
      </c>
      <c r="BJ4" s="57" t="s">
        <v>68</v>
      </c>
      <c r="BK4" s="57" t="s">
        <v>69</v>
      </c>
      <c r="BL4" s="57" t="s">
        <v>67</v>
      </c>
      <c r="BM4" s="57" t="s">
        <v>68</v>
      </c>
      <c r="BN4" s="57" t="s">
        <v>69</v>
      </c>
      <c r="BO4" s="57" t="s">
        <v>70</v>
      </c>
      <c r="BP4" s="57" t="s">
        <v>71</v>
      </c>
      <c r="BQ4" s="57" t="s">
        <v>72</v>
      </c>
      <c r="BR4" s="57" t="s">
        <v>73</v>
      </c>
      <c r="BS4" s="57" t="s">
        <v>74</v>
      </c>
      <c r="BT4" s="57" t="s">
        <v>75</v>
      </c>
      <c r="BU4" s="57" t="s">
        <v>76</v>
      </c>
      <c r="BV4" s="57" t="s">
        <v>77</v>
      </c>
      <c r="BW4" s="57" t="s">
        <v>78</v>
      </c>
      <c r="BX4" s="57" t="s">
        <v>79</v>
      </c>
      <c r="BY4" s="57" t="s">
        <v>80</v>
      </c>
      <c r="BZ4" s="57" t="s">
        <v>81</v>
      </c>
      <c r="CA4" s="57" t="s">
        <v>82</v>
      </c>
      <c r="CB4" s="57" t="s">
        <v>83</v>
      </c>
      <c r="CC4" s="57" t="s">
        <v>84</v>
      </c>
      <c r="CD4" s="57" t="s">
        <v>85</v>
      </c>
      <c r="CE4" s="57" t="s">
        <v>86</v>
      </c>
      <c r="CF4" s="57" t="s">
        <v>87</v>
      </c>
      <c r="CG4" s="61"/>
    </row>
    <row r="5" customFormat="false" ht="26.85" hidden="false" customHeight="false" outlineLevel="0" collapsed="false">
      <c r="A5" s="62" t="s">
        <v>88</v>
      </c>
      <c r="B5" s="62" t="s">
        <v>89</v>
      </c>
      <c r="C5" s="62" t="s">
        <v>90</v>
      </c>
      <c r="D5" s="62"/>
      <c r="E5" s="62" t="s">
        <v>91</v>
      </c>
      <c r="F5" s="0" t="s">
        <v>92</v>
      </c>
      <c r="G5" s="63" t="s">
        <v>93</v>
      </c>
      <c r="H5" s="63" t="s">
        <v>94</v>
      </c>
      <c r="I5" s="64" t="n">
        <v>41852</v>
      </c>
      <c r="J5" s="64"/>
      <c r="K5" s="64" t="n">
        <v>23217</v>
      </c>
      <c r="L5" s="62" t="s">
        <v>95</v>
      </c>
      <c r="M5" s="62" t="s">
        <v>96</v>
      </c>
      <c r="N5" s="62" t="s">
        <v>97</v>
      </c>
      <c r="O5" s="62" t="s">
        <v>98</v>
      </c>
      <c r="P5" s="62" t="s">
        <v>97</v>
      </c>
      <c r="Q5" s="62" t="s">
        <v>98</v>
      </c>
      <c r="R5" s="62" t="s">
        <v>99</v>
      </c>
      <c r="S5" s="62" t="s">
        <v>100</v>
      </c>
      <c r="T5" s="62" t="s">
        <v>101</v>
      </c>
      <c r="U5" s="65" t="n">
        <v>270</v>
      </c>
      <c r="V5" s="62" t="s">
        <v>102</v>
      </c>
      <c r="W5" s="62" t="s">
        <v>103</v>
      </c>
      <c r="X5" s="62" t="s">
        <v>104</v>
      </c>
      <c r="Y5" s="62" t="s">
        <v>105</v>
      </c>
      <c r="Z5" s="62" t="s">
        <v>106</v>
      </c>
      <c r="AA5" s="62" t="s">
        <v>107</v>
      </c>
      <c r="AB5" s="62"/>
      <c r="AC5" s="66" t="n">
        <v>6.01</v>
      </c>
      <c r="AD5" s="62" t="s">
        <v>108</v>
      </c>
      <c r="AE5" s="65" t="n">
        <v>4400</v>
      </c>
      <c r="AF5" s="67" t="n">
        <f aca="false">AE5/AH5</f>
        <v>4400</v>
      </c>
      <c r="AG5" s="65" t="n">
        <f aca="false">AF5*AN5</f>
        <v>57200</v>
      </c>
      <c r="AH5" s="68" t="n">
        <v>1</v>
      </c>
      <c r="AI5" s="68"/>
      <c r="AJ5" s="12" t="s">
        <v>109</v>
      </c>
      <c r="AK5" s="12"/>
      <c r="AL5" s="12"/>
      <c r="AM5" s="12"/>
      <c r="AN5" s="12" t="n">
        <v>13</v>
      </c>
      <c r="AO5" s="69" t="n">
        <f aca="false">AE5*AN5</f>
        <v>57200</v>
      </c>
      <c r="AP5" s="70" t="s">
        <v>110</v>
      </c>
      <c r="AQ5" s="70" t="n">
        <v>8</v>
      </c>
      <c r="AR5" s="70"/>
      <c r="AS5" s="70"/>
      <c r="AT5" s="70"/>
      <c r="AU5" s="12" t="s">
        <v>111</v>
      </c>
      <c r="AV5" s="12"/>
      <c r="AW5" s="71" t="n">
        <f aca="false">($AW$3-I5)/365.25</f>
        <v>7.41683778234086</v>
      </c>
      <c r="AX5" s="72" t="n">
        <f aca="false">ROUNDDOWN(AW5,0)</f>
        <v>7</v>
      </c>
      <c r="AY5" s="72" t="n">
        <f aca="false">ROUNDDOWN(((AW5-AX5)*12),0)</f>
        <v>5</v>
      </c>
      <c r="AZ5" s="71" t="n">
        <f aca="false">($AW$3-K5)/365</f>
        <v>58.4767123287671</v>
      </c>
      <c r="BA5" s="12"/>
      <c r="BB5" s="12"/>
      <c r="BC5" s="12" t="n">
        <v>1</v>
      </c>
      <c r="BD5" s="9" t="n">
        <f aca="false">IF(BC5=1,AG5,0)</f>
        <v>57200</v>
      </c>
      <c r="BE5" s="73" t="e">
        <f aca="false">BU5+BU5/2+BW5-BX5/2</f>
        <v>#N/A</v>
      </c>
      <c r="BF5" s="73"/>
      <c r="BG5" s="73"/>
      <c r="BH5" s="9" t="s">
        <v>93</v>
      </c>
      <c r="BI5" s="9" t="n">
        <f aca="false">IF(AZ5&lt;50,1,0)</f>
        <v>0</v>
      </c>
      <c r="BJ5" s="9" t="n">
        <f aca="false">IF(BI5=1,0,IF(AZ5&lt;55,1,0))</f>
        <v>0</v>
      </c>
      <c r="BK5" s="9" t="n">
        <f aca="false">IF(AZ5&gt;55,1,0)</f>
        <v>1</v>
      </c>
      <c r="BL5" s="9" t="n">
        <f aca="false">IF(BH5="C",VLOOKUP(ABS(AW5),[1]Cadres!$A$3:$B$43,2)*BI5,0)</f>
        <v>0</v>
      </c>
      <c r="BM5" s="9" t="n">
        <f aca="false">IF(BH5="C",VLOOKUP(ABS(AW5),[1]Cadres!$D$3:$E$43,2)*BJ5,0)</f>
        <v>0</v>
      </c>
      <c r="BN5" s="9" t="n">
        <f aca="false">IF(BH5="C",VLOOKUP(ABS(AW5),[1]Cadres!$G$3:$H$43,2)*BK5,0)</f>
        <v>0</v>
      </c>
      <c r="BO5" s="9" t="e">
        <f aca="false">IF(BH5&lt;&gt;"C",VLOOKUP(ABS(AW5),[1]NCAD!$B$2:$C$56,2),0)</f>
        <v>#N/A</v>
      </c>
      <c r="BP5" s="74" t="n">
        <f aca="false">IF(BH5="C",3,2)</f>
        <v>2</v>
      </c>
      <c r="BQ5" s="9" t="n">
        <f aca="false">IF(BM5&gt;0,IF(AW5&gt;5,3,IF(AW5&gt;1,1,0)),IF(BN5&gt;0,3,IF(U5&gt;300,1,0)))</f>
        <v>0</v>
      </c>
      <c r="BR5" s="75" t="n">
        <f aca="false">IF(AX5&lt;10,(AX5+AY5/12)*BD5/48,(10*BD5/48+((AX5-10+AY5/12)*BD5/36)))</f>
        <v>8838.19444444445</v>
      </c>
      <c r="BS5" s="74" t="e">
        <f aca="false">SUM(BL5:BO5)*BD5/12</f>
        <v>#N/A</v>
      </c>
      <c r="BT5" s="74" t="e">
        <f aca="false">IF(BC5=1,IF(BR5&gt;BS5,BR5,BS5),0)</f>
        <v>#N/A</v>
      </c>
      <c r="BU5" s="74" t="n">
        <f aca="false">IF(BC5=1,BD5*1.5/10,0)</f>
        <v>8580</v>
      </c>
      <c r="BV5" s="74" t="n">
        <f aca="false">IF(BC5=1,(BP5+BQ5)*BD5*1.5/12,0)</f>
        <v>14300</v>
      </c>
      <c r="BW5" s="74" t="n">
        <f aca="false">IF(BC5=1,$BW$2*ABS(AW5)+$BW$1,0)</f>
        <v>7416.83778234086</v>
      </c>
      <c r="BX5" s="74" t="e">
        <f aca="false">IF(BC5=1,IF(((BW5+BS5)&gt;($BX$1*$BX$2)),((BW5+BS5)-($BX$1*$BX$2))*0.5,0),0)</f>
        <v>#N/A</v>
      </c>
      <c r="BY5" s="74" t="n">
        <f aca="false">IF(BC5=1,($BY$2-BP5-BQ5)*$BY$1*1.25*BD5/12,0)</f>
        <v>44687.5</v>
      </c>
      <c r="BZ5" s="74" t="n">
        <f aca="false">IF(BC5=1,BD5*$BZ$1/100,0)</f>
        <v>2002</v>
      </c>
      <c r="CA5" s="74" t="n">
        <f aca="false">IF(BC5=1,IF(AZ5&lt;50,$CA$1,$CA$2),0)</f>
        <v>2000</v>
      </c>
      <c r="CB5" s="74" t="n">
        <f aca="false">IF(BC5=1,$CB$1,0)</f>
        <v>6000</v>
      </c>
      <c r="CC5" s="74" t="n">
        <f aca="false">IF(BC5=1,$CC$1,0)</f>
        <v>2000</v>
      </c>
      <c r="CD5" s="74" t="n">
        <f aca="false">IF(BC5=1,$CD$1,0)</f>
        <v>2000</v>
      </c>
      <c r="CE5" s="74" t="n">
        <f aca="false">IF(BC5=1,$CE$1*$CE$2*151.67,0)</f>
        <v>6825.15</v>
      </c>
      <c r="CF5" s="74" t="n">
        <f aca="false">IF(BC5=1,$CF$1,0)</f>
        <v>5000</v>
      </c>
    </row>
    <row r="6" customFormat="false" ht="14.15" hidden="false" customHeight="false" outlineLevel="0" collapsed="false">
      <c r="A6" s="76" t="s">
        <v>112</v>
      </c>
      <c r="B6" s="62" t="s">
        <v>113</v>
      </c>
      <c r="C6" s="62" t="s">
        <v>114</v>
      </c>
      <c r="D6" s="76"/>
      <c r="E6" s="62" t="s">
        <v>91</v>
      </c>
      <c r="F6" s="0" t="s">
        <v>115</v>
      </c>
      <c r="G6" s="63" t="s">
        <v>93</v>
      </c>
      <c r="H6" s="63" t="s">
        <v>94</v>
      </c>
      <c r="I6" s="77" t="n">
        <v>36557</v>
      </c>
      <c r="J6" s="77"/>
      <c r="K6" s="77" t="n">
        <v>22522</v>
      </c>
      <c r="L6" s="76" t="s">
        <v>95</v>
      </c>
      <c r="M6" s="76" t="s">
        <v>96</v>
      </c>
      <c r="N6" s="76" t="s">
        <v>97</v>
      </c>
      <c r="O6" s="76" t="s">
        <v>98</v>
      </c>
      <c r="P6" s="76" t="s">
        <v>97</v>
      </c>
      <c r="Q6" s="76" t="s">
        <v>98</v>
      </c>
      <c r="R6" s="76" t="s">
        <v>116</v>
      </c>
      <c r="S6" s="76" t="s">
        <v>117</v>
      </c>
      <c r="T6" s="76" t="s">
        <v>118</v>
      </c>
      <c r="U6" s="78" t="n">
        <v>215</v>
      </c>
      <c r="V6" s="76" t="s">
        <v>102</v>
      </c>
      <c r="W6" s="76" t="s">
        <v>103</v>
      </c>
      <c r="X6" s="76" t="s">
        <v>119</v>
      </c>
      <c r="Y6" s="76" t="s">
        <v>120</v>
      </c>
      <c r="Z6" s="76" t="s">
        <v>121</v>
      </c>
      <c r="AA6" s="76" t="s">
        <v>122</v>
      </c>
      <c r="AB6" s="76"/>
      <c r="AC6" s="79" t="n">
        <v>20.07</v>
      </c>
      <c r="AD6" s="76" t="s">
        <v>123</v>
      </c>
      <c r="AE6" s="65" t="n">
        <v>2920</v>
      </c>
      <c r="AF6" s="67" t="n">
        <f aca="false">AE6/AH6</f>
        <v>2920</v>
      </c>
      <c r="AG6" s="65" t="n">
        <f aca="false">AF6*AN6</f>
        <v>37960</v>
      </c>
      <c r="AH6" s="80" t="n">
        <v>1</v>
      </c>
      <c r="AI6" s="80"/>
      <c r="AJ6" s="12" t="s">
        <v>109</v>
      </c>
      <c r="AK6" s="12"/>
      <c r="AL6" s="12"/>
      <c r="AM6" s="12"/>
      <c r="AN6" s="12" t="n">
        <v>13</v>
      </c>
      <c r="AO6" s="69" t="n">
        <f aca="false">AE6*AN6</f>
        <v>37960</v>
      </c>
      <c r="AP6" s="70" t="s">
        <v>124</v>
      </c>
      <c r="AQ6" s="81" t="n">
        <v>8</v>
      </c>
      <c r="AR6" s="81"/>
      <c r="AS6" s="81"/>
      <c r="AT6" s="81"/>
      <c r="AU6" s="12" t="s">
        <v>125</v>
      </c>
      <c r="AV6" s="12"/>
      <c r="AW6" s="71" t="n">
        <f aca="false">($AW$3-I6)/365.25</f>
        <v>21.9137577002053</v>
      </c>
      <c r="AX6" s="72" t="n">
        <f aca="false">ROUNDDOWN(AW6,0)</f>
        <v>21</v>
      </c>
      <c r="AY6" s="72" t="n">
        <f aca="false">ROUNDDOWN(((AW6-AX6)*12),0)</f>
        <v>10</v>
      </c>
      <c r="AZ6" s="71" t="n">
        <f aca="false">($AW$3-K6)/365</f>
        <v>60.3808219178082</v>
      </c>
      <c r="BA6" s="12"/>
      <c r="BB6" s="12"/>
      <c r="BC6" s="12" t="n">
        <v>1</v>
      </c>
      <c r="BD6" s="9" t="n">
        <f aca="false">IF(BC6=1,AG6,0)</f>
        <v>37960</v>
      </c>
      <c r="BE6" s="73" t="e">
        <f aca="false">BU6+BU6/2+BW6-BX6/2</f>
        <v>#N/A</v>
      </c>
      <c r="BF6" s="73"/>
      <c r="BG6" s="73"/>
      <c r="BH6" s="9" t="s">
        <v>93</v>
      </c>
      <c r="BI6" s="9" t="n">
        <f aca="false">IF(AZ6&lt;50,1,0)</f>
        <v>0</v>
      </c>
      <c r="BJ6" s="9" t="n">
        <f aca="false">IF(BI6=1,0,IF(AZ6&lt;55,1,0))</f>
        <v>0</v>
      </c>
      <c r="BK6" s="9" t="n">
        <f aca="false">IF(AZ6&gt;55,1,0)</f>
        <v>1</v>
      </c>
      <c r="BL6" s="9" t="n">
        <f aca="false">IF(BH6="C",VLOOKUP(ABS(AW6),[1]Cadres!$A$3:$B$43,2)*BI6,0)</f>
        <v>0</v>
      </c>
      <c r="BM6" s="9" t="n">
        <f aca="false">IF(BH6="C",VLOOKUP(ABS(AW6),[1]Cadres!$D$3:$E$43,2)*BJ6,0)</f>
        <v>0</v>
      </c>
      <c r="BN6" s="9" t="n">
        <f aca="false">IF(BH6="C",VLOOKUP(ABS(AW6),[1]Cadres!$G$3:$H$43,2)*BK6,0)</f>
        <v>0</v>
      </c>
      <c r="BO6" s="9" t="e">
        <f aca="false">IF(BH6&lt;&gt;"C",VLOOKUP(ABS(AW6),[1]NCAD!$B$2:$C$56,2),0)</f>
        <v>#N/A</v>
      </c>
      <c r="BP6" s="74" t="n">
        <f aca="false">IF(BH6="C",3,2)</f>
        <v>2</v>
      </c>
      <c r="BQ6" s="9" t="n">
        <f aca="false">IF(BM6&gt;0,IF(AW6&gt;5,3,IF(AW6&gt;1,1,0)),IF(BN6&gt;0,3,IF(U6&gt;300,1,0)))</f>
        <v>0</v>
      </c>
      <c r="BR6" s="75" t="n">
        <f aca="false">IF(AX6&lt;10,(AX6+AY6/12)*BD6/48,(10*BD6/48+((AX6-10+AY6/12)*BD6/36)))</f>
        <v>20385.9259259259</v>
      </c>
      <c r="BS6" s="74" t="e">
        <f aca="false">SUM(BL6:BO6)*BD6/12</f>
        <v>#N/A</v>
      </c>
      <c r="BT6" s="74" t="e">
        <f aca="false">IF(BC6=1,IF(BR6&gt;BS6,BR6,BS6),0)</f>
        <v>#N/A</v>
      </c>
      <c r="BU6" s="74" t="n">
        <f aca="false">IF(BC6=1,BD6*1.5/10,0)</f>
        <v>5694</v>
      </c>
      <c r="BV6" s="74" t="n">
        <f aca="false">IF(BC6=1,(BP6+BQ6)*BD6*1.5/12,0)</f>
        <v>9490</v>
      </c>
      <c r="BW6" s="74" t="n">
        <f aca="false">IF(BC6=1,$BW$2*ABS(AW6)+$BW$1,0)</f>
        <v>21913.7577002053</v>
      </c>
      <c r="BX6" s="74" t="e">
        <f aca="false">IF(BC6=1,IF(((BW6+BS6)&gt;($BX$1*$BX$2)),((BW6+BS6)-($BX$1*$BX$2))*0.5,0),0)</f>
        <v>#N/A</v>
      </c>
      <c r="BY6" s="74" t="n">
        <f aca="false">IF(BC6=1,($BY$2-BP6-BQ6)*$BY$1*1.25*BD6/12,0)</f>
        <v>29656.25</v>
      </c>
      <c r="BZ6" s="74" t="n">
        <f aca="false">IF(BC6=1,BD6*$BZ$1/100,0)</f>
        <v>1328.6</v>
      </c>
      <c r="CA6" s="74" t="n">
        <f aca="false">IF(BC6=1,IF(AZ6&lt;50,$CA$1,$CA$2),0)</f>
        <v>2000</v>
      </c>
      <c r="CB6" s="74" t="n">
        <f aca="false">IF(BC6=1,$CB$1,0)</f>
        <v>6000</v>
      </c>
      <c r="CC6" s="74" t="n">
        <f aca="false">IF(BC6=1,$CC$1,0)</f>
        <v>2000</v>
      </c>
      <c r="CD6" s="74" t="n">
        <f aca="false">IF(BC6=1,$CD$1,0)</f>
        <v>2000</v>
      </c>
      <c r="CE6" s="74" t="n">
        <f aca="false">IF(BC6=1,$CE$1*$CE$2*151.67,0)</f>
        <v>6825.15</v>
      </c>
      <c r="CF6" s="74" t="n">
        <f aca="false">IF(BC6=1,$CF$1,0)</f>
        <v>5000</v>
      </c>
    </row>
    <row r="7" customFormat="false" ht="39.55" hidden="false" customHeight="false" outlineLevel="0" collapsed="false">
      <c r="A7" s="76" t="s">
        <v>126</v>
      </c>
      <c r="B7" s="62" t="s">
        <v>127</v>
      </c>
      <c r="C7" s="62" t="s">
        <v>128</v>
      </c>
      <c r="D7" s="76"/>
      <c r="E7" s="76" t="s">
        <v>129</v>
      </c>
      <c r="F7" s="0" t="s">
        <v>92</v>
      </c>
      <c r="G7" s="63" t="s">
        <v>93</v>
      </c>
      <c r="H7" s="63" t="s">
        <v>94</v>
      </c>
      <c r="I7" s="77" t="n">
        <v>42614</v>
      </c>
      <c r="J7" s="77"/>
      <c r="K7" s="77" t="n">
        <v>34568</v>
      </c>
      <c r="L7" s="76" t="s">
        <v>95</v>
      </c>
      <c r="M7" s="76" t="s">
        <v>96</v>
      </c>
      <c r="N7" s="76" t="s">
        <v>97</v>
      </c>
      <c r="O7" s="76" t="s">
        <v>98</v>
      </c>
      <c r="P7" s="76" t="s">
        <v>97</v>
      </c>
      <c r="Q7" s="76" t="s">
        <v>98</v>
      </c>
      <c r="R7" s="76" t="s">
        <v>130</v>
      </c>
      <c r="S7" s="76" t="s">
        <v>131</v>
      </c>
      <c r="T7" s="76" t="s">
        <v>132</v>
      </c>
      <c r="U7" s="78" t="n">
        <v>190</v>
      </c>
      <c r="V7" s="76" t="s">
        <v>102</v>
      </c>
      <c r="W7" s="76" t="s">
        <v>103</v>
      </c>
      <c r="X7" s="76" t="s">
        <v>119</v>
      </c>
      <c r="Y7" s="76" t="s">
        <v>120</v>
      </c>
      <c r="Z7" s="76" t="s">
        <v>121</v>
      </c>
      <c r="AA7" s="76" t="s">
        <v>122</v>
      </c>
      <c r="AB7" s="76"/>
      <c r="AC7" s="79" t="n">
        <v>4</v>
      </c>
      <c r="AD7" s="76" t="s">
        <v>133</v>
      </c>
      <c r="AE7" s="65" t="n">
        <v>2080</v>
      </c>
      <c r="AF7" s="67" t="n">
        <f aca="false">AE7/AH7</f>
        <v>2080</v>
      </c>
      <c r="AG7" s="65" t="n">
        <f aca="false">AF7*AN7</f>
        <v>27040</v>
      </c>
      <c r="AH7" s="80" t="n">
        <v>1</v>
      </c>
      <c r="AI7" s="80" t="s">
        <v>134</v>
      </c>
      <c r="AJ7" s="12" t="s">
        <v>109</v>
      </c>
      <c r="AK7" s="12"/>
      <c r="AL7" s="12"/>
      <c r="AM7" s="12"/>
      <c r="AN7" s="12" t="n">
        <v>13</v>
      </c>
      <c r="AO7" s="69" t="n">
        <f aca="false">AE7*AN7</f>
        <v>27040</v>
      </c>
      <c r="AP7" s="70" t="s">
        <v>124</v>
      </c>
      <c r="AQ7" s="81" t="n">
        <v>9</v>
      </c>
      <c r="AR7" s="81"/>
      <c r="AS7" s="81"/>
      <c r="AT7" s="81"/>
      <c r="AU7" s="12" t="s">
        <v>135</v>
      </c>
      <c r="AV7" s="12"/>
      <c r="AW7" s="71" t="n">
        <f aca="false">($AW$3-I7)/365.25</f>
        <v>5.3305954825462</v>
      </c>
      <c r="AX7" s="72" t="n">
        <f aca="false">ROUNDDOWN(AW7,0)</f>
        <v>5</v>
      </c>
      <c r="AY7" s="72" t="n">
        <f aca="false">ROUNDDOWN(((AW7-AX7)*12),0)</f>
        <v>3</v>
      </c>
      <c r="AZ7" s="71" t="n">
        <f aca="false">($AW$3-K7)/365</f>
        <v>27.3780821917808</v>
      </c>
      <c r="BA7" s="12"/>
      <c r="BB7" s="12"/>
      <c r="BC7" s="12" t="n">
        <v>1</v>
      </c>
      <c r="BD7" s="9" t="n">
        <f aca="false">IF(BC7=1,AG7,0)</f>
        <v>27040</v>
      </c>
      <c r="BE7" s="73" t="e">
        <f aca="false">BU7+BU7/2+BW7-BX7/2</f>
        <v>#N/A</v>
      </c>
      <c r="BF7" s="73"/>
      <c r="BG7" s="73"/>
      <c r="BH7" s="9" t="s">
        <v>93</v>
      </c>
      <c r="BI7" s="9" t="n">
        <f aca="false">IF(AZ7&lt;50,1,0)</f>
        <v>1</v>
      </c>
      <c r="BJ7" s="9" t="n">
        <f aca="false">IF(BI7=1,0,IF(AZ7&lt;55,1,0))</f>
        <v>0</v>
      </c>
      <c r="BK7" s="9" t="n">
        <f aca="false">IF(AZ7&gt;55,1,0)</f>
        <v>0</v>
      </c>
      <c r="BL7" s="9" t="n">
        <f aca="false">IF(BH7="C",VLOOKUP(ABS(AW7),[1]Cadres!$A$3:$B$43,2)*BI7,0)</f>
        <v>0</v>
      </c>
      <c r="BM7" s="9" t="n">
        <f aca="false">IF(BH7="C",VLOOKUP(ABS(AW7),[1]Cadres!$D$3:$E$43,2)*BJ7,0)</f>
        <v>0</v>
      </c>
      <c r="BN7" s="9" t="n">
        <f aca="false">IF(BH7="C",VLOOKUP(ABS(AW7),[1]Cadres!$G$3:$H$43,2)*BK7,0)</f>
        <v>0</v>
      </c>
      <c r="BO7" s="9" t="e">
        <f aca="false">IF(BH7&lt;&gt;"C",VLOOKUP(ABS(AW7),[1]NCAD!$B$2:$C$56,2),0)</f>
        <v>#N/A</v>
      </c>
      <c r="BP7" s="74" t="n">
        <f aca="false">IF(BH7="C",3,2)</f>
        <v>2</v>
      </c>
      <c r="BQ7" s="9" t="n">
        <f aca="false">IF(BM7&gt;0,IF(AW7&gt;5,3,IF(AW7&gt;1,1,0)),IF(BN7&gt;0,3,IF(U7&gt;300,1,0)))</f>
        <v>0</v>
      </c>
      <c r="BR7" s="75" t="n">
        <f aca="false">IF(AX7&lt;10,(AX7+AY7/12)*BD7/48,(10*BD7/48+((AX7-10+AY7/12)*BD7/36)))</f>
        <v>2957.5</v>
      </c>
      <c r="BS7" s="74" t="e">
        <f aca="false">SUM(BL7:BO7)*BD7/12</f>
        <v>#N/A</v>
      </c>
      <c r="BT7" s="74" t="e">
        <f aca="false">IF(BC7=1,IF(BR7&gt;BS7,BR7,BS7),0)</f>
        <v>#N/A</v>
      </c>
      <c r="BU7" s="74" t="n">
        <f aca="false">IF(BC7=1,BD7*1.5/10,0)</f>
        <v>4056</v>
      </c>
      <c r="BV7" s="74" t="n">
        <f aca="false">IF(BC7=1,(BP7+BQ7)*BD7*1.5/12,0)</f>
        <v>6760</v>
      </c>
      <c r="BW7" s="74" t="n">
        <f aca="false">IF(BC7=1,$BW$2*ABS(AW7)+$BW$1,0)</f>
        <v>5330.5954825462</v>
      </c>
      <c r="BX7" s="74" t="e">
        <f aca="false">IF(BC7=1,IF(((BW7+BS7)&gt;($BX$1*$BX$2)),((BW7+BS7)-($BX$1*$BX$2))*0.5,0),0)</f>
        <v>#N/A</v>
      </c>
      <c r="BY7" s="74" t="n">
        <f aca="false">IF(BC7=1,($BY$2-BP7-BQ7)*$BY$1*1.25*BD7/12,0)</f>
        <v>21125</v>
      </c>
      <c r="BZ7" s="74" t="n">
        <f aca="false">IF(BC7=1,BD7*$BZ$1/100,0)</f>
        <v>946.4</v>
      </c>
      <c r="CA7" s="74" t="n">
        <f aca="false">IF(BC7=1,IF(AZ7&lt;50,$CA$1,$CA$2),0)</f>
        <v>1000</v>
      </c>
      <c r="CB7" s="74" t="n">
        <f aca="false">IF(BC7=1,$CB$1,0)</f>
        <v>6000</v>
      </c>
      <c r="CC7" s="74" t="n">
        <f aca="false">IF(BC7=1,$CC$1,0)</f>
        <v>2000</v>
      </c>
      <c r="CD7" s="74" t="n">
        <f aca="false">IF(BC7=1,$CD$1,0)</f>
        <v>2000</v>
      </c>
      <c r="CE7" s="74" t="n">
        <f aca="false">IF(BC7=1,$CE$1*$CE$2*151.67,0)</f>
        <v>6825.15</v>
      </c>
      <c r="CF7" s="74" t="n">
        <f aca="false">IF(BC7=1,$CF$1,0)</f>
        <v>5000</v>
      </c>
    </row>
    <row r="8" customFormat="false" ht="26.85" hidden="false" customHeight="false" outlineLevel="0" collapsed="false">
      <c r="A8" s="76" t="s">
        <v>136</v>
      </c>
      <c r="B8" s="62" t="s">
        <v>137</v>
      </c>
      <c r="C8" s="62" t="s">
        <v>138</v>
      </c>
      <c r="D8" s="76"/>
      <c r="E8" s="76" t="s">
        <v>129</v>
      </c>
      <c r="F8" s="0" t="s">
        <v>115</v>
      </c>
      <c r="G8" s="63" t="s">
        <v>139</v>
      </c>
      <c r="H8" s="63" t="s">
        <v>140</v>
      </c>
      <c r="I8" s="77" t="n">
        <v>43191</v>
      </c>
      <c r="J8" s="77"/>
      <c r="K8" s="77" t="n">
        <v>23462</v>
      </c>
      <c r="L8" s="76" t="s">
        <v>141</v>
      </c>
      <c r="M8" s="76" t="s">
        <v>142</v>
      </c>
      <c r="N8" s="76" t="s">
        <v>97</v>
      </c>
      <c r="O8" s="76" t="s">
        <v>98</v>
      </c>
      <c r="P8" s="76" t="s">
        <v>97</v>
      </c>
      <c r="Q8" s="76" t="s">
        <v>98</v>
      </c>
      <c r="R8" s="76" t="s">
        <v>143</v>
      </c>
      <c r="S8" s="76" t="s">
        <v>144</v>
      </c>
      <c r="T8" s="76" t="s">
        <v>101</v>
      </c>
      <c r="U8" s="78" t="n">
        <v>285</v>
      </c>
      <c r="V8" s="76" t="s">
        <v>145</v>
      </c>
      <c r="W8" s="76" t="s">
        <v>140</v>
      </c>
      <c r="X8" s="76" t="s">
        <v>104</v>
      </c>
      <c r="Y8" s="76" t="s">
        <v>105</v>
      </c>
      <c r="Z8" s="76" t="s">
        <v>106</v>
      </c>
      <c r="AA8" s="76" t="s">
        <v>107</v>
      </c>
      <c r="AB8" s="76"/>
      <c r="AC8" s="79" t="n">
        <v>2.05</v>
      </c>
      <c r="AD8" s="76" t="s">
        <v>133</v>
      </c>
      <c r="AE8" s="65" t="n">
        <v>4148</v>
      </c>
      <c r="AF8" s="67" t="n">
        <f aca="false">AE8/AH8</f>
        <v>4148</v>
      </c>
      <c r="AG8" s="65" t="n">
        <f aca="false">AF8*AN8</f>
        <v>53924</v>
      </c>
      <c r="AH8" s="80" t="n">
        <v>1</v>
      </c>
      <c r="AI8" s="80"/>
      <c r="AJ8" s="82" t="s">
        <v>146</v>
      </c>
      <c r="AK8" s="12"/>
      <c r="AL8" s="12"/>
      <c r="AM8" s="12"/>
      <c r="AN8" s="12" t="n">
        <v>13</v>
      </c>
      <c r="AO8" s="69" t="n">
        <f aca="false">AE8*AN8</f>
        <v>53924</v>
      </c>
      <c r="AP8" s="70" t="s">
        <v>110</v>
      </c>
      <c r="AQ8" s="70" t="n">
        <v>7</v>
      </c>
      <c r="AR8" s="70"/>
      <c r="AS8" s="70"/>
      <c r="AT8" s="70"/>
      <c r="AU8" s="12" t="s">
        <v>111</v>
      </c>
      <c r="AV8" s="12"/>
      <c r="AW8" s="71" t="n">
        <f aca="false">($AW$3-I8)/365.25</f>
        <v>3.75085557837098</v>
      </c>
      <c r="AX8" s="72" t="n">
        <f aca="false">ROUNDDOWN(AW8,0)</f>
        <v>3</v>
      </c>
      <c r="AY8" s="72" t="n">
        <f aca="false">ROUNDDOWN(((AW8-AX8)*12),0)</f>
        <v>9</v>
      </c>
      <c r="AZ8" s="71" t="n">
        <f aca="false">($AW$3-K8)/365</f>
        <v>57.8054794520548</v>
      </c>
      <c r="BA8" s="12"/>
      <c r="BB8" s="12"/>
      <c r="BC8" s="12"/>
      <c r="BD8" s="9" t="n">
        <f aca="false">IF(BC8=1,AG8,0)</f>
        <v>0</v>
      </c>
      <c r="BE8" s="73" t="n">
        <f aca="false">BU8+BU8/2+BW8-BX8/2</f>
        <v>0</v>
      </c>
      <c r="BF8" s="73"/>
      <c r="BG8" s="73"/>
      <c r="BH8" s="83" t="s">
        <v>139</v>
      </c>
      <c r="BI8" s="9" t="n">
        <f aca="false">IF(AZ8&lt;50,1,0)</f>
        <v>0</v>
      </c>
      <c r="BJ8" s="9" t="n">
        <f aca="false">IF(BI8=1,0,IF(AZ8&lt;55,1,0))</f>
        <v>0</v>
      </c>
      <c r="BK8" s="9" t="n">
        <f aca="false">IF(AZ8&gt;55,1,0)</f>
        <v>1</v>
      </c>
      <c r="BL8" s="9" t="n">
        <f aca="false">IF(BH8="C",VLOOKUP(ABS(AW8),[1]Cadres!$A$3:$B$43,2)*BI8,0)</f>
        <v>0</v>
      </c>
      <c r="BM8" s="9" t="n">
        <f aca="false">IF(BH8="C",VLOOKUP(ABS(AW8),[1]Cadres!$D$3:$E$43,2)*BJ8,0)</f>
        <v>0</v>
      </c>
      <c r="BN8" s="9" t="n">
        <f aca="false">IF(BH8="C",VLOOKUP(ABS(AW8),[1]Cadres!$G$3:$H$43,2)*BK8,0)</f>
        <v>0</v>
      </c>
      <c r="BO8" s="9" t="e">
        <f aca="false">IF(BH8&lt;&gt;"C",VLOOKUP(ABS(AW8),[1]NCAD!$B$2:$C$56,2),0)</f>
        <v>#N/A</v>
      </c>
      <c r="BP8" s="74" t="n">
        <f aca="false">IF(BH8="C",3,2)</f>
        <v>2</v>
      </c>
      <c r="BQ8" s="9" t="n">
        <f aca="false">IF(BM8&gt;0,IF(AW8&gt;5,3,IF(AW8&gt;1,1,0)),IF(BN8&gt;0,3,IF(U8&gt;300,1,0)))</f>
        <v>0</v>
      </c>
      <c r="BR8" s="75" t="n">
        <f aca="false">IF(AX8&lt;10,(AX8+AY8/12)*BD8/48,(10*BD8/48+((AX8-10+AY8/12)*BD8/36)))</f>
        <v>0</v>
      </c>
      <c r="BS8" s="74" t="e">
        <f aca="false">SUM(BL8:BO8)*BD8/12</f>
        <v>#N/A</v>
      </c>
      <c r="BT8" s="74" t="n">
        <f aca="false">IF(BC8=1,IF(BR8&gt;BS8,BR8,BS8),0)</f>
        <v>0</v>
      </c>
      <c r="BU8" s="74" t="n">
        <f aca="false">IF(BC8=1,BD8*1.5/10,0)</f>
        <v>0</v>
      </c>
      <c r="BV8" s="74" t="n">
        <f aca="false">IF(BC8=1,(BP8+BQ8)*BD8*1.5/12,0)</f>
        <v>0</v>
      </c>
      <c r="BW8" s="74" t="n">
        <f aca="false">IF(BC8=1,$BW$2*ABS(AW8)+$BW$1,0)</f>
        <v>0</v>
      </c>
      <c r="BX8" s="74" t="n">
        <f aca="false">IF(BC8=1,IF(((BW8+BS8)&gt;($BX$1*$BX$2)),((BW8+BS8)-($BX$1*$BX$2))*0.5,0),0)</f>
        <v>0</v>
      </c>
      <c r="BY8" s="74" t="n">
        <f aca="false">IF(BC8=1,($BY$2-BP8-BQ8)*$BY$1*1.25*BD8/12,0)</f>
        <v>0</v>
      </c>
      <c r="BZ8" s="74" t="n">
        <f aca="false">IF(BC8=1,BD8*$BZ$1/100,0)</f>
        <v>0</v>
      </c>
      <c r="CA8" s="74" t="n">
        <f aca="false">IF(BC8=1,IF(AZ8&lt;50,$CA$1,$CA$2),0)</f>
        <v>0</v>
      </c>
      <c r="CB8" s="74" t="n">
        <f aca="false">IF(BC8=1,$CB$1,0)</f>
        <v>0</v>
      </c>
      <c r="CC8" s="74" t="n">
        <f aca="false">IF(BC8=1,$CC$1,0)</f>
        <v>0</v>
      </c>
      <c r="CD8" s="74" t="n">
        <f aca="false">IF(BC8=1,$CD$1,0)</f>
        <v>0</v>
      </c>
      <c r="CE8" s="74" t="n">
        <f aca="false">IF(BC8=1,$CE$1*$CE$2*151.67,0)</f>
        <v>0</v>
      </c>
      <c r="CF8" s="74" t="n">
        <f aca="false">IF(BC8=1,$CF$1,0)</f>
        <v>0</v>
      </c>
    </row>
    <row r="9" customFormat="false" ht="26.85" hidden="false" customHeight="false" outlineLevel="0" collapsed="false">
      <c r="A9" s="62" t="s">
        <v>147</v>
      </c>
      <c r="B9" s="62" t="s">
        <v>148</v>
      </c>
      <c r="C9" s="62" t="s">
        <v>149</v>
      </c>
      <c r="D9" s="62"/>
      <c r="E9" s="62" t="s">
        <v>91</v>
      </c>
      <c r="F9" s="0" t="s">
        <v>115</v>
      </c>
      <c r="G9" s="63" t="s">
        <v>93</v>
      </c>
      <c r="H9" s="63" t="s">
        <v>94</v>
      </c>
      <c r="I9" s="64" t="n">
        <v>34516</v>
      </c>
      <c r="J9" s="64"/>
      <c r="K9" s="64" t="n">
        <v>23266</v>
      </c>
      <c r="L9" s="62" t="s">
        <v>95</v>
      </c>
      <c r="M9" s="62" t="s">
        <v>96</v>
      </c>
      <c r="N9" s="62" t="s">
        <v>97</v>
      </c>
      <c r="O9" s="62" t="s">
        <v>98</v>
      </c>
      <c r="P9" s="62" t="s">
        <v>97</v>
      </c>
      <c r="Q9" s="62" t="s">
        <v>98</v>
      </c>
      <c r="R9" s="62" t="s">
        <v>150</v>
      </c>
      <c r="S9" s="62" t="s">
        <v>151</v>
      </c>
      <c r="T9" s="62" t="s">
        <v>118</v>
      </c>
      <c r="U9" s="65" t="n">
        <v>240</v>
      </c>
      <c r="V9" s="62" t="s">
        <v>102</v>
      </c>
      <c r="W9" s="62" t="s">
        <v>103</v>
      </c>
      <c r="X9" s="62" t="s">
        <v>152</v>
      </c>
      <c r="Y9" s="62" t="s">
        <v>153</v>
      </c>
      <c r="Z9" s="62" t="s">
        <v>154</v>
      </c>
      <c r="AA9" s="62" t="s">
        <v>155</v>
      </c>
      <c r="AB9" s="62"/>
      <c r="AC9" s="66" t="n">
        <v>26.02</v>
      </c>
      <c r="AD9" s="62" t="s">
        <v>123</v>
      </c>
      <c r="AE9" s="65" t="n">
        <v>4400</v>
      </c>
      <c r="AF9" s="67" t="n">
        <f aca="false">AE9/AH9</f>
        <v>4400</v>
      </c>
      <c r="AG9" s="65" t="n">
        <f aca="false">AF9*AN9</f>
        <v>57200</v>
      </c>
      <c r="AH9" s="68" t="n">
        <v>1</v>
      </c>
      <c r="AI9" s="68"/>
      <c r="AJ9" s="84" t="s">
        <v>109</v>
      </c>
      <c r="AK9" s="12"/>
      <c r="AL9" s="12"/>
      <c r="AM9" s="12"/>
      <c r="AN9" s="12" t="n">
        <v>13</v>
      </c>
      <c r="AO9" s="69" t="n">
        <f aca="false">AE9*AN9</f>
        <v>57200</v>
      </c>
      <c r="AP9" s="70" t="s">
        <v>124</v>
      </c>
      <c r="AQ9" s="81" t="n">
        <v>9</v>
      </c>
      <c r="AR9" s="81"/>
      <c r="AS9" s="81"/>
      <c r="AT9" s="81"/>
      <c r="AU9" s="12" t="s">
        <v>156</v>
      </c>
      <c r="AV9" s="12"/>
      <c r="AW9" s="71" t="n">
        <f aca="false">($AW$3-I9)/365.25</f>
        <v>27.501711156742</v>
      </c>
      <c r="AX9" s="72" t="n">
        <f aca="false">ROUNDDOWN(AW9,0)</f>
        <v>27</v>
      </c>
      <c r="AY9" s="72" t="n">
        <f aca="false">ROUNDDOWN(((AW9-AX9)*12),0)</f>
        <v>6</v>
      </c>
      <c r="AZ9" s="71" t="n">
        <f aca="false">($AW$3-K9)/365</f>
        <v>58.3424657534247</v>
      </c>
      <c r="BA9" s="12"/>
      <c r="BB9" s="12"/>
      <c r="BC9" s="12" t="n">
        <v>1</v>
      </c>
      <c r="BD9" s="9" t="n">
        <f aca="false">IF(BC9=1,AG9,0)</f>
        <v>57200</v>
      </c>
      <c r="BE9" s="73" t="e">
        <f aca="false">BU9+BU9/2+BW9-BX9/2</f>
        <v>#N/A</v>
      </c>
      <c r="BF9" s="73"/>
      <c r="BG9" s="73"/>
      <c r="BH9" s="9" t="s">
        <v>93</v>
      </c>
      <c r="BI9" s="9" t="n">
        <f aca="false">IF(AZ9&lt;50,1,0)</f>
        <v>0</v>
      </c>
      <c r="BJ9" s="9" t="n">
        <f aca="false">IF(BI9=1,0,IF(AZ9&lt;55,1,0))</f>
        <v>0</v>
      </c>
      <c r="BK9" s="9" t="n">
        <f aca="false">IF(AZ9&gt;55,1,0)</f>
        <v>1</v>
      </c>
      <c r="BL9" s="9" t="n">
        <f aca="false">IF(BH9="C",VLOOKUP(ABS(AW9),[1]Cadres!$A$3:$B$43,2)*BI9,0)</f>
        <v>0</v>
      </c>
      <c r="BM9" s="9" t="n">
        <f aca="false">IF(BH9="C",VLOOKUP(ABS(AW9),[1]Cadres!$D$3:$E$43,2)*BJ9,0)</f>
        <v>0</v>
      </c>
      <c r="BN9" s="9" t="n">
        <f aca="false">IF(BH9="C",VLOOKUP(ABS(AW9),[1]Cadres!$G$3:$H$43,2)*BK9,0)</f>
        <v>0</v>
      </c>
      <c r="BO9" s="9" t="e">
        <f aca="false">IF(BH9&lt;&gt;"C",VLOOKUP(ABS(AW9),[1]NCAD!$B$2:$C$56,2),0)</f>
        <v>#N/A</v>
      </c>
      <c r="BP9" s="74" t="n">
        <f aca="false">IF(BH9="C",3,2)</f>
        <v>2</v>
      </c>
      <c r="BQ9" s="9" t="n">
        <f aca="false">IF(BM9&gt;0,IF(AW9&gt;5,3,IF(AW9&gt;1,1,0)),IF(BN9&gt;0,3,IF(U9&gt;300,1,0)))</f>
        <v>0</v>
      </c>
      <c r="BR9" s="75" t="n">
        <f aca="false">IF(AX9&lt;10,(AX9+AY9/12)*BD9/48,(10*BD9/48+((AX9-10+AY9/12)*BD9/36)))</f>
        <v>39722.2222222222</v>
      </c>
      <c r="BS9" s="74" t="e">
        <f aca="false">SUM(BL9:BO9)*BD9/12</f>
        <v>#N/A</v>
      </c>
      <c r="BT9" s="74" t="e">
        <f aca="false">IF(BC9=1,IF(BR9&gt;BS9,BR9,BS9),0)</f>
        <v>#N/A</v>
      </c>
      <c r="BU9" s="74" t="n">
        <f aca="false">IF(BC9=1,BD9*1.5/10,0)</f>
        <v>8580</v>
      </c>
      <c r="BV9" s="74" t="n">
        <f aca="false">IF(BC9=1,(BP9+BQ9)*BD9*1.5/12,0)</f>
        <v>14300</v>
      </c>
      <c r="BW9" s="74" t="n">
        <f aca="false">IF(BC9=1,$BW$2*ABS(AW9)+$BW$1,0)</f>
        <v>27501.711156742</v>
      </c>
      <c r="BX9" s="74" t="e">
        <f aca="false">IF(BC9=1,IF(((BW9+BS9)&gt;($BX$1*$BX$2)),((BW9+BS9)-($BX$1*$BX$2))*0.5,0),0)</f>
        <v>#N/A</v>
      </c>
      <c r="BY9" s="74" t="n">
        <f aca="false">IF(BC9=1,($BY$2-BP9-BQ9)*$BY$1*1.25*BD9/12,0)</f>
        <v>44687.5</v>
      </c>
      <c r="BZ9" s="74" t="n">
        <f aca="false">IF(BC9=1,BD9*$BZ$1/100,0)</f>
        <v>2002</v>
      </c>
      <c r="CA9" s="74" t="n">
        <f aca="false">IF(BC9=1,IF(AZ9&lt;50,$CA$1,$CA$2),0)</f>
        <v>2000</v>
      </c>
      <c r="CB9" s="74" t="n">
        <f aca="false">IF(BC9=1,$CB$1,0)</f>
        <v>6000</v>
      </c>
      <c r="CC9" s="74" t="n">
        <f aca="false">IF(BC9=1,$CC$1,0)</f>
        <v>2000</v>
      </c>
      <c r="CD9" s="74" t="n">
        <f aca="false">IF(BC9=1,$CD$1,0)</f>
        <v>2000</v>
      </c>
      <c r="CE9" s="74" t="n">
        <f aca="false">IF(BC9=1,$CE$1*$CE$2*151.67,0)</f>
        <v>6825.15</v>
      </c>
      <c r="CF9" s="74" t="n">
        <f aca="false">IF(BC9=1,$CF$1,0)</f>
        <v>5000</v>
      </c>
    </row>
    <row r="10" customFormat="false" ht="14.15" hidden="false" customHeight="false" outlineLevel="0" collapsed="false">
      <c r="A10" s="62" t="s">
        <v>157</v>
      </c>
      <c r="B10" s="62" t="s">
        <v>158</v>
      </c>
      <c r="C10" s="62" t="s">
        <v>149</v>
      </c>
      <c r="D10" s="62"/>
      <c r="E10" s="62" t="s">
        <v>91</v>
      </c>
      <c r="F10" s="0" t="s">
        <v>115</v>
      </c>
      <c r="G10" s="63" t="s">
        <v>93</v>
      </c>
      <c r="H10" s="63" t="s">
        <v>94</v>
      </c>
      <c r="I10" s="64" t="n">
        <v>36892</v>
      </c>
      <c r="J10" s="64"/>
      <c r="K10" s="64" t="n">
        <v>27310</v>
      </c>
      <c r="L10" s="62" t="s">
        <v>95</v>
      </c>
      <c r="M10" s="62" t="s">
        <v>96</v>
      </c>
      <c r="N10" s="62" t="s">
        <v>97</v>
      </c>
      <c r="O10" s="62" t="s">
        <v>98</v>
      </c>
      <c r="P10" s="62" t="s">
        <v>97</v>
      </c>
      <c r="Q10" s="62" t="s">
        <v>98</v>
      </c>
      <c r="R10" s="62" t="s">
        <v>130</v>
      </c>
      <c r="S10" s="62" t="s">
        <v>131</v>
      </c>
      <c r="T10" s="62" t="s">
        <v>132</v>
      </c>
      <c r="U10" s="65" t="n">
        <v>190</v>
      </c>
      <c r="V10" s="62" t="s">
        <v>102</v>
      </c>
      <c r="W10" s="62" t="s">
        <v>103</v>
      </c>
      <c r="X10" s="62" t="s">
        <v>119</v>
      </c>
      <c r="Y10" s="62" t="s">
        <v>120</v>
      </c>
      <c r="Z10" s="62" t="s">
        <v>121</v>
      </c>
      <c r="AA10" s="62" t="s">
        <v>122</v>
      </c>
      <c r="AB10" s="62"/>
      <c r="AC10" s="66" t="n">
        <v>19.08</v>
      </c>
      <c r="AD10" s="62" t="s">
        <v>159</v>
      </c>
      <c r="AE10" s="65" t="n">
        <v>4934</v>
      </c>
      <c r="AF10" s="67" t="n">
        <f aca="false">AE10/AH10</f>
        <v>4934</v>
      </c>
      <c r="AG10" s="65" t="n">
        <f aca="false">AF10*AN10</f>
        <v>64142</v>
      </c>
      <c r="AH10" s="68" t="n">
        <v>1</v>
      </c>
      <c r="AI10" s="68"/>
      <c r="AJ10" s="12" t="s">
        <v>109</v>
      </c>
      <c r="AK10" s="12"/>
      <c r="AL10" s="12"/>
      <c r="AM10" s="12"/>
      <c r="AN10" s="12" t="n">
        <v>13</v>
      </c>
      <c r="AO10" s="69" t="n">
        <f aca="false">AE10*AN10</f>
        <v>64142</v>
      </c>
      <c r="AP10" s="70" t="s">
        <v>124</v>
      </c>
      <c r="AQ10" s="81" t="n">
        <v>9</v>
      </c>
      <c r="AR10" s="81"/>
      <c r="AS10" s="81"/>
      <c r="AT10" s="81"/>
      <c r="AU10" s="12" t="s">
        <v>125</v>
      </c>
      <c r="AV10" s="12"/>
      <c r="AW10" s="71" t="n">
        <f aca="false">($AW$3-I10)/365.25</f>
        <v>20.9965776865161</v>
      </c>
      <c r="AX10" s="72" t="n">
        <f aca="false">ROUNDDOWN(AW10,0)</f>
        <v>20</v>
      </c>
      <c r="AY10" s="72" t="n">
        <f aca="false">ROUNDDOWN(((AW10-AX10)*12),0)</f>
        <v>11</v>
      </c>
      <c r="AZ10" s="71" t="n">
        <f aca="false">($AW$3-K10)/365</f>
        <v>47.2630136986301</v>
      </c>
      <c r="BA10" s="12"/>
      <c r="BB10" s="12"/>
      <c r="BC10" s="12" t="n">
        <v>1</v>
      </c>
      <c r="BD10" s="9" t="n">
        <f aca="false">IF(BC10=1,AG10,0)</f>
        <v>64142</v>
      </c>
      <c r="BE10" s="73" t="e">
        <f aca="false">BU10+BU10/2+BW10-BX10/2</f>
        <v>#N/A</v>
      </c>
      <c r="BF10" s="73"/>
      <c r="BG10" s="73"/>
      <c r="BH10" s="9" t="s">
        <v>93</v>
      </c>
      <c r="BI10" s="9" t="n">
        <f aca="false">IF(AZ10&lt;50,1,0)</f>
        <v>1</v>
      </c>
      <c r="BJ10" s="9" t="n">
        <f aca="false">IF(BI10=1,0,IF(AZ10&lt;55,1,0))</f>
        <v>0</v>
      </c>
      <c r="BK10" s="9" t="n">
        <f aca="false">IF(AZ10&gt;55,1,0)</f>
        <v>0</v>
      </c>
      <c r="BL10" s="9" t="n">
        <f aca="false">IF(BH10="C",VLOOKUP(ABS(AW10),[1]Cadres!$A$3:$B$43,2)*BI10,0)</f>
        <v>0</v>
      </c>
      <c r="BM10" s="9" t="n">
        <f aca="false">IF(BH10="C",VLOOKUP(ABS(AW10),[1]Cadres!$D$3:$E$43,2)*BJ10,0)</f>
        <v>0</v>
      </c>
      <c r="BN10" s="9" t="n">
        <f aca="false">IF(BH10="C",VLOOKUP(ABS(AW10),[1]Cadres!$G$3:$H$43,2)*BK10,0)</f>
        <v>0</v>
      </c>
      <c r="BO10" s="9" t="e">
        <f aca="false">IF(BH10&lt;&gt;"C",VLOOKUP(ABS(AW10),[1]NCAD!$B$2:$C$56,2),0)</f>
        <v>#N/A</v>
      </c>
      <c r="BP10" s="74" t="n">
        <f aca="false">IF(BH10="C",3,2)</f>
        <v>2</v>
      </c>
      <c r="BQ10" s="9" t="n">
        <f aca="false">IF(BM10&gt;0,IF(AW10&gt;5,3,IF(AW10&gt;1,1,0)),IF(BN10&gt;0,3,IF(U10&gt;300,1,0)))</f>
        <v>0</v>
      </c>
      <c r="BR10" s="75" t="n">
        <f aca="false">IF(AX10&lt;10,(AX10+AY10/12)*BD10/48,(10*BD10/48+((AX10-10+AY10/12)*BD10/36)))</f>
        <v>32813.3842592593</v>
      </c>
      <c r="BS10" s="74" t="e">
        <f aca="false">SUM(BL10:BO10)*BD10/12</f>
        <v>#N/A</v>
      </c>
      <c r="BT10" s="74" t="e">
        <f aca="false">IF(BC10=1,IF(BR10&gt;BS10,BR10,BS10),0)</f>
        <v>#N/A</v>
      </c>
      <c r="BU10" s="74" t="n">
        <f aca="false">IF(BC10=1,BD10*1.5/10,0)</f>
        <v>9621.3</v>
      </c>
      <c r="BV10" s="74" t="n">
        <f aca="false">IF(BC10=1,(BP10+BQ10)*BD10*1.5/12,0)</f>
        <v>16035.5</v>
      </c>
      <c r="BW10" s="74" t="n">
        <f aca="false">IF(BC10=1,$BW$2*ABS(AW10)+$BW$1,0)</f>
        <v>20996.5776865161</v>
      </c>
      <c r="BX10" s="74" t="e">
        <f aca="false">IF(BC10=1,IF(((BW10+BS10)&gt;($BX$1*$BX$2)),((BW10+BS10)-($BX$1*$BX$2))*0.5,0),0)</f>
        <v>#N/A</v>
      </c>
      <c r="BY10" s="74" t="n">
        <f aca="false">IF(BC10=1,($BY$2-BP10-BQ10)*$BY$1*1.25*BD10/12,0)</f>
        <v>50110.9375</v>
      </c>
      <c r="BZ10" s="74" t="n">
        <f aca="false">IF(BC10=1,BD10*$BZ$1/100,0)</f>
        <v>2244.97</v>
      </c>
      <c r="CA10" s="74" t="n">
        <f aca="false">IF(BC10=1,IF(AZ10&lt;50,$CA$1,$CA$2),0)</f>
        <v>1000</v>
      </c>
      <c r="CB10" s="74" t="n">
        <f aca="false">IF(BC10=1,$CB$1,0)</f>
        <v>6000</v>
      </c>
      <c r="CC10" s="74" t="n">
        <f aca="false">IF(BC10=1,$CC$1,0)</f>
        <v>2000</v>
      </c>
      <c r="CD10" s="74" t="n">
        <f aca="false">IF(BC10=1,$CD$1,0)</f>
        <v>2000</v>
      </c>
      <c r="CE10" s="74" t="n">
        <f aca="false">IF(BC10=1,$CE$1*$CE$2*151.67,0)</f>
        <v>6825.15</v>
      </c>
      <c r="CF10" s="74" t="n">
        <f aca="false">IF(BC10=1,$CF$1,0)</f>
        <v>5000</v>
      </c>
    </row>
    <row r="11" customFormat="false" ht="14.15" hidden="false" customHeight="false" outlineLevel="0" collapsed="false">
      <c r="A11" s="62" t="s">
        <v>160</v>
      </c>
      <c r="B11" s="62" t="s">
        <v>161</v>
      </c>
      <c r="C11" s="62" t="s">
        <v>162</v>
      </c>
      <c r="D11" s="62"/>
      <c r="E11" s="62" t="s">
        <v>129</v>
      </c>
      <c r="F11" s="0" t="s">
        <v>115</v>
      </c>
      <c r="G11" s="63" t="s">
        <v>93</v>
      </c>
      <c r="H11" s="63" t="s">
        <v>94</v>
      </c>
      <c r="I11" s="64" t="n">
        <v>36161</v>
      </c>
      <c r="J11" s="64"/>
      <c r="K11" s="64" t="n">
        <v>26848</v>
      </c>
      <c r="L11" s="62" t="s">
        <v>95</v>
      </c>
      <c r="M11" s="62" t="s">
        <v>96</v>
      </c>
      <c r="N11" s="62" t="s">
        <v>97</v>
      </c>
      <c r="O11" s="62" t="s">
        <v>98</v>
      </c>
      <c r="P11" s="62" t="s">
        <v>97</v>
      </c>
      <c r="Q11" s="62" t="s">
        <v>98</v>
      </c>
      <c r="R11" s="62" t="s">
        <v>130</v>
      </c>
      <c r="S11" s="62" t="s">
        <v>131</v>
      </c>
      <c r="T11" s="62" t="s">
        <v>132</v>
      </c>
      <c r="U11" s="65" t="n">
        <v>190</v>
      </c>
      <c r="V11" s="62" t="s">
        <v>102</v>
      </c>
      <c r="W11" s="62" t="s">
        <v>103</v>
      </c>
      <c r="X11" s="62" t="s">
        <v>119</v>
      </c>
      <c r="Y11" s="62" t="s">
        <v>120</v>
      </c>
      <c r="Z11" s="62" t="s">
        <v>121</v>
      </c>
      <c r="AA11" s="62" t="s">
        <v>122</v>
      </c>
      <c r="AB11" s="62"/>
      <c r="AC11" s="66" t="n">
        <v>21.08</v>
      </c>
      <c r="AD11" s="62" t="s">
        <v>123</v>
      </c>
      <c r="AE11" s="65" t="n">
        <v>2400</v>
      </c>
      <c r="AF11" s="67" t="n">
        <f aca="false">AE11/AH11</f>
        <v>2400</v>
      </c>
      <c r="AG11" s="65" t="n">
        <f aca="false">AF11*AN11</f>
        <v>31200</v>
      </c>
      <c r="AH11" s="68" t="n">
        <v>1</v>
      </c>
      <c r="AI11" s="68"/>
      <c r="AJ11" s="12" t="s">
        <v>109</v>
      </c>
      <c r="AK11" s="12"/>
      <c r="AL11" s="12"/>
      <c r="AM11" s="12"/>
      <c r="AN11" s="12" t="n">
        <v>13</v>
      </c>
      <c r="AO11" s="69" t="n">
        <f aca="false">AE11*AN11</f>
        <v>31200</v>
      </c>
      <c r="AP11" s="70" t="s">
        <v>124</v>
      </c>
      <c r="AQ11" s="81" t="n">
        <v>9</v>
      </c>
      <c r="AR11" s="81"/>
      <c r="AS11" s="81"/>
      <c r="AT11" s="81"/>
      <c r="AU11" s="12" t="s">
        <v>125</v>
      </c>
      <c r="AV11" s="12"/>
      <c r="AW11" s="71" t="n">
        <f aca="false">($AW$3-I11)/365.25</f>
        <v>22.9979466119096</v>
      </c>
      <c r="AX11" s="72" t="n">
        <f aca="false">ROUNDDOWN(AW11,0)</f>
        <v>22</v>
      </c>
      <c r="AY11" s="72" t="n">
        <f aca="false">ROUNDDOWN(((AW11-AX11)*12),0)</f>
        <v>11</v>
      </c>
      <c r="AZ11" s="71" t="n">
        <f aca="false">($AW$3-K11)/365</f>
        <v>48.5287671232877</v>
      </c>
      <c r="BA11" s="12"/>
      <c r="BB11" s="12"/>
      <c r="BC11" s="12" t="n">
        <v>1</v>
      </c>
      <c r="BD11" s="9" t="n">
        <f aca="false">IF(BC11=1,AG11,0)</f>
        <v>31200</v>
      </c>
      <c r="BE11" s="73" t="e">
        <f aca="false">BU11+BU11/2+BW11-BX11/2</f>
        <v>#N/A</v>
      </c>
      <c r="BF11" s="73"/>
      <c r="BG11" s="73"/>
      <c r="BH11" s="9" t="s">
        <v>93</v>
      </c>
      <c r="BI11" s="9" t="n">
        <f aca="false">IF(AZ11&lt;50,1,0)</f>
        <v>1</v>
      </c>
      <c r="BJ11" s="9" t="n">
        <f aca="false">IF(BI11=1,0,IF(AZ11&lt;55,1,0))</f>
        <v>0</v>
      </c>
      <c r="BK11" s="9" t="n">
        <f aca="false">IF(AZ11&gt;55,1,0)</f>
        <v>0</v>
      </c>
      <c r="BL11" s="9" t="n">
        <f aca="false">IF(BH11="C",VLOOKUP(ABS(AW11),[1]Cadres!$A$3:$B$43,2)*BI11,0)</f>
        <v>0</v>
      </c>
      <c r="BM11" s="9" t="n">
        <f aca="false">IF(BH11="C",VLOOKUP(ABS(AW11),[1]Cadres!$D$3:$E$43,2)*BJ11,0)</f>
        <v>0</v>
      </c>
      <c r="BN11" s="9" t="n">
        <f aca="false">IF(BH11="C",VLOOKUP(ABS(AW11),[1]Cadres!$G$3:$H$43,2)*BK11,0)</f>
        <v>0</v>
      </c>
      <c r="BO11" s="9" t="e">
        <f aca="false">IF(BH11&lt;&gt;"C",VLOOKUP(ABS(AW11),[1]NCAD!$B$2:$C$56,2),0)</f>
        <v>#N/A</v>
      </c>
      <c r="BP11" s="74" t="n">
        <f aca="false">IF(BH11="C",3,2)</f>
        <v>2</v>
      </c>
      <c r="BQ11" s="9" t="n">
        <f aca="false">IF(BM11&gt;0,IF(AW11&gt;5,3,IF(AW11&gt;1,1,0)),IF(BN11&gt;0,3,IF(U11&gt;300,1,0)))</f>
        <v>0</v>
      </c>
      <c r="BR11" s="75" t="n">
        <f aca="false">IF(AX11&lt;10,(AX11+AY11/12)*BD11/48,(10*BD11/48+((AX11-10+AY11/12)*BD11/36)))</f>
        <v>17694.4444444444</v>
      </c>
      <c r="BS11" s="74" t="e">
        <f aca="false">SUM(BL11:BO11)*BD11/12</f>
        <v>#N/A</v>
      </c>
      <c r="BT11" s="74" t="e">
        <f aca="false">IF(BC11=1,IF(BR11&gt;BS11,BR11,BS11),0)</f>
        <v>#N/A</v>
      </c>
      <c r="BU11" s="74" t="n">
        <f aca="false">IF(BC11=1,BD11*1.5/10,0)</f>
        <v>4680</v>
      </c>
      <c r="BV11" s="74" t="n">
        <f aca="false">IF(BC11=1,(BP11+BQ11)*BD11*1.5/12,0)</f>
        <v>7800</v>
      </c>
      <c r="BW11" s="74" t="n">
        <f aca="false">IF(BC11=1,$BW$2*ABS(AW11)+$BW$1,0)</f>
        <v>22997.9466119096</v>
      </c>
      <c r="BX11" s="74" t="e">
        <f aca="false">IF(BC11=1,IF(((BW11+BS11)&gt;($BX$1*$BX$2)),((BW11+BS11)-($BX$1*$BX$2))*0.5,0),0)</f>
        <v>#N/A</v>
      </c>
      <c r="BY11" s="74" t="n">
        <f aca="false">IF(BC11=1,($BY$2-BP11-BQ11)*$BY$1*1.25*BD11/12,0)</f>
        <v>24375</v>
      </c>
      <c r="BZ11" s="74" t="n">
        <f aca="false">IF(BC11=1,BD11*$BZ$1/100,0)</f>
        <v>1092</v>
      </c>
      <c r="CA11" s="74" t="n">
        <f aca="false">IF(BC11=1,IF(AZ11&lt;50,$CA$1,$CA$2),0)</f>
        <v>1000</v>
      </c>
      <c r="CB11" s="74" t="n">
        <f aca="false">IF(BC11=1,$CB$1,0)</f>
        <v>6000</v>
      </c>
      <c r="CC11" s="74" t="n">
        <f aca="false">IF(BC11=1,$CC$1,0)</f>
        <v>2000</v>
      </c>
      <c r="CD11" s="74" t="n">
        <f aca="false">IF(BC11=1,$CD$1,0)</f>
        <v>2000</v>
      </c>
      <c r="CE11" s="74" t="n">
        <f aca="false">IF(BC11=1,$CE$1*$CE$2*151.67,0)</f>
        <v>6825.15</v>
      </c>
      <c r="CF11" s="74" t="n">
        <f aca="false">IF(BC11=1,$CF$1,0)</f>
        <v>5000</v>
      </c>
    </row>
    <row r="12" customFormat="false" ht="26.85" hidden="false" customHeight="false" outlineLevel="0" collapsed="false">
      <c r="A12" s="62" t="s">
        <v>163</v>
      </c>
      <c r="B12" s="62" t="s">
        <v>164</v>
      </c>
      <c r="C12" s="62" t="s">
        <v>165</v>
      </c>
      <c r="D12" s="62"/>
      <c r="E12" s="76" t="s">
        <v>91</v>
      </c>
      <c r="F12" s="0" t="s">
        <v>92</v>
      </c>
      <c r="G12" s="63" t="s">
        <v>93</v>
      </c>
      <c r="H12" s="63" t="s">
        <v>94</v>
      </c>
      <c r="I12" s="64" t="n">
        <v>30133</v>
      </c>
      <c r="J12" s="64"/>
      <c r="K12" s="64" t="n">
        <v>23771</v>
      </c>
      <c r="L12" s="62" t="s">
        <v>95</v>
      </c>
      <c r="M12" s="62" t="s">
        <v>96</v>
      </c>
      <c r="N12" s="62" t="s">
        <v>97</v>
      </c>
      <c r="O12" s="62" t="s">
        <v>98</v>
      </c>
      <c r="P12" s="62" t="s">
        <v>97</v>
      </c>
      <c r="Q12" s="62" t="s">
        <v>98</v>
      </c>
      <c r="R12" s="62" t="s">
        <v>130</v>
      </c>
      <c r="S12" s="62" t="s">
        <v>131</v>
      </c>
      <c r="T12" s="62" t="s">
        <v>132</v>
      </c>
      <c r="U12" s="65" t="n">
        <v>190</v>
      </c>
      <c r="V12" s="62" t="s">
        <v>102</v>
      </c>
      <c r="W12" s="62" t="s">
        <v>103</v>
      </c>
      <c r="X12" s="62" t="s">
        <v>119</v>
      </c>
      <c r="Y12" s="62" t="s">
        <v>120</v>
      </c>
      <c r="Z12" s="62" t="s">
        <v>121</v>
      </c>
      <c r="AA12" s="62" t="s">
        <v>122</v>
      </c>
      <c r="AB12" s="62"/>
      <c r="AC12" s="66" t="n">
        <v>38.02</v>
      </c>
      <c r="AD12" s="62" t="s">
        <v>166</v>
      </c>
      <c r="AE12" s="65" t="n">
        <v>3307.5</v>
      </c>
      <c r="AF12" s="67" t="n">
        <f aca="false">AE12/AH12</f>
        <v>6615</v>
      </c>
      <c r="AG12" s="65" t="n">
        <f aca="false">AF12*AN12</f>
        <v>85995</v>
      </c>
      <c r="AH12" s="68" t="n">
        <v>0.5</v>
      </c>
      <c r="AI12" s="68"/>
      <c r="AJ12" s="12" t="s">
        <v>109</v>
      </c>
      <c r="AK12" s="12"/>
      <c r="AL12" s="12"/>
      <c r="AM12" s="12"/>
      <c r="AN12" s="12" t="n">
        <v>13</v>
      </c>
      <c r="AO12" s="69" t="n">
        <f aca="false">AE12*AN12</f>
        <v>42997.5</v>
      </c>
      <c r="AP12" s="70" t="s">
        <v>124</v>
      </c>
      <c r="AQ12" s="81" t="n">
        <v>9</v>
      </c>
      <c r="AR12" s="81"/>
      <c r="AS12" s="81"/>
      <c r="AT12" s="81"/>
      <c r="AU12" s="12" t="s">
        <v>167</v>
      </c>
      <c r="AV12" s="12"/>
      <c r="AW12" s="71" t="n">
        <f aca="false">($AW$3-I12)/365.25</f>
        <v>39.501711156742</v>
      </c>
      <c r="AX12" s="72" t="n">
        <f aca="false">ROUNDDOWN(AW12,0)</f>
        <v>39</v>
      </c>
      <c r="AY12" s="72" t="n">
        <f aca="false">ROUNDDOWN(((AW12-AX12)*12),0)</f>
        <v>6</v>
      </c>
      <c r="AZ12" s="71" t="n">
        <f aca="false">($AW$3-K12)/365</f>
        <v>56.958904109589</v>
      </c>
      <c r="BA12" s="12"/>
      <c r="BB12" s="12"/>
      <c r="BC12" s="12" t="n">
        <v>1</v>
      </c>
      <c r="BD12" s="9" t="n">
        <f aca="false">IF(BC12=1,AG12,0)</f>
        <v>85995</v>
      </c>
      <c r="BE12" s="73" t="e">
        <f aca="false">BU12+BU12/2+BW12-BX12/2</f>
        <v>#N/A</v>
      </c>
      <c r="BF12" s="73"/>
      <c r="BG12" s="73"/>
      <c r="BH12" s="9" t="s">
        <v>93</v>
      </c>
      <c r="BI12" s="9" t="n">
        <f aca="false">IF(AZ12&lt;50,1,0)</f>
        <v>0</v>
      </c>
      <c r="BJ12" s="9" t="n">
        <f aca="false">IF(BI12=1,0,IF(AZ12&lt;55,1,0))</f>
        <v>0</v>
      </c>
      <c r="BK12" s="9" t="n">
        <f aca="false">IF(AZ12&gt;55,1,0)</f>
        <v>1</v>
      </c>
      <c r="BL12" s="9" t="n">
        <f aca="false">IF(BH12="C",VLOOKUP(ABS(AW12),[1]Cadres!$A$3:$B$43,2)*BI12,0)</f>
        <v>0</v>
      </c>
      <c r="BM12" s="9" t="n">
        <f aca="false">IF(BH12="C",VLOOKUP(ABS(AW12),[1]Cadres!$D$3:$E$43,2)*BJ12,0)</f>
        <v>0</v>
      </c>
      <c r="BN12" s="9" t="n">
        <f aca="false">IF(BH12="C",VLOOKUP(ABS(AW12),[1]Cadres!$G$3:$H$43,2)*BK12,0)</f>
        <v>0</v>
      </c>
      <c r="BO12" s="9" t="e">
        <f aca="false">IF(BH12&lt;&gt;"C",VLOOKUP(ABS(AW12),[1]NCAD!$B$2:$C$56,2),0)</f>
        <v>#N/A</v>
      </c>
      <c r="BP12" s="74" t="n">
        <f aca="false">IF(BH12="C",3,2)</f>
        <v>2</v>
      </c>
      <c r="BQ12" s="9" t="n">
        <f aca="false">IF(BM12&gt;0,IF(AW12&gt;5,3,IF(AW12&gt;1,1,0)),IF(BN12&gt;0,3,IF(U12&gt;300,1,0)))</f>
        <v>0</v>
      </c>
      <c r="BR12" s="75" t="n">
        <f aca="false">IF(AX12&lt;10,(AX12+AY12/12)*BD12/48,(10*BD12/48+((AX12-10+AY12/12)*BD12/36)))</f>
        <v>88383.75</v>
      </c>
      <c r="BS12" s="74" t="e">
        <f aca="false">SUM(BL12:BO12)*BD12/12</f>
        <v>#N/A</v>
      </c>
      <c r="BT12" s="74" t="e">
        <f aca="false">IF(BC12=1,IF(BR12&gt;BS12,BR12,BS12),0)</f>
        <v>#N/A</v>
      </c>
      <c r="BU12" s="74" t="n">
        <f aca="false">IF(BC12=1,BD12*1.5/10,0)</f>
        <v>12899.25</v>
      </c>
      <c r="BV12" s="74" t="n">
        <f aca="false">IF(BC12=1,(BP12+BQ12)*BD12*1.5/12,0)</f>
        <v>21498.75</v>
      </c>
      <c r="BW12" s="74" t="n">
        <f aca="false">IF(BC12=1,$BW$2*ABS(AW12)+$BW$1,0)</f>
        <v>39501.711156742</v>
      </c>
      <c r="BX12" s="74" t="e">
        <f aca="false">IF(BC12=1,IF(((BW12+BS12)&gt;($BX$1*$BX$2)),((BW12+BS12)-($BX$1*$BX$2))*0.5,0),0)</f>
        <v>#N/A</v>
      </c>
      <c r="BY12" s="74" t="n">
        <f aca="false">IF(BC12=1,($BY$2-BP12-BQ12)*$BY$1*1.25*BD12/12,0)</f>
        <v>67183.59375</v>
      </c>
      <c r="BZ12" s="74" t="n">
        <f aca="false">IF(BC12=1,BD12*$BZ$1/100,0)</f>
        <v>3009.825</v>
      </c>
      <c r="CA12" s="74" t="n">
        <f aca="false">IF(BC12=1,IF(AZ12&lt;50,$CA$1,$CA$2),0)</f>
        <v>2000</v>
      </c>
      <c r="CB12" s="74" t="n">
        <f aca="false">IF(BC12=1,$CB$1,0)</f>
        <v>6000</v>
      </c>
      <c r="CC12" s="74" t="n">
        <f aca="false">IF(BC12=1,$CC$1,0)</f>
        <v>2000</v>
      </c>
      <c r="CD12" s="74" t="n">
        <f aca="false">IF(BC12=1,$CD$1,0)</f>
        <v>2000</v>
      </c>
      <c r="CE12" s="74" t="n">
        <f aca="false">IF(BC12=1,$CE$1*$CE$2*151.67,0)</f>
        <v>6825.15</v>
      </c>
      <c r="CF12" s="74" t="n">
        <f aca="false">IF(BC12=1,$CF$1,0)</f>
        <v>5000</v>
      </c>
    </row>
    <row r="13" customFormat="false" ht="52.2" hidden="false" customHeight="false" outlineLevel="0" collapsed="false">
      <c r="A13" s="76" t="s">
        <v>168</v>
      </c>
      <c r="B13" s="62" t="s">
        <v>169</v>
      </c>
      <c r="C13" s="62" t="s">
        <v>170</v>
      </c>
      <c r="D13" s="76"/>
      <c r="E13" s="76" t="s">
        <v>129</v>
      </c>
      <c r="F13" s="0" t="s">
        <v>115</v>
      </c>
      <c r="G13" s="63" t="s">
        <v>171</v>
      </c>
      <c r="H13" s="63" t="s">
        <v>172</v>
      </c>
      <c r="I13" s="77" t="n">
        <v>38930</v>
      </c>
      <c r="J13" s="77"/>
      <c r="K13" s="77" t="n">
        <v>25106</v>
      </c>
      <c r="L13" s="76" t="s">
        <v>95</v>
      </c>
      <c r="M13" s="76" t="s">
        <v>96</v>
      </c>
      <c r="N13" s="76" t="s">
        <v>97</v>
      </c>
      <c r="O13" s="76" t="s">
        <v>98</v>
      </c>
      <c r="P13" s="76" t="s">
        <v>97</v>
      </c>
      <c r="Q13" s="76" t="s">
        <v>98</v>
      </c>
      <c r="R13" s="76" t="s">
        <v>173</v>
      </c>
      <c r="S13" s="76" t="s">
        <v>174</v>
      </c>
      <c r="T13" s="76" t="s">
        <v>175</v>
      </c>
      <c r="U13" s="78" t="n">
        <v>125</v>
      </c>
      <c r="V13" s="76" t="s">
        <v>176</v>
      </c>
      <c r="W13" s="76" t="s">
        <v>177</v>
      </c>
      <c r="X13" s="76" t="s">
        <v>119</v>
      </c>
      <c r="Y13" s="76" t="s">
        <v>120</v>
      </c>
      <c r="Z13" s="76" t="s">
        <v>178</v>
      </c>
      <c r="AA13" s="76" t="s">
        <v>179</v>
      </c>
      <c r="AB13" s="76"/>
      <c r="AC13" s="79" t="n">
        <v>14.01</v>
      </c>
      <c r="AD13" s="76" t="s">
        <v>159</v>
      </c>
      <c r="AE13" s="65" t="n">
        <v>3120</v>
      </c>
      <c r="AF13" s="67" t="n">
        <f aca="false">AE13/AH13</f>
        <v>3120</v>
      </c>
      <c r="AG13" s="65" t="n">
        <f aca="false">AF13*AN13</f>
        <v>37440</v>
      </c>
      <c r="AH13" s="80" t="n">
        <v>1</v>
      </c>
      <c r="AI13" s="80"/>
      <c r="AJ13" s="12" t="s">
        <v>180</v>
      </c>
      <c r="AK13" s="12"/>
      <c r="AL13" s="12"/>
      <c r="AM13" s="12"/>
      <c r="AN13" s="12" t="n">
        <v>12</v>
      </c>
      <c r="AO13" s="69" t="n">
        <f aca="false">AE13*AN13</f>
        <v>37440</v>
      </c>
      <c r="AP13" s="70" t="s">
        <v>110</v>
      </c>
      <c r="AQ13" s="81" t="n">
        <v>8</v>
      </c>
      <c r="AR13" s="81"/>
      <c r="AS13" s="81"/>
      <c r="AT13" s="81"/>
      <c r="AU13" s="12" t="s">
        <v>181</v>
      </c>
      <c r="AV13" s="12"/>
      <c r="AW13" s="71" t="n">
        <f aca="false">($AW$3-I13)/365.25</f>
        <v>15.4168377823409</v>
      </c>
      <c r="AX13" s="72" t="n">
        <f aca="false">ROUNDDOWN(AW13,0)</f>
        <v>15</v>
      </c>
      <c r="AY13" s="72" t="n">
        <f aca="false">ROUNDDOWN(((AW13-AX13)*12),0)</f>
        <v>5</v>
      </c>
      <c r="AZ13" s="71" t="n">
        <f aca="false">($AW$3-K13)/365</f>
        <v>53.3013698630137</v>
      </c>
      <c r="BA13" s="12"/>
      <c r="BB13" s="12"/>
      <c r="BC13" s="12"/>
      <c r="BD13" s="9" t="n">
        <f aca="false">IF(BC13=1,AG13,0)</f>
        <v>0</v>
      </c>
      <c r="BE13" s="73" t="n">
        <f aca="false">BU13+BU13/2+BW13-BX13/2</f>
        <v>0</v>
      </c>
      <c r="BF13" s="73"/>
      <c r="BG13" s="73"/>
      <c r="BH13" s="9" t="s">
        <v>171</v>
      </c>
      <c r="BI13" s="9" t="n">
        <f aca="false">IF(AZ13&lt;50,1,0)</f>
        <v>0</v>
      </c>
      <c r="BJ13" s="9" t="n">
        <f aca="false">IF(BI13=1,0,IF(AZ13&lt;55,1,0))</f>
        <v>1</v>
      </c>
      <c r="BK13" s="9" t="n">
        <f aca="false">IF(AZ13&gt;55,1,0)</f>
        <v>0</v>
      </c>
      <c r="BL13" s="9" t="e">
        <f aca="false">IF(BH13="C",VLOOKUP(ABS(AW13),[1]Cadres!$A$3:$B$43,2)*BI13,0)</f>
        <v>#N/A</v>
      </c>
      <c r="BM13" s="9" t="e">
        <f aca="false">IF(BH13="C",VLOOKUP(ABS(AW13),[1]Cadres!$D$3:$E$43,2)*BJ13,0)</f>
        <v>#N/A</v>
      </c>
      <c r="BN13" s="9" t="e">
        <f aca="false">IF(BH13="C",VLOOKUP(ABS(AW13),[1]Cadres!$G$3:$H$43,2)*BK13,0)</f>
        <v>#N/A</v>
      </c>
      <c r="BO13" s="9" t="n">
        <f aca="false">IF(BH13&lt;&gt;"C",VLOOKUP(ABS(AW13),[1]NCAD!$B$2:$C$56,2),0)</f>
        <v>0</v>
      </c>
      <c r="BP13" s="74" t="n">
        <f aca="false">IF(BH13="C",3,2)</f>
        <v>3</v>
      </c>
      <c r="BQ13" s="9" t="e">
        <f aca="false">IF(BM13&gt;0,IF(AW13&gt;5,3,IF(AW13&gt;1,1,0)),IF(BN13&gt;0,3,IF(U13&gt;300,1,0)))</f>
        <v>#N/A</v>
      </c>
      <c r="BR13" s="75" t="n">
        <f aca="false">IF(AX13&lt;10,(AX13+AY13/12)*BD13/48,(10*BD13/48+((AX13-10+AY13/12)*BD13/36)))</f>
        <v>0</v>
      </c>
      <c r="BS13" s="74" t="e">
        <f aca="false">SUM(BL13:BO13)*BD13/12</f>
        <v>#N/A</v>
      </c>
      <c r="BT13" s="74" t="n">
        <f aca="false">IF(BC13=1,IF(BR13&gt;BS13,BR13,BS13),0)</f>
        <v>0</v>
      </c>
      <c r="BU13" s="74" t="n">
        <f aca="false">IF(BC13=1,BD13*1.5/10,0)</f>
        <v>0</v>
      </c>
      <c r="BV13" s="74" t="n">
        <f aca="false">IF(BC13=1,(BP13+BQ13)*BD13*1.5/12,0)</f>
        <v>0</v>
      </c>
      <c r="BW13" s="74" t="n">
        <f aca="false">IF(BC13=1,$BW$2*ABS(AW13)+$BW$1,0)</f>
        <v>0</v>
      </c>
      <c r="BX13" s="74" t="n">
        <f aca="false">IF(BC13=1,IF(((BW13+BS13)&gt;($BX$1*$BX$2)),((BW13+BS13)-($BX$1*$BX$2))*0.5,0),0)</f>
        <v>0</v>
      </c>
      <c r="BY13" s="74" t="n">
        <f aca="false">IF(BC13=1,($BY$2-BP13-BQ13)*$BY$1*1.25*BD13/12,0)</f>
        <v>0</v>
      </c>
      <c r="BZ13" s="74" t="n">
        <f aca="false">IF(BC13=1,BD13*$BZ$1/100,0)</f>
        <v>0</v>
      </c>
      <c r="CA13" s="74" t="n">
        <f aca="false">IF(BC13=1,IF(AZ13&lt;50,$CA$1,$CA$2),0)</f>
        <v>0</v>
      </c>
      <c r="CB13" s="74" t="n">
        <f aca="false">IF(BC13=1,$CB$1,0)</f>
        <v>0</v>
      </c>
      <c r="CC13" s="74" t="n">
        <f aca="false">IF(BC13=1,$CC$1,0)</f>
        <v>0</v>
      </c>
      <c r="CD13" s="74" t="n">
        <f aca="false">IF(BC13=1,$CD$1,0)</f>
        <v>0</v>
      </c>
      <c r="CE13" s="74" t="n">
        <f aca="false">IF(BC13=1,$CE$1*$CE$2*151.67,0)</f>
        <v>0</v>
      </c>
      <c r="CF13" s="74" t="n">
        <f aca="false">IF(BC13=1,$CF$1,0)</f>
        <v>0</v>
      </c>
    </row>
    <row r="14" customFormat="false" ht="39.55" hidden="false" customHeight="false" outlineLevel="0" collapsed="false">
      <c r="A14" s="76" t="s">
        <v>182</v>
      </c>
      <c r="B14" s="62" t="s">
        <v>183</v>
      </c>
      <c r="C14" s="62" t="s">
        <v>184</v>
      </c>
      <c r="D14" s="76"/>
      <c r="E14" s="76" t="s">
        <v>91</v>
      </c>
      <c r="F14" s="0" t="s">
        <v>92</v>
      </c>
      <c r="G14" s="63" t="s">
        <v>139</v>
      </c>
      <c r="H14" s="63" t="s">
        <v>140</v>
      </c>
      <c r="I14" s="77" t="n">
        <v>41344</v>
      </c>
      <c r="J14" s="77"/>
      <c r="K14" s="77" t="n">
        <v>28727</v>
      </c>
      <c r="L14" s="76" t="s">
        <v>185</v>
      </c>
      <c r="M14" s="76" t="s">
        <v>186</v>
      </c>
      <c r="N14" s="76" t="s">
        <v>97</v>
      </c>
      <c r="O14" s="76" t="s">
        <v>98</v>
      </c>
      <c r="P14" s="76" t="s">
        <v>97</v>
      </c>
      <c r="Q14" s="76" t="s">
        <v>98</v>
      </c>
      <c r="R14" s="76" t="s">
        <v>187</v>
      </c>
      <c r="S14" s="76" t="s">
        <v>188</v>
      </c>
      <c r="T14" s="76" t="s">
        <v>101</v>
      </c>
      <c r="U14" s="78" t="n">
        <v>255</v>
      </c>
      <c r="V14" s="76" t="s">
        <v>145</v>
      </c>
      <c r="W14" s="76" t="s">
        <v>140</v>
      </c>
      <c r="X14" s="76" t="s">
        <v>189</v>
      </c>
      <c r="Y14" s="76" t="s">
        <v>190</v>
      </c>
      <c r="Z14" s="76" t="s">
        <v>191</v>
      </c>
      <c r="AA14" s="76" t="s">
        <v>192</v>
      </c>
      <c r="AB14" s="76"/>
      <c r="AC14" s="79" t="n">
        <v>7.06</v>
      </c>
      <c r="AD14" s="76" t="s">
        <v>108</v>
      </c>
      <c r="AE14" s="65" t="n">
        <v>5240</v>
      </c>
      <c r="AF14" s="67" t="n">
        <f aca="false">AE14/AH14</f>
        <v>5240</v>
      </c>
      <c r="AG14" s="65" t="n">
        <f aca="false">AF14*AN14</f>
        <v>68120</v>
      </c>
      <c r="AH14" s="80" t="n">
        <v>1</v>
      </c>
      <c r="AI14" s="80"/>
      <c r="AJ14" s="82" t="s">
        <v>146</v>
      </c>
      <c r="AK14" s="12"/>
      <c r="AL14" s="12"/>
      <c r="AM14" s="12"/>
      <c r="AN14" s="12" t="n">
        <v>13</v>
      </c>
      <c r="AO14" s="69" t="n">
        <f aca="false">AE14*AN14</f>
        <v>68120</v>
      </c>
      <c r="AP14" s="70" t="s">
        <v>110</v>
      </c>
      <c r="AQ14" s="81" t="n">
        <v>8</v>
      </c>
      <c r="AR14" s="81"/>
      <c r="AS14" s="81"/>
      <c r="AT14" s="81"/>
      <c r="AU14" s="12" t="s">
        <v>193</v>
      </c>
      <c r="AV14" s="12"/>
      <c r="AW14" s="71" t="n">
        <f aca="false">($AW$3-I14)/365.25</f>
        <v>8.80766598220397</v>
      </c>
      <c r="AX14" s="72" t="n">
        <f aca="false">ROUNDDOWN(AW14,0)</f>
        <v>8</v>
      </c>
      <c r="AY14" s="72" t="n">
        <f aca="false">ROUNDDOWN(((AW14-AX14)*12),0)</f>
        <v>9</v>
      </c>
      <c r="AZ14" s="71" t="n">
        <f aca="false">($AW$3-K14)/365</f>
        <v>43.3808219178082</v>
      </c>
      <c r="BA14" s="12"/>
      <c r="BB14" s="12"/>
      <c r="BC14" s="12" t="n">
        <v>1</v>
      </c>
      <c r="BD14" s="9" t="n">
        <f aca="false">IF(BC14=1,AG14,0)</f>
        <v>68120</v>
      </c>
      <c r="BE14" s="73" t="e">
        <f aca="false">BU14+BU14/2+BW14-BX14/2</f>
        <v>#N/A</v>
      </c>
      <c r="BF14" s="73"/>
      <c r="BG14" s="73"/>
      <c r="BH14" s="83" t="s">
        <v>139</v>
      </c>
      <c r="BI14" s="9" t="n">
        <f aca="false">IF(AZ14&lt;50,1,0)</f>
        <v>1</v>
      </c>
      <c r="BJ14" s="9" t="n">
        <f aca="false">IF(BI14=1,0,IF(AZ14&lt;55,1,0))</f>
        <v>0</v>
      </c>
      <c r="BK14" s="9" t="n">
        <f aca="false">IF(AZ14&gt;55,1,0)</f>
        <v>0</v>
      </c>
      <c r="BL14" s="9" t="n">
        <f aca="false">IF(BH14="C",VLOOKUP(ABS(AW14),[1]Cadres!$A$3:$B$43,2)*BI14,0)</f>
        <v>0</v>
      </c>
      <c r="BM14" s="9" t="n">
        <f aca="false">IF(BH14="C",VLOOKUP(ABS(AW14),[1]Cadres!$D$3:$E$43,2)*BJ14,0)</f>
        <v>0</v>
      </c>
      <c r="BN14" s="9" t="n">
        <f aca="false">IF(BH14="C",VLOOKUP(ABS(AW14),[1]Cadres!$G$3:$H$43,2)*BK14,0)</f>
        <v>0</v>
      </c>
      <c r="BO14" s="9" t="e">
        <f aca="false">IF(BH14&lt;&gt;"C",VLOOKUP(ABS(AW14),[1]NCAD!$B$2:$C$56,2),0)</f>
        <v>#N/A</v>
      </c>
      <c r="BP14" s="74" t="n">
        <f aca="false">IF(BH14="C",3,2)</f>
        <v>2</v>
      </c>
      <c r="BQ14" s="9" t="n">
        <f aca="false">IF(BM14&gt;0,IF(AW14&gt;5,3,IF(AW14&gt;1,1,0)),IF(BN14&gt;0,3,IF(U14&gt;300,1,0)))</f>
        <v>0</v>
      </c>
      <c r="BR14" s="75" t="n">
        <f aca="false">IF(AX14&lt;10,(AX14+AY14/12)*BD14/48,(10*BD14/48+((AX14-10+AY14/12)*BD14/36)))</f>
        <v>12417.7083333333</v>
      </c>
      <c r="BS14" s="74" t="e">
        <f aca="false">SUM(BL14:BO14)*BD14/12</f>
        <v>#N/A</v>
      </c>
      <c r="BT14" s="74" t="e">
        <f aca="false">IF(BC14=1,IF(BR14&gt;BS14,BR14,BS14),0)</f>
        <v>#N/A</v>
      </c>
      <c r="BU14" s="74" t="n">
        <f aca="false">IF(BC14=1,BD14*1.5/10,0)</f>
        <v>10218</v>
      </c>
      <c r="BV14" s="74" t="n">
        <f aca="false">IF(BC14=1,(BP14+BQ14)*BD14*1.5/12,0)</f>
        <v>17030</v>
      </c>
      <c r="BW14" s="74" t="n">
        <f aca="false">IF(BC14=1,$BW$2*ABS(AW14)+$BW$1,0)</f>
        <v>8807.66598220397</v>
      </c>
      <c r="BX14" s="74" t="e">
        <f aca="false">IF(BC14=1,IF(((BW14+BS14)&gt;($BX$1*$BX$2)),((BW14+BS14)-($BX$1*$BX$2))*0.5,0),0)</f>
        <v>#N/A</v>
      </c>
      <c r="BY14" s="74" t="n">
        <f aca="false">IF(BC14=1,($BY$2-BP14-BQ14)*$BY$1*1.25*BD14/12,0)</f>
        <v>53218.75</v>
      </c>
      <c r="BZ14" s="74" t="n">
        <f aca="false">IF(BC14=1,BD14*$BZ$1/100,0)</f>
        <v>2384.2</v>
      </c>
      <c r="CA14" s="74" t="n">
        <f aca="false">IF(BC14=1,IF(AZ14&lt;50,$CA$1,$CA$2),0)</f>
        <v>1000</v>
      </c>
      <c r="CB14" s="74" t="n">
        <f aca="false">IF(BC14=1,$CB$1,0)</f>
        <v>6000</v>
      </c>
      <c r="CC14" s="74" t="n">
        <f aca="false">IF(BC14=1,$CC$1,0)</f>
        <v>2000</v>
      </c>
      <c r="CD14" s="74" t="n">
        <f aca="false">IF(BC14=1,$CD$1,0)</f>
        <v>2000</v>
      </c>
      <c r="CE14" s="74" t="n">
        <f aca="false">IF(BC14=1,$CE$1*$CE$2*151.67,0)</f>
        <v>6825.15</v>
      </c>
      <c r="CF14" s="74" t="n">
        <f aca="false">IF(BC14=1,$CF$1,0)</f>
        <v>5000</v>
      </c>
      <c r="CG14" s="85"/>
    </row>
  </sheetData>
  <autoFilter ref="M1:M14"/>
  <mergeCells count="2">
    <mergeCell ref="AW2:AZ2"/>
    <mergeCell ref="AW3:AZ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2021-04-19T15:22:30Z</dcterms:created>
  <dc:creator>USER</dc:creator>
  <dc:description/>
  <dc:language>fr-FR</dc:language>
  <cp:lastModifiedBy/>
  <dcterms:modified xsi:type="dcterms:W3CDTF">2021-07-24T09:29:33Z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