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to Rovellini\Documents\GOA\pw_setup\data\"/>
    </mc:Choice>
  </mc:AlternateContent>
  <xr:revisionPtr revIDLastSave="0" documentId="13_ncr:1_{8F16D816-0E05-47B6-B5E1-4029545FCB90}" xr6:coauthVersionLast="47" xr6:coauthVersionMax="47" xr10:uidLastSave="{00000000-0000-0000-0000-000000000000}"/>
  <bookViews>
    <workbookView xWindow="2688" yWindow="2688" windowWidth="17280" windowHeight="10044" xr2:uid="{F16416BE-6992-46CA-8EE6-6B6B5BB3B0EE}"/>
  </bookViews>
  <sheets>
    <sheet name="Tier 3" sheetId="1" r:id="rId1"/>
    <sheet name="Tier 4 and 5" sheetId="2" r:id="rId2"/>
    <sheet name="Tier 6" sheetId="3" r:id="rId3"/>
    <sheet name="No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12" i="1"/>
  <c r="L13" i="1"/>
  <c r="L15" i="1"/>
  <c r="L16" i="1"/>
  <c r="L17" i="1"/>
  <c r="L18" i="1"/>
  <c r="L19" i="1"/>
  <c r="L4" i="1"/>
  <c r="K5" i="1"/>
  <c r="K6" i="1"/>
  <c r="K12" i="1"/>
  <c r="K13" i="1"/>
  <c r="K15" i="1"/>
  <c r="K16" i="1"/>
  <c r="K17" i="1"/>
  <c r="K18" i="1"/>
  <c r="K19" i="1"/>
  <c r="K4" i="1"/>
  <c r="G4" i="2" l="1"/>
  <c r="B18" i="2"/>
  <c r="D4" i="3"/>
  <c r="D6" i="3" l="1"/>
  <c r="H7" i="2"/>
  <c r="G7" i="2"/>
  <c r="I7" i="2" l="1"/>
  <c r="H10" i="2"/>
  <c r="I10" i="2" s="1"/>
  <c r="G10" i="2"/>
  <c r="G8" i="2"/>
  <c r="G6" i="2"/>
  <c r="E9" i="2"/>
  <c r="G9" i="2" s="1"/>
  <c r="H8" i="2"/>
  <c r="H6" i="2"/>
  <c r="H5" i="2"/>
  <c r="G5" i="2"/>
  <c r="H4" i="2"/>
  <c r="I4" i="2" s="1"/>
  <c r="D5" i="3"/>
  <c r="D9" i="3"/>
  <c r="D11" i="3" l="1"/>
  <c r="D10" i="3"/>
  <c r="I6" i="2"/>
  <c r="H9" i="2"/>
  <c r="I9" i="2" s="1"/>
  <c r="I11" i="2" s="1"/>
  <c r="I5" i="2"/>
  <c r="I8" i="2"/>
  <c r="G11" i="2" l="1"/>
  <c r="D6" i="1"/>
  <c r="E6" i="1"/>
  <c r="H6" i="1"/>
  <c r="I6" i="1"/>
  <c r="J7" i="1"/>
  <c r="J8" i="1"/>
  <c r="J9" i="1"/>
  <c r="J10" i="1"/>
  <c r="D11" i="1"/>
  <c r="E11" i="1"/>
  <c r="H11" i="1"/>
  <c r="I11" i="1"/>
  <c r="J11" i="1"/>
  <c r="D12" i="1"/>
  <c r="E12" i="1"/>
  <c r="H12" i="1"/>
  <c r="I12" i="1"/>
  <c r="D13" i="1"/>
  <c r="E13" i="1"/>
  <c r="H13" i="1"/>
  <c r="I13" i="1"/>
  <c r="D14" i="1"/>
  <c r="E14" i="1"/>
  <c r="H14" i="1"/>
  <c r="I14" i="1"/>
  <c r="J14" i="1"/>
  <c r="D15" i="1"/>
  <c r="E15" i="1"/>
  <c r="H15" i="1"/>
  <c r="I15" i="1"/>
  <c r="D16" i="1"/>
  <c r="E16" i="1"/>
  <c r="H16" i="1"/>
  <c r="I16" i="1"/>
  <c r="D17" i="1"/>
  <c r="E17" i="1"/>
  <c r="H17" i="1"/>
  <c r="I17" i="1"/>
  <c r="D18" i="1"/>
  <c r="E18" i="1"/>
  <c r="H18" i="1"/>
  <c r="I18" i="1"/>
  <c r="L7" i="1" l="1"/>
  <c r="K7" i="1"/>
  <c r="L8" i="1"/>
  <c r="K8" i="1"/>
  <c r="L11" i="1"/>
  <c r="K11" i="1"/>
  <c r="L14" i="1"/>
  <c r="K14" i="1"/>
  <c r="L9" i="1"/>
  <c r="K9" i="1"/>
  <c r="L10" i="1"/>
  <c r="K10" i="1"/>
  <c r="E20" i="1"/>
  <c r="D20" i="1"/>
</calcChain>
</file>

<file path=xl/sharedStrings.xml><?xml version="1.0" encoding="utf-8"?>
<sst xmlns="http://schemas.openxmlformats.org/spreadsheetml/2006/main" count="172" uniqueCount="79">
  <si>
    <t>Partial</t>
  </si>
  <si>
    <t>Dusky rockfish</t>
  </si>
  <si>
    <t>Full</t>
  </si>
  <si>
    <t>Rougheye &amp; blackspotted rockfish</t>
  </si>
  <si>
    <t>Northern rockfish</t>
  </si>
  <si>
    <t>Pacific ocean perch</t>
  </si>
  <si>
    <t>Flathead sole</t>
  </si>
  <si>
    <t>M is an average of female and male M (female M = 0.2, male M = .35</t>
  </si>
  <si>
    <t>Arrowtooth flounder</t>
  </si>
  <si>
    <t>Rex sole, eastern</t>
  </si>
  <si>
    <t>Rex sole, western-central</t>
  </si>
  <si>
    <t>M is an average of female and male M (female M = 0.113, male M = .119</t>
  </si>
  <si>
    <t>Dover sole</t>
  </si>
  <si>
    <t>M is an average of female and male M (female M = 0.2, male M = .253</t>
  </si>
  <si>
    <t>M is an average of female and male M (female M = 0.2, male M = .271</t>
  </si>
  <si>
    <t>Western SRS, N. and S. rock sole</t>
  </si>
  <si>
    <t>M is an average of female and male M (female M = 0.2, male M = .232</t>
  </si>
  <si>
    <t>Central NRS, N. and S. rock sole</t>
  </si>
  <si>
    <t>M is an average of female and male M (female M = 0.2, male M = .254</t>
  </si>
  <si>
    <t>Western NRS, N. and S. rock sole</t>
  </si>
  <si>
    <t>GOA proportion of Alaska-wide OFL based on unweighted average (.7225) over 1990-2021.</t>
  </si>
  <si>
    <t>Sablefish</t>
  </si>
  <si>
    <t>Fishing mortality reference points are the sum of apical F</t>
  </si>
  <si>
    <t>Pacific cod</t>
  </si>
  <si>
    <t>M is age-specific, 0.30 is the average above the age of maturity</t>
  </si>
  <si>
    <t>Pollock</t>
  </si>
  <si>
    <t>Notes</t>
  </si>
  <si>
    <t>M</t>
  </si>
  <si>
    <t>B40%</t>
  </si>
  <si>
    <t>B35%</t>
  </si>
  <si>
    <t>FABC</t>
  </si>
  <si>
    <t>FOFL</t>
  </si>
  <si>
    <t>CABC</t>
  </si>
  <si>
    <t>COFL</t>
  </si>
  <si>
    <t>Tier</t>
  </si>
  <si>
    <t>2021 Assessment status</t>
  </si>
  <si>
    <t>Stock</t>
  </si>
  <si>
    <t>Table. Estimates of MSY reference points (tons) for Tier 3 stocks in the Gulf of Alaska</t>
  </si>
  <si>
    <t>Skates</t>
  </si>
  <si>
    <t>None</t>
  </si>
  <si>
    <t>Octopus</t>
  </si>
  <si>
    <t>Atka mackerel</t>
  </si>
  <si>
    <t>Thornyhead rockfish</t>
  </si>
  <si>
    <t>Shallow water flatfish (excluding northern and southern rock sole)</t>
  </si>
  <si>
    <t>OFL</t>
  </si>
  <si>
    <t>Stock/Stock complex</t>
  </si>
  <si>
    <t>Sharks, except spiny dogfish</t>
  </si>
  <si>
    <t>Table. Estimates of MSY reference points (tons) for Tier 6 stocks in the Gulf of Alaska</t>
  </si>
  <si>
    <t>Table. Estimates of MSY reference points (tons) for Tier 4 and 5 stocks in the Gulf of Alaska</t>
  </si>
  <si>
    <t>M or FMSY</t>
  </si>
  <si>
    <t>Stock depletion</t>
  </si>
  <si>
    <t>Tier 4 and 5 total</t>
  </si>
  <si>
    <t>Average Biomass</t>
  </si>
  <si>
    <t>Average Harvest</t>
  </si>
  <si>
    <t>Other rockfish, 17 Tier 5 stocks</t>
  </si>
  <si>
    <t>Tier 3 total</t>
  </si>
  <si>
    <t>Deepwater flatfish, except Dover sole</t>
  </si>
  <si>
    <t>Other rockfish, Tier 6 only</t>
  </si>
  <si>
    <t>Demersal shelf rockfish, except yelloweye rockfish</t>
  </si>
  <si>
    <t>Central SRS, N. and S. rock sole</t>
  </si>
  <si>
    <t>Other rockfish, sharpchin rockfish only</t>
  </si>
  <si>
    <t>Demersal shelf rockfish, yelloweye rockfish only</t>
  </si>
  <si>
    <t>Sharks, spiny dogfish only</t>
  </si>
  <si>
    <t>RE average biomass from 1990-2021. Average catches 2004-2021.</t>
  </si>
  <si>
    <t>Average survey biomass 1990-2021, average catches 2003-2021.</t>
  </si>
  <si>
    <t>RE average biomass 1990-2021, average catches 2003-2021.</t>
  </si>
  <si>
    <t>RE average biomass 1990-2019, average catches 2003-2021.</t>
  </si>
  <si>
    <t>RE average biomass 1990-2019 = 46720, catchability = 0.21, Average catches 2011-2021.</t>
  </si>
  <si>
    <t>Average ROV biomass 2019-2022, average catches 2006-2021.</t>
  </si>
  <si>
    <t>MSY (no B35% correction)</t>
  </si>
  <si>
    <t xml:space="preserve">MSY (Corrected to B35%) </t>
  </si>
  <si>
    <t>M is an average of female and male M (female M = 0.2, male M = .35)</t>
  </si>
  <si>
    <t>M is an average of female and male M (female M = 0.113, male M = .119)</t>
  </si>
  <si>
    <t>M is an average of female and male M (female M = 0.2, male M = .253)</t>
  </si>
  <si>
    <t>M is an average of female and male M (female M = 0.2, male M = .271)</t>
  </si>
  <si>
    <t>M is an average of female and male M (female M = 0.2, male M = .232)</t>
  </si>
  <si>
    <t>M is an average of female and male M (female M = 0.2, male M = .254)</t>
  </si>
  <si>
    <t>Table. Notes</t>
  </si>
  <si>
    <t>Tier 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</si>
</sst>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wrapText="1"/>
    </xf>
    <xf numFmtId="1" fontId="3" fillId="0" borderId="0" xfId="0" applyNumberFormat="1" applyFont="1"/>
    <xf numFmtId="0" fontId="3" fillId="0" borderId="0" xfId="0" applyFont="1" applyAlignment="1">
      <alignment horizontal="right"/>
    </xf>
    <xf numFmtId="1" fontId="3" fillId="0" borderId="1" xfId="0" applyNumberFormat="1" applyFont="1" applyBorder="1"/>
    <xf numFmtId="1" fontId="3" fillId="0" borderId="0" xfId="0" applyNumberFormat="1" applyFont="1" applyAlignment="1">
      <alignment horizontal="right"/>
    </xf>
    <xf numFmtId="164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1" xfId="0" applyFont="1" applyBorder="1"/>
    <xf numFmtId="164" fontId="3" fillId="0" borderId="1" xfId="0" applyNumberFormat="1" applyFont="1" applyBorder="1"/>
    <xf numFmtId="0" fontId="3" fillId="0" borderId="2" xfId="0" applyFont="1" applyBorder="1" applyAlignment="1">
      <alignment wrapText="1"/>
    </xf>
    <xf numFmtId="1" fontId="3" fillId="0" borderId="0" xfId="0" applyNumberFormat="1" applyFont="1" applyAlignment="1">
      <alignment horizontal="center"/>
    </xf>
    <xf numFmtId="2" fontId="3" fillId="0" borderId="2" xfId="0" applyNumberFormat="1" applyFont="1" applyBorder="1" applyAlignment="1">
      <alignment wrapText="1"/>
    </xf>
    <xf numFmtId="0" fontId="4" fillId="0" borderId="0" xfId="0" applyFont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right" vertical="top"/>
    </xf>
    <xf numFmtId="0" fontId="4" fillId="0" borderId="2" xfId="0" applyFont="1" applyBorder="1"/>
    <xf numFmtId="2" fontId="4" fillId="0" borderId="2" xfId="0" applyNumberFormat="1" applyFont="1" applyBorder="1" applyAlignment="1">
      <alignment wrapText="1"/>
    </xf>
    <xf numFmtId="0" fontId="5" fillId="0" borderId="0" xfId="0" applyFont="1"/>
    <xf numFmtId="2" fontId="3" fillId="0" borderId="0" xfId="0" applyNumberFormat="1" applyFont="1" applyAlignment="1">
      <alignment wrapText="1"/>
    </xf>
    <xf numFmtId="2" fontId="3" fillId="0" borderId="0" xfId="0" applyNumberFormat="1" applyFont="1"/>
  </cellXfs>
  <cellStyles count="2">
    <cellStyle name="Normal" xfId="0" builtinId="0"/>
    <cellStyle name="Normal 3" xfId="1" xr:uid="{ADB43D54-474C-4953-8705-7FFEF34268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F031-AEDD-4169-B142-4E692B6A8D8C}">
  <dimension ref="A1:U26"/>
  <sheetViews>
    <sheetView showGridLines="0" tabSelected="1" zoomScale="118" zoomScaleNormal="118" workbookViewId="0">
      <selection activeCell="F5" sqref="F5"/>
    </sheetView>
  </sheetViews>
  <sheetFormatPr defaultColWidth="9.109375" defaultRowHeight="13.8" x14ac:dyDescent="0.25"/>
  <cols>
    <col min="1" max="1" width="30.5546875" style="2" customWidth="1"/>
    <col min="2" max="2" width="19.88671875" style="2" customWidth="1"/>
    <col min="3" max="16384" width="9.109375" style="2"/>
  </cols>
  <sheetData>
    <row r="1" spans="1:21" x14ac:dyDescent="0.25">
      <c r="A1" s="1" t="s">
        <v>37</v>
      </c>
    </row>
    <row r="3" spans="1:21" ht="27.6" x14ac:dyDescent="0.25">
      <c r="A3" s="3" t="s">
        <v>36</v>
      </c>
      <c r="B3" s="16" t="s">
        <v>35</v>
      </c>
      <c r="C3" s="3" t="s">
        <v>34</v>
      </c>
      <c r="D3" s="3" t="s">
        <v>33</v>
      </c>
      <c r="E3" s="3" t="s">
        <v>32</v>
      </c>
      <c r="F3" s="3" t="s">
        <v>31</v>
      </c>
      <c r="G3" s="3" t="s">
        <v>30</v>
      </c>
      <c r="H3" s="3" t="s">
        <v>29</v>
      </c>
      <c r="I3" s="3" t="s">
        <v>28</v>
      </c>
      <c r="J3" s="3" t="s">
        <v>27</v>
      </c>
      <c r="K3" s="3"/>
      <c r="L3" s="3"/>
      <c r="M3" s="3"/>
      <c r="N3" s="3"/>
      <c r="O3" s="3"/>
      <c r="P3" s="3" t="s">
        <v>26</v>
      </c>
      <c r="Q3" s="3"/>
      <c r="R3" s="3"/>
      <c r="S3" s="3"/>
      <c r="T3" s="3"/>
      <c r="U3" s="3"/>
    </row>
    <row r="4" spans="1:21" x14ac:dyDescent="0.25">
      <c r="A4" s="2" t="s">
        <v>25</v>
      </c>
      <c r="B4" s="2" t="s">
        <v>2</v>
      </c>
      <c r="C4" s="2">
        <v>3</v>
      </c>
      <c r="D4" s="5">
        <v>187127</v>
      </c>
      <c r="E4" s="5">
        <v>171728</v>
      </c>
      <c r="F4" s="9">
        <v>0.31128699999999998</v>
      </c>
      <c r="G4" s="9">
        <v>0.26281900000000002</v>
      </c>
      <c r="H4" s="5">
        <v>150089</v>
      </c>
      <c r="I4" s="5">
        <v>171530</v>
      </c>
      <c r="J4" s="9">
        <v>0.3</v>
      </c>
      <c r="K4" s="9">
        <f>(J4-F4)/F4</f>
        <v>-3.62591434913761E-2</v>
      </c>
      <c r="L4" s="9">
        <f>(J4-G4)/G4</f>
        <v>0.14146998504674305</v>
      </c>
      <c r="M4" s="9"/>
      <c r="N4" s="9"/>
      <c r="O4" s="9"/>
      <c r="P4" s="2" t="s">
        <v>24</v>
      </c>
    </row>
    <row r="5" spans="1:21" x14ac:dyDescent="0.25">
      <c r="A5" s="2" t="s">
        <v>23</v>
      </c>
      <c r="B5" s="2" t="s">
        <v>2</v>
      </c>
      <c r="C5" s="2">
        <v>3</v>
      </c>
      <c r="D5" s="5">
        <v>77532.800000000003</v>
      </c>
      <c r="E5" s="5">
        <v>72056.3</v>
      </c>
      <c r="F5" s="9">
        <v>0.51</v>
      </c>
      <c r="G5" s="9">
        <v>0.69628900000000005</v>
      </c>
      <c r="H5" s="5">
        <v>56849</v>
      </c>
      <c r="I5" s="5">
        <v>64970</v>
      </c>
      <c r="J5" s="9">
        <v>0.48</v>
      </c>
      <c r="K5" s="9">
        <f t="shared" ref="K5:K19" si="0">(J5-F5)/F5</f>
        <v>-5.8823529411764754E-2</v>
      </c>
      <c r="L5" s="9">
        <f t="shared" ref="L5:L19" si="1">(J5-G5)/G5</f>
        <v>-0.31063107416604319</v>
      </c>
      <c r="M5" s="9"/>
      <c r="N5" s="9"/>
      <c r="O5" s="9"/>
      <c r="P5" s="2" t="s">
        <v>22</v>
      </c>
    </row>
    <row r="6" spans="1:21" x14ac:dyDescent="0.25">
      <c r="A6" s="2" t="s">
        <v>21</v>
      </c>
      <c r="B6" s="2" t="s">
        <v>2</v>
      </c>
      <c r="C6" s="2">
        <v>3</v>
      </c>
      <c r="D6" s="5">
        <f>1000*0.7225*22.3146</f>
        <v>16122.298499999999</v>
      </c>
      <c r="E6" s="5">
        <f>1000*0.7225*20.9044</f>
        <v>15103.429</v>
      </c>
      <c r="F6" s="9">
        <v>9.4242400000000004E-2</v>
      </c>
      <c r="G6" s="9">
        <v>7.9964800000000003E-2</v>
      </c>
      <c r="H6" s="5">
        <f>1000*0.7225*103.373</f>
        <v>74686.992500000008</v>
      </c>
      <c r="I6" s="5">
        <f>1000*0.7225*118.14</f>
        <v>85356.15</v>
      </c>
      <c r="J6" s="9">
        <v>0.1</v>
      </c>
      <c r="K6" s="9">
        <f t="shared" si="0"/>
        <v>6.1093520538526201E-2</v>
      </c>
      <c r="L6" s="9">
        <f t="shared" si="1"/>
        <v>0.25055024210652688</v>
      </c>
      <c r="M6" s="9"/>
      <c r="N6" s="9"/>
      <c r="O6" s="9"/>
      <c r="P6" s="2" t="s">
        <v>20</v>
      </c>
    </row>
    <row r="7" spans="1:21" x14ac:dyDescent="0.25">
      <c r="A7" s="2" t="s">
        <v>19</v>
      </c>
      <c r="B7" s="2" t="s">
        <v>2</v>
      </c>
      <c r="C7" s="2">
        <v>3</v>
      </c>
      <c r="D7" s="5">
        <v>4320</v>
      </c>
      <c r="E7" s="5">
        <v>3978.36</v>
      </c>
      <c r="F7" s="9">
        <v>0.385745</v>
      </c>
      <c r="G7" s="9">
        <v>0.31341799999999997</v>
      </c>
      <c r="H7" s="5">
        <v>10045.5</v>
      </c>
      <c r="I7" s="5">
        <v>11480.6</v>
      </c>
      <c r="J7" s="9">
        <f>AVERAGE(0.2,0.254)</f>
        <v>0.22700000000000001</v>
      </c>
      <c r="K7" s="9">
        <f t="shared" si="0"/>
        <v>-0.41152834126171434</v>
      </c>
      <c r="L7" s="9">
        <f t="shared" si="1"/>
        <v>-0.27572762253603805</v>
      </c>
      <c r="M7" s="9"/>
      <c r="N7" s="9"/>
      <c r="O7" s="9"/>
      <c r="P7" s="2" t="s">
        <v>18</v>
      </c>
    </row>
    <row r="8" spans="1:21" x14ac:dyDescent="0.25">
      <c r="A8" s="2" t="s">
        <v>17</v>
      </c>
      <c r="B8" s="2" t="s">
        <v>2</v>
      </c>
      <c r="C8" s="2">
        <v>3</v>
      </c>
      <c r="D8" s="5">
        <v>2935.7</v>
      </c>
      <c r="E8" s="5">
        <v>2730.56</v>
      </c>
      <c r="F8" s="9">
        <v>0.18079799999999999</v>
      </c>
      <c r="G8" s="9">
        <v>0.152666</v>
      </c>
      <c r="H8" s="5">
        <v>7319.56</v>
      </c>
      <c r="I8" s="5">
        <v>8365.2099999999991</v>
      </c>
      <c r="J8" s="9">
        <f>AVERAGE(0.2,0.232)</f>
        <v>0.21600000000000003</v>
      </c>
      <c r="K8" s="9">
        <f t="shared" si="0"/>
        <v>0.19470348123319972</v>
      </c>
      <c r="L8" s="9">
        <f t="shared" si="1"/>
        <v>0.41485333997091711</v>
      </c>
      <c r="M8" s="9"/>
      <c r="N8" s="9"/>
      <c r="O8" s="9"/>
      <c r="P8" s="2" t="s">
        <v>16</v>
      </c>
    </row>
    <row r="9" spans="1:21" x14ac:dyDescent="0.25">
      <c r="A9" s="2" t="s">
        <v>15</v>
      </c>
      <c r="B9" s="2" t="s">
        <v>2</v>
      </c>
      <c r="C9" s="2">
        <v>3</v>
      </c>
      <c r="D9" s="5">
        <v>6142.45</v>
      </c>
      <c r="E9" s="5">
        <v>5658.3</v>
      </c>
      <c r="F9" s="9">
        <v>0.22228500000000001</v>
      </c>
      <c r="G9" s="9">
        <v>0.185165</v>
      </c>
      <c r="H9" s="5">
        <v>15325.7</v>
      </c>
      <c r="I9" s="5">
        <v>17515.099999999999</v>
      </c>
      <c r="J9" s="9">
        <f>AVERAGE(0.2,0.271)</f>
        <v>0.23550000000000001</v>
      </c>
      <c r="K9" s="9">
        <f t="shared" si="0"/>
        <v>5.9450705175787856E-2</v>
      </c>
      <c r="L9" s="9">
        <f t="shared" si="1"/>
        <v>0.27183863041071488</v>
      </c>
      <c r="M9" s="9"/>
      <c r="N9" s="9"/>
      <c r="O9" s="9"/>
      <c r="P9" s="2" t="s">
        <v>14</v>
      </c>
    </row>
    <row r="10" spans="1:21" x14ac:dyDescent="0.25">
      <c r="A10" s="2" t="s">
        <v>59</v>
      </c>
      <c r="B10" s="2" t="s">
        <v>2</v>
      </c>
      <c r="C10" s="2">
        <v>3</v>
      </c>
      <c r="D10" s="5">
        <v>8183.64</v>
      </c>
      <c r="E10" s="5">
        <v>7553.63</v>
      </c>
      <c r="F10" s="9">
        <v>0.26828299999999999</v>
      </c>
      <c r="G10" s="9">
        <v>0.22359399999999999</v>
      </c>
      <c r="H10" s="5">
        <v>18703.7</v>
      </c>
      <c r="I10" s="5">
        <v>21375.599999999999</v>
      </c>
      <c r="J10" s="9">
        <f>AVERAGE(0.2,0.253)</f>
        <v>0.22650000000000001</v>
      </c>
      <c r="K10" s="9">
        <f t="shared" si="0"/>
        <v>-0.15574225724328411</v>
      </c>
      <c r="L10" s="9">
        <f t="shared" si="1"/>
        <v>1.2996770933030493E-2</v>
      </c>
      <c r="M10" s="9"/>
      <c r="N10" s="9"/>
      <c r="O10" s="9"/>
      <c r="P10" s="2" t="s">
        <v>13</v>
      </c>
    </row>
    <row r="11" spans="1:21" x14ac:dyDescent="0.25">
      <c r="A11" s="2" t="s">
        <v>12</v>
      </c>
      <c r="B11" s="2" t="s">
        <v>0</v>
      </c>
      <c r="C11" s="2">
        <v>3</v>
      </c>
      <c r="D11" s="5">
        <f>2.44313*1000</f>
        <v>2443.13</v>
      </c>
      <c r="E11" s="5">
        <f>1000*2.23512</f>
        <v>2235.1200000000003</v>
      </c>
      <c r="F11" s="9">
        <v>0.110982</v>
      </c>
      <c r="G11" s="9">
        <v>9.3098100000000003E-2</v>
      </c>
      <c r="H11" s="5">
        <f>1000*6.66108</f>
        <v>6661.08</v>
      </c>
      <c r="I11" s="5">
        <f>1000*7.61266</f>
        <v>7612.66</v>
      </c>
      <c r="J11" s="9">
        <f>AVERAGE(0.113,0.119)</f>
        <v>0.11599999999999999</v>
      </c>
      <c r="K11" s="9">
        <f t="shared" si="0"/>
        <v>4.521453929466035E-2</v>
      </c>
      <c r="L11" s="9">
        <f t="shared" si="1"/>
        <v>0.2459975015601821</v>
      </c>
      <c r="M11" s="9"/>
      <c r="N11" s="9"/>
      <c r="O11" s="9"/>
      <c r="P11" s="2" t="s">
        <v>11</v>
      </c>
    </row>
    <row r="12" spans="1:21" x14ac:dyDescent="0.25">
      <c r="A12" s="2" t="s">
        <v>10</v>
      </c>
      <c r="B12" s="2" t="s">
        <v>2</v>
      </c>
      <c r="C12" s="2">
        <v>3</v>
      </c>
      <c r="D12" s="5">
        <f>1000*7.41712</f>
        <v>7417.12</v>
      </c>
      <c r="E12" s="5">
        <f>1000*6.84428</f>
        <v>6844.2800000000007</v>
      </c>
      <c r="F12" s="9">
        <v>0.28481600000000001</v>
      </c>
      <c r="G12" s="9">
        <v>0.22869400000000001</v>
      </c>
      <c r="H12" s="5">
        <f>1000*16.3688</f>
        <v>16368.800000000001</v>
      </c>
      <c r="I12" s="5">
        <f>1000*18.7072</f>
        <v>18707.2</v>
      </c>
      <c r="J12" s="9">
        <v>0.17</v>
      </c>
      <c r="K12" s="9">
        <f t="shared" si="0"/>
        <v>-0.40312342003258245</v>
      </c>
      <c r="L12" s="9">
        <f t="shared" si="1"/>
        <v>-0.25664862217635792</v>
      </c>
      <c r="M12" s="9"/>
      <c r="N12" s="9"/>
      <c r="O12" s="9"/>
    </row>
    <row r="13" spans="1:21" x14ac:dyDescent="0.25">
      <c r="A13" s="2" t="s">
        <v>9</v>
      </c>
      <c r="B13" s="2" t="s">
        <v>2</v>
      </c>
      <c r="C13" s="2">
        <v>3</v>
      </c>
      <c r="D13" s="5">
        <f>1000*1.6832</f>
        <v>1683.2</v>
      </c>
      <c r="E13" s="5">
        <f>1000*1.54552</f>
        <v>1545.52</v>
      </c>
      <c r="F13" s="9">
        <v>0.30932999999999999</v>
      </c>
      <c r="G13" s="9">
        <v>0.246587</v>
      </c>
      <c r="H13" s="5">
        <f>1000*3.14934</f>
        <v>3149.34</v>
      </c>
      <c r="I13" s="5">
        <f>1000*3.59924</f>
        <v>3599.24</v>
      </c>
      <c r="J13" s="9">
        <v>0.17</v>
      </c>
      <c r="K13" s="9">
        <f t="shared" si="0"/>
        <v>-0.45042511233957255</v>
      </c>
      <c r="L13" s="9">
        <f t="shared" si="1"/>
        <v>-0.3105881494158248</v>
      </c>
      <c r="M13" s="9"/>
      <c r="N13" s="9"/>
      <c r="O13" s="9"/>
    </row>
    <row r="14" spans="1:21" x14ac:dyDescent="0.25">
      <c r="A14" s="2" t="s">
        <v>8</v>
      </c>
      <c r="B14" s="2" t="s">
        <v>2</v>
      </c>
      <c r="C14" s="2">
        <v>3</v>
      </c>
      <c r="D14" s="5">
        <f>1000*84.7878</f>
        <v>84787.8</v>
      </c>
      <c r="E14" s="5">
        <f>1000*79.182</f>
        <v>79182</v>
      </c>
      <c r="F14" s="9">
        <v>0.225051</v>
      </c>
      <c r="G14" s="9">
        <v>0.18549399999999999</v>
      </c>
      <c r="H14" s="5">
        <f>1000*356.544</f>
        <v>356544</v>
      </c>
      <c r="I14" s="5">
        <f>1000*407.478</f>
        <v>407478</v>
      </c>
      <c r="J14" s="9">
        <f>AVERAGE(0.2,0.35)</f>
        <v>0.27500000000000002</v>
      </c>
      <c r="K14" s="9">
        <f t="shared" si="0"/>
        <v>0.2219452479660167</v>
      </c>
      <c r="L14" s="9">
        <f t="shared" si="1"/>
        <v>0.4825277367462022</v>
      </c>
      <c r="M14" s="9"/>
      <c r="N14" s="9"/>
      <c r="O14" s="9"/>
      <c r="P14" s="2" t="s">
        <v>7</v>
      </c>
    </row>
    <row r="15" spans="1:21" x14ac:dyDescent="0.25">
      <c r="A15" s="2" t="s">
        <v>6</v>
      </c>
      <c r="B15" s="2" t="s">
        <v>0</v>
      </c>
      <c r="C15" s="2">
        <v>3</v>
      </c>
      <c r="D15" s="5">
        <f>1000*17.6194</f>
        <v>17619.399999999998</v>
      </c>
      <c r="E15" s="5">
        <f>1000*16.2275</f>
        <v>16227.5</v>
      </c>
      <c r="F15" s="9">
        <v>0.35573300000000002</v>
      </c>
      <c r="G15" s="9">
        <v>0.28407399999999999</v>
      </c>
      <c r="H15" s="5">
        <f>1000*32.0429</f>
        <v>32042.9</v>
      </c>
      <c r="I15" s="5">
        <f>1000*36.6204</f>
        <v>36620.399999999994</v>
      </c>
      <c r="J15" s="9">
        <v>0.2</v>
      </c>
      <c r="K15" s="9">
        <f t="shared" si="0"/>
        <v>-0.43778058262798225</v>
      </c>
      <c r="L15" s="9">
        <f t="shared" si="1"/>
        <v>-0.29595809542583967</v>
      </c>
      <c r="M15" s="9"/>
      <c r="N15" s="9"/>
      <c r="O15" s="9"/>
    </row>
    <row r="16" spans="1:21" x14ac:dyDescent="0.25">
      <c r="A16" s="2" t="s">
        <v>5</v>
      </c>
      <c r="B16" s="2" t="s">
        <v>2</v>
      </c>
      <c r="C16" s="2">
        <v>3</v>
      </c>
      <c r="D16" s="5">
        <f>1000*26.455</f>
        <v>26455</v>
      </c>
      <c r="E16" s="5">
        <f>1000*24.7167</f>
        <v>24716.7</v>
      </c>
      <c r="F16" s="9">
        <v>0.12045400000000001</v>
      </c>
      <c r="G16" s="9">
        <v>0.10036299999999999</v>
      </c>
      <c r="H16" s="5">
        <f>1000*116.171</f>
        <v>116171</v>
      </c>
      <c r="I16" s="5">
        <f>1000*132.767</f>
        <v>132767</v>
      </c>
      <c r="J16" s="9">
        <v>7.4999999999999997E-2</v>
      </c>
      <c r="K16" s="9">
        <f t="shared" si="0"/>
        <v>-0.3773556710445482</v>
      </c>
      <c r="L16" s="9">
        <f t="shared" si="1"/>
        <v>-0.2527126530693582</v>
      </c>
      <c r="M16" s="9"/>
      <c r="N16" s="9"/>
      <c r="O16" s="9"/>
    </row>
    <row r="17" spans="1:21" x14ac:dyDescent="0.25">
      <c r="A17" s="2" t="s">
        <v>4</v>
      </c>
      <c r="B17" s="2" t="s">
        <v>0</v>
      </c>
      <c r="C17" s="2">
        <v>3</v>
      </c>
      <c r="D17" s="5">
        <f>1000*5.27286</f>
        <v>5272.86</v>
      </c>
      <c r="E17" s="5">
        <f>1000*4.93127</f>
        <v>4931.2699999999995</v>
      </c>
      <c r="F17" s="9">
        <v>7.3275999999999994E-2</v>
      </c>
      <c r="G17" s="9">
        <v>6.1027400000000002E-2</v>
      </c>
      <c r="H17" s="5">
        <f>1000*29.6911</f>
        <v>29691.1</v>
      </c>
      <c r="I17" s="5">
        <f>1000*33.9327</f>
        <v>33932.699999999997</v>
      </c>
      <c r="J17" s="9">
        <v>5.8999999999999997E-2</v>
      </c>
      <c r="K17" s="9">
        <f t="shared" si="0"/>
        <v>-0.19482504503520931</v>
      </c>
      <c r="L17" s="9">
        <f t="shared" si="1"/>
        <v>-3.3221143289735522E-2</v>
      </c>
      <c r="M17" s="9"/>
      <c r="N17" s="9"/>
      <c r="O17" s="9"/>
    </row>
    <row r="18" spans="1:21" x14ac:dyDescent="0.25">
      <c r="A18" s="2" t="s">
        <v>3</v>
      </c>
      <c r="B18" s="2" t="s">
        <v>2</v>
      </c>
      <c r="C18" s="2">
        <v>3</v>
      </c>
      <c r="D18" s="5">
        <f>1000*0.615453</f>
        <v>615.45299999999997</v>
      </c>
      <c r="E18" s="5">
        <f>1000*0.574153</f>
        <v>574.15300000000002</v>
      </c>
      <c r="F18" s="9">
        <v>4.5961799999999997E-2</v>
      </c>
      <c r="G18" s="9">
        <v>3.8128099999999998E-2</v>
      </c>
      <c r="H18" s="5">
        <f>1000*5.1717</f>
        <v>5171.7000000000007</v>
      </c>
      <c r="I18" s="5">
        <f>1000*5.91051</f>
        <v>5910.51</v>
      </c>
      <c r="J18" s="9">
        <v>3.4000000000000002E-2</v>
      </c>
      <c r="K18" s="9">
        <f t="shared" si="0"/>
        <v>-0.26025525545126593</v>
      </c>
      <c r="L18" s="9">
        <f t="shared" si="1"/>
        <v>-0.10826922925611283</v>
      </c>
      <c r="M18" s="9"/>
      <c r="N18" s="9"/>
      <c r="O18" s="9"/>
    </row>
    <row r="19" spans="1:21" x14ac:dyDescent="0.25">
      <c r="A19" s="2" t="s">
        <v>1</v>
      </c>
      <c r="B19" s="2" t="s">
        <v>0</v>
      </c>
      <c r="C19" s="2">
        <v>3</v>
      </c>
      <c r="D19" s="5">
        <v>4667.72</v>
      </c>
      <c r="E19" s="5">
        <v>4362.2699999999995</v>
      </c>
      <c r="F19" s="9">
        <v>0.114372</v>
      </c>
      <c r="G19" s="9">
        <v>9.29257E-2</v>
      </c>
      <c r="H19" s="5">
        <v>21299.3</v>
      </c>
      <c r="I19" s="5">
        <v>24342.1</v>
      </c>
      <c r="J19" s="9">
        <v>7.0000000000000007E-2</v>
      </c>
      <c r="K19" s="9">
        <f t="shared" si="0"/>
        <v>-0.38796208862308951</v>
      </c>
      <c r="L19" s="9">
        <f t="shared" si="1"/>
        <v>-0.24671000595099088</v>
      </c>
      <c r="M19" s="9"/>
      <c r="N19" s="9"/>
      <c r="O19" s="9"/>
    </row>
    <row r="20" spans="1:21" x14ac:dyDescent="0.25">
      <c r="A20" s="12" t="s">
        <v>55</v>
      </c>
      <c r="B20" s="12"/>
      <c r="C20" s="12"/>
      <c r="D20" s="7">
        <f>SUM(D4:D19)</f>
        <v>453325.57149999996</v>
      </c>
      <c r="E20" s="7">
        <f>SUM(E4:E19)</f>
        <v>419427.39200000005</v>
      </c>
      <c r="F20" s="13"/>
      <c r="G20" s="13"/>
      <c r="H20" s="7"/>
      <c r="I20" s="7"/>
      <c r="J20" s="13"/>
      <c r="K20" s="13"/>
      <c r="L20" s="13"/>
      <c r="M20" s="13"/>
      <c r="N20" s="13"/>
      <c r="O20" s="13"/>
      <c r="P20" s="12"/>
      <c r="Q20" s="12"/>
      <c r="R20" s="12"/>
      <c r="S20" s="12"/>
      <c r="T20" s="12"/>
      <c r="U20" s="12"/>
    </row>
    <row r="21" spans="1:21" x14ac:dyDescent="0.25">
      <c r="D21" s="5"/>
      <c r="E21" s="5"/>
    </row>
    <row r="22" spans="1:21" x14ac:dyDescent="0.25">
      <c r="D22" s="5"/>
      <c r="K22" s="9"/>
    </row>
    <row r="23" spans="1:21" x14ac:dyDescent="0.25">
      <c r="D23" s="5"/>
    </row>
    <row r="24" spans="1:21" x14ac:dyDescent="0.25">
      <c r="D24" s="5"/>
    </row>
    <row r="26" spans="1:21" x14ac:dyDescent="0.25">
      <c r="F26" s="9"/>
      <c r="G26" s="9"/>
      <c r="J26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DABD-34E8-47BE-94BC-1DD32812CECB}">
  <dimension ref="A1:O18"/>
  <sheetViews>
    <sheetView showGridLines="0" topLeftCell="A16" zoomScale="118" zoomScaleNormal="118" workbookViewId="0">
      <selection activeCell="B27" sqref="B27"/>
    </sheetView>
  </sheetViews>
  <sheetFormatPr defaultColWidth="9.109375" defaultRowHeight="13.8" x14ac:dyDescent="0.25"/>
  <cols>
    <col min="1" max="1" width="30.44140625" style="2" customWidth="1"/>
    <col min="2" max="2" width="11.109375" style="2" customWidth="1"/>
    <col min="3" max="3" width="5.5546875" style="2" customWidth="1"/>
    <col min="4" max="4" width="9.33203125" style="2" customWidth="1"/>
    <col min="5" max="6" width="11.33203125" style="2" customWidth="1"/>
    <col min="7" max="7" width="10.5546875" style="2" customWidth="1"/>
    <col min="8" max="9" width="13.33203125" style="2" customWidth="1"/>
    <col min="10" max="16384" width="9.109375" style="2"/>
  </cols>
  <sheetData>
    <row r="1" spans="1:15" x14ac:dyDescent="0.25">
      <c r="A1" s="1" t="s">
        <v>48</v>
      </c>
    </row>
    <row r="3" spans="1:15" ht="45.75" customHeight="1" x14ac:dyDescent="0.25">
      <c r="A3" s="14" t="s">
        <v>45</v>
      </c>
      <c r="B3" s="14" t="s">
        <v>35</v>
      </c>
      <c r="C3" s="14" t="s">
        <v>34</v>
      </c>
      <c r="D3" s="14" t="s">
        <v>49</v>
      </c>
      <c r="E3" s="14" t="s">
        <v>52</v>
      </c>
      <c r="F3" s="14" t="s">
        <v>53</v>
      </c>
      <c r="G3" s="14" t="s">
        <v>69</v>
      </c>
      <c r="H3" s="14" t="s">
        <v>50</v>
      </c>
      <c r="I3" s="14" t="s">
        <v>70</v>
      </c>
      <c r="J3" s="14" t="s">
        <v>26</v>
      </c>
      <c r="K3" s="3"/>
      <c r="L3" s="3"/>
      <c r="M3" s="3"/>
      <c r="N3" s="3"/>
      <c r="O3" s="3"/>
    </row>
    <row r="4" spans="1:15" ht="27.6" x14ac:dyDescent="0.25">
      <c r="A4" s="4" t="s">
        <v>43</v>
      </c>
      <c r="B4" s="2" t="s">
        <v>2</v>
      </c>
      <c r="C4" s="2">
        <v>5</v>
      </c>
      <c r="D4" s="9">
        <v>0.2</v>
      </c>
      <c r="E4" s="5">
        <v>123149.20000000001</v>
      </c>
      <c r="F4" s="5">
        <v>1028.7720388527896</v>
      </c>
      <c r="G4" s="5">
        <f>D4*E4</f>
        <v>24629.840000000004</v>
      </c>
      <c r="H4" s="10">
        <f t="shared" ref="H4:H10" si="0">EXP(-(F4/E4)/D4)</f>
        <v>0.95909098374645307</v>
      </c>
      <c r="I4" s="5">
        <f>(0.35/H4)*G4</f>
        <v>8988.1399638711609</v>
      </c>
      <c r="J4" s="2" t="s">
        <v>64</v>
      </c>
    </row>
    <row r="5" spans="1:15" ht="27.6" x14ac:dyDescent="0.25">
      <c r="A5" s="4" t="s">
        <v>60</v>
      </c>
      <c r="B5" s="2" t="s">
        <v>2</v>
      </c>
      <c r="C5" s="6">
        <v>4</v>
      </c>
      <c r="D5" s="11">
        <v>7.9000000000000001E-2</v>
      </c>
      <c r="E5" s="8">
        <v>20167.078125000004</v>
      </c>
      <c r="F5" s="8">
        <v>101.23385828455787</v>
      </c>
      <c r="G5" s="5">
        <f t="shared" ref="G5:G10" si="1">D5*E5</f>
        <v>1593.1991718750003</v>
      </c>
      <c r="H5" s="10">
        <f t="shared" si="0"/>
        <v>0.9384354131045477</v>
      </c>
      <c r="I5" s="5">
        <f t="shared" ref="I5:I10" si="2">(0.35/H5)*G5</f>
        <v>594.20147872672794</v>
      </c>
      <c r="J5" s="2" t="s">
        <v>65</v>
      </c>
    </row>
    <row r="6" spans="1:15" x14ac:dyDescent="0.25">
      <c r="A6" s="4" t="s">
        <v>54</v>
      </c>
      <c r="B6" s="2" t="s">
        <v>2</v>
      </c>
      <c r="C6" s="6">
        <v>5</v>
      </c>
      <c r="D6" s="11">
        <v>5.5E-2</v>
      </c>
      <c r="E6" s="8">
        <v>66552.4375</v>
      </c>
      <c r="F6" s="8">
        <v>632.01432036055246</v>
      </c>
      <c r="G6" s="5">
        <f t="shared" si="1"/>
        <v>3660.3840624999998</v>
      </c>
      <c r="H6" s="10">
        <f t="shared" si="0"/>
        <v>0.84142079796723634</v>
      </c>
      <c r="I6" s="5">
        <f t="shared" si="2"/>
        <v>1522.5846864851148</v>
      </c>
      <c r="J6" s="2" t="s">
        <v>65</v>
      </c>
    </row>
    <row r="7" spans="1:15" ht="27.6" x14ac:dyDescent="0.25">
      <c r="A7" s="4" t="s">
        <v>61</v>
      </c>
      <c r="B7" s="2" t="s">
        <v>2</v>
      </c>
      <c r="C7" s="6">
        <v>4</v>
      </c>
      <c r="D7" s="9">
        <v>3.2000000000000001E-2</v>
      </c>
      <c r="E7" s="5">
        <v>11062</v>
      </c>
      <c r="F7" s="5">
        <v>402.66666666666669</v>
      </c>
      <c r="G7" s="5">
        <f t="shared" si="1"/>
        <v>353.98399999999998</v>
      </c>
      <c r="H7" s="10">
        <f t="shared" si="0"/>
        <v>0.32061063306997495</v>
      </c>
      <c r="I7" s="5">
        <f t="shared" si="2"/>
        <v>386.43259836288524</v>
      </c>
      <c r="J7" s="2" t="s">
        <v>68</v>
      </c>
    </row>
    <row r="8" spans="1:15" x14ac:dyDescent="0.25">
      <c r="A8" s="4" t="s">
        <v>42</v>
      </c>
      <c r="B8" s="2" t="s">
        <v>39</v>
      </c>
      <c r="C8" s="2">
        <v>5</v>
      </c>
      <c r="D8" s="9">
        <v>0.03</v>
      </c>
      <c r="E8" s="5">
        <v>77393.899999999994</v>
      </c>
      <c r="F8" s="5">
        <v>830.30874172286201</v>
      </c>
      <c r="G8" s="5">
        <f t="shared" si="1"/>
        <v>2321.8169999999996</v>
      </c>
      <c r="H8" s="10">
        <f t="shared" si="0"/>
        <v>0.69934463283154813</v>
      </c>
      <c r="I8" s="5">
        <f t="shared" si="2"/>
        <v>1161.996406134914</v>
      </c>
      <c r="J8" s="2" t="s">
        <v>66</v>
      </c>
    </row>
    <row r="9" spans="1:15" x14ac:dyDescent="0.25">
      <c r="A9" s="4" t="s">
        <v>62</v>
      </c>
      <c r="B9" s="2" t="s">
        <v>39</v>
      </c>
      <c r="C9" s="2">
        <v>5</v>
      </c>
      <c r="D9" s="9">
        <v>0.04</v>
      </c>
      <c r="E9" s="5">
        <f>46719.5666666667/0.21</f>
        <v>222474.12698412716</v>
      </c>
      <c r="F9" s="5">
        <v>1411.6198168465091</v>
      </c>
      <c r="G9" s="5">
        <f t="shared" si="1"/>
        <v>8898.9650793650871</v>
      </c>
      <c r="H9" s="10">
        <f t="shared" si="0"/>
        <v>0.85331423277746776</v>
      </c>
      <c r="I9" s="5">
        <f t="shared" si="2"/>
        <v>3650.0478465475608</v>
      </c>
      <c r="J9" s="2" t="s">
        <v>67</v>
      </c>
    </row>
    <row r="10" spans="1:15" x14ac:dyDescent="0.25">
      <c r="A10" s="4" t="s">
        <v>38</v>
      </c>
      <c r="B10" s="2" t="s">
        <v>2</v>
      </c>
      <c r="C10" s="2">
        <v>5</v>
      </c>
      <c r="D10" s="9">
        <v>0.1</v>
      </c>
      <c r="E10" s="5">
        <v>95178.21875</v>
      </c>
      <c r="F10" s="5">
        <v>3853.2607788385908</v>
      </c>
      <c r="G10" s="5">
        <f t="shared" si="1"/>
        <v>9517.8218749999996</v>
      </c>
      <c r="H10" s="10">
        <f t="shared" si="0"/>
        <v>0.66707892595740836</v>
      </c>
      <c r="I10" s="5">
        <f t="shared" si="2"/>
        <v>4993.7683932511045</v>
      </c>
      <c r="J10" s="2" t="s">
        <v>63</v>
      </c>
    </row>
    <row r="11" spans="1:15" x14ac:dyDescent="0.25">
      <c r="A11" s="12" t="s">
        <v>51</v>
      </c>
      <c r="B11" s="12"/>
      <c r="C11" s="12"/>
      <c r="D11" s="12"/>
      <c r="E11" s="12"/>
      <c r="F11" s="12"/>
      <c r="G11" s="7">
        <f>SUM(G4:G10)</f>
        <v>50976.011188740093</v>
      </c>
      <c r="H11" s="7"/>
      <c r="I11" s="7">
        <f>SUM(I4:I10)</f>
        <v>21297.171373379468</v>
      </c>
      <c r="J11" s="12"/>
      <c r="K11" s="12"/>
      <c r="L11" s="12"/>
      <c r="M11" s="12"/>
      <c r="N11" s="12"/>
      <c r="O11" s="12"/>
    </row>
    <row r="12" spans="1:15" x14ac:dyDescent="0.25">
      <c r="G12" s="5"/>
      <c r="H12" s="5"/>
      <c r="I12" s="5"/>
    </row>
    <row r="13" spans="1:15" x14ac:dyDescent="0.25">
      <c r="G13" s="5"/>
      <c r="H13" s="5"/>
      <c r="I13" s="5"/>
    </row>
    <row r="18" spans="2:2" x14ac:dyDescent="0.25">
      <c r="B18" s="2">
        <f>1/EXP(1)</f>
        <v>0.36787944117144233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E43DE-0175-4963-8CFE-BAB89938690B}">
  <dimension ref="A1:D12"/>
  <sheetViews>
    <sheetView showGridLines="0" zoomScale="118" zoomScaleNormal="118" workbookViewId="0">
      <selection activeCell="A12" sqref="A12"/>
    </sheetView>
  </sheetViews>
  <sheetFormatPr defaultColWidth="9.109375" defaultRowHeight="13.8" x14ac:dyDescent="0.25"/>
  <cols>
    <col min="1" max="1" width="30.44140625" style="2" customWidth="1"/>
    <col min="2" max="2" width="21" style="2" customWidth="1"/>
    <col min="3" max="16384" width="9.109375" style="2"/>
  </cols>
  <sheetData>
    <row r="1" spans="1:4" x14ac:dyDescent="0.25">
      <c r="A1" s="1" t="s">
        <v>47</v>
      </c>
    </row>
    <row r="3" spans="1:4" x14ac:dyDescent="0.25">
      <c r="A3" s="3" t="s">
        <v>45</v>
      </c>
      <c r="B3" s="3" t="s">
        <v>35</v>
      </c>
      <c r="C3" s="3" t="s">
        <v>34</v>
      </c>
      <c r="D3" s="3" t="s">
        <v>44</v>
      </c>
    </row>
    <row r="4" spans="1:4" ht="27.6" x14ac:dyDescent="0.25">
      <c r="A4" s="4" t="s">
        <v>56</v>
      </c>
      <c r="B4" s="2" t="s">
        <v>0</v>
      </c>
      <c r="C4" s="5">
        <v>6</v>
      </c>
      <c r="D4" s="5">
        <f>238+69+6</f>
        <v>313</v>
      </c>
    </row>
    <row r="5" spans="1:4" x14ac:dyDescent="0.25">
      <c r="A5" s="4" t="s">
        <v>57</v>
      </c>
      <c r="B5" s="2" t="s">
        <v>2</v>
      </c>
      <c r="C5" s="5">
        <v>6</v>
      </c>
      <c r="D5" s="5">
        <f>236</f>
        <v>236</v>
      </c>
    </row>
    <row r="6" spans="1:4" ht="27.6" x14ac:dyDescent="0.25">
      <c r="A6" s="4" t="s">
        <v>58</v>
      </c>
      <c r="B6" s="2" t="s">
        <v>2</v>
      </c>
      <c r="C6" s="8">
        <v>6</v>
      </c>
      <c r="D6" s="5">
        <f>26.1</f>
        <v>26.1</v>
      </c>
    </row>
    <row r="7" spans="1:4" x14ac:dyDescent="0.25">
      <c r="A7" s="4" t="s">
        <v>41</v>
      </c>
      <c r="B7" s="2" t="s">
        <v>2</v>
      </c>
      <c r="C7" s="5">
        <v>6</v>
      </c>
      <c r="D7" s="5">
        <v>6200</v>
      </c>
    </row>
    <row r="8" spans="1:4" x14ac:dyDescent="0.25">
      <c r="A8" s="4" t="s">
        <v>40</v>
      </c>
      <c r="B8" s="2" t="s">
        <v>2</v>
      </c>
      <c r="C8" s="5">
        <v>6</v>
      </c>
      <c r="D8" s="5">
        <v>1307</v>
      </c>
    </row>
    <row r="9" spans="1:4" x14ac:dyDescent="0.25">
      <c r="A9" s="26" t="s">
        <v>46</v>
      </c>
      <c r="B9" s="27" t="s">
        <v>39</v>
      </c>
      <c r="C9" s="5">
        <v>6</v>
      </c>
      <c r="D9" s="5">
        <f>570</f>
        <v>570</v>
      </c>
    </row>
    <row r="10" spans="1:4" x14ac:dyDescent="0.25">
      <c r="A10" s="12" t="s">
        <v>78</v>
      </c>
      <c r="B10" s="12"/>
      <c r="C10" s="12"/>
      <c r="D10" s="7">
        <f>SUM(D4:D9)</f>
        <v>8652.1</v>
      </c>
    </row>
    <row r="11" spans="1:4" x14ac:dyDescent="0.25">
      <c r="D11" s="15">
        <f>SUM(D4:D6,D8:D9)</f>
        <v>2452.1</v>
      </c>
    </row>
    <row r="12" spans="1:4" x14ac:dyDescent="0.25">
      <c r="D1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05AD-6666-4191-A72E-563B1FF8C606}">
  <dimension ref="A1:D26"/>
  <sheetViews>
    <sheetView showGridLines="0" topLeftCell="A13" zoomScale="118" zoomScaleNormal="118" workbookViewId="0">
      <selection activeCell="A20" sqref="A20"/>
    </sheetView>
  </sheetViews>
  <sheetFormatPr defaultColWidth="9.109375" defaultRowHeight="13.2" x14ac:dyDescent="0.25"/>
  <cols>
    <col min="1" max="1" width="30.5546875" style="17" customWidth="1"/>
    <col min="2" max="2" width="11.109375" style="17" customWidth="1"/>
    <col min="3" max="3" width="5.44140625" style="17" customWidth="1"/>
    <col min="4" max="4" width="61.33203125" style="17" customWidth="1"/>
    <col min="5" max="16384" width="9.109375" style="17"/>
  </cols>
  <sheetData>
    <row r="1" spans="1:4" x14ac:dyDescent="0.25">
      <c r="A1" s="25" t="s">
        <v>77</v>
      </c>
    </row>
    <row r="3" spans="1:4" ht="43.5" customHeight="1" x14ac:dyDescent="0.25">
      <c r="A3" s="23" t="s">
        <v>36</v>
      </c>
      <c r="B3" s="24" t="s">
        <v>35</v>
      </c>
      <c r="C3" s="23" t="s">
        <v>34</v>
      </c>
      <c r="D3" s="23" t="s">
        <v>26</v>
      </c>
    </row>
    <row r="4" spans="1:4" x14ac:dyDescent="0.25">
      <c r="A4" s="21" t="s">
        <v>25</v>
      </c>
      <c r="B4" s="21" t="s">
        <v>2</v>
      </c>
      <c r="C4" s="21">
        <v>3</v>
      </c>
      <c r="D4" s="20" t="s">
        <v>24</v>
      </c>
    </row>
    <row r="5" spans="1:4" x14ac:dyDescent="0.25">
      <c r="A5" s="21" t="s">
        <v>23</v>
      </c>
      <c r="B5" s="21" t="s">
        <v>2</v>
      </c>
      <c r="C5" s="21">
        <v>3</v>
      </c>
      <c r="D5" s="20" t="s">
        <v>22</v>
      </c>
    </row>
    <row r="6" spans="1:4" ht="26.4" x14ac:dyDescent="0.25">
      <c r="A6" s="21" t="s">
        <v>21</v>
      </c>
      <c r="B6" s="21" t="s">
        <v>2</v>
      </c>
      <c r="C6" s="21">
        <v>3</v>
      </c>
      <c r="D6" s="20" t="s">
        <v>20</v>
      </c>
    </row>
    <row r="7" spans="1:4" x14ac:dyDescent="0.25">
      <c r="A7" s="21" t="s">
        <v>19</v>
      </c>
      <c r="B7" s="21" t="s">
        <v>2</v>
      </c>
      <c r="C7" s="21">
        <v>3</v>
      </c>
      <c r="D7" s="20" t="s">
        <v>76</v>
      </c>
    </row>
    <row r="8" spans="1:4" x14ac:dyDescent="0.25">
      <c r="A8" s="21" t="s">
        <v>17</v>
      </c>
      <c r="B8" s="21" t="s">
        <v>2</v>
      </c>
      <c r="C8" s="21">
        <v>3</v>
      </c>
      <c r="D8" s="20" t="s">
        <v>75</v>
      </c>
    </row>
    <row r="9" spans="1:4" x14ac:dyDescent="0.25">
      <c r="A9" s="21" t="s">
        <v>15</v>
      </c>
      <c r="B9" s="21" t="s">
        <v>2</v>
      </c>
      <c r="C9" s="21">
        <v>3</v>
      </c>
      <c r="D9" s="20" t="s">
        <v>74</v>
      </c>
    </row>
    <row r="10" spans="1:4" x14ac:dyDescent="0.25">
      <c r="A10" s="21" t="s">
        <v>59</v>
      </c>
      <c r="B10" s="21" t="s">
        <v>2</v>
      </c>
      <c r="C10" s="21">
        <v>3</v>
      </c>
      <c r="D10" s="20" t="s">
        <v>73</v>
      </c>
    </row>
    <row r="11" spans="1:4" x14ac:dyDescent="0.25">
      <c r="A11" s="21" t="s">
        <v>12</v>
      </c>
      <c r="B11" s="21" t="s">
        <v>0</v>
      </c>
      <c r="C11" s="21">
        <v>3</v>
      </c>
      <c r="D11" s="20" t="s">
        <v>72</v>
      </c>
    </row>
    <row r="12" spans="1:4" x14ac:dyDescent="0.25">
      <c r="A12" s="21" t="s">
        <v>10</v>
      </c>
      <c r="B12" s="21" t="s">
        <v>2</v>
      </c>
      <c r="C12" s="21">
        <v>3</v>
      </c>
      <c r="D12" s="20"/>
    </row>
    <row r="13" spans="1:4" x14ac:dyDescent="0.25">
      <c r="A13" s="21" t="s">
        <v>9</v>
      </c>
      <c r="B13" s="21" t="s">
        <v>2</v>
      </c>
      <c r="C13" s="21">
        <v>3</v>
      </c>
      <c r="D13" s="20"/>
    </row>
    <row r="14" spans="1:4" x14ac:dyDescent="0.25">
      <c r="A14" s="21" t="s">
        <v>8</v>
      </c>
      <c r="B14" s="21" t="s">
        <v>2</v>
      </c>
      <c r="C14" s="21">
        <v>3</v>
      </c>
      <c r="D14" s="20" t="s">
        <v>71</v>
      </c>
    </row>
    <row r="15" spans="1:4" x14ac:dyDescent="0.25">
      <c r="A15" s="21" t="s">
        <v>6</v>
      </c>
      <c r="B15" s="21" t="s">
        <v>0</v>
      </c>
      <c r="C15" s="21">
        <v>3</v>
      </c>
      <c r="D15" s="20"/>
    </row>
    <row r="16" spans="1:4" x14ac:dyDescent="0.25">
      <c r="A16" s="21" t="s">
        <v>5</v>
      </c>
      <c r="B16" s="21" t="s">
        <v>2</v>
      </c>
      <c r="C16" s="21">
        <v>3</v>
      </c>
      <c r="D16" s="20"/>
    </row>
    <row r="17" spans="1:4" x14ac:dyDescent="0.25">
      <c r="A17" s="21" t="s">
        <v>4</v>
      </c>
      <c r="B17" s="21" t="s">
        <v>0</v>
      </c>
      <c r="C17" s="21">
        <v>3</v>
      </c>
      <c r="D17" s="20"/>
    </row>
    <row r="18" spans="1:4" x14ac:dyDescent="0.25">
      <c r="A18" s="21" t="s">
        <v>3</v>
      </c>
      <c r="B18" s="21" t="s">
        <v>2</v>
      </c>
      <c r="C18" s="21">
        <v>3</v>
      </c>
      <c r="D18" s="20"/>
    </row>
    <row r="19" spans="1:4" x14ac:dyDescent="0.25">
      <c r="A19" s="21" t="s">
        <v>1</v>
      </c>
      <c r="B19" s="21" t="s">
        <v>0</v>
      </c>
      <c r="C19" s="21">
        <v>3</v>
      </c>
      <c r="D19" s="20"/>
    </row>
    <row r="20" spans="1:4" ht="26.4" x14ac:dyDescent="0.25">
      <c r="A20" s="20" t="s">
        <v>43</v>
      </c>
      <c r="B20" s="21" t="s">
        <v>2</v>
      </c>
      <c r="C20" s="21">
        <v>5</v>
      </c>
      <c r="D20" s="20" t="s">
        <v>64</v>
      </c>
    </row>
    <row r="21" spans="1:4" ht="15" customHeight="1" x14ac:dyDescent="0.25">
      <c r="A21" s="20" t="s">
        <v>60</v>
      </c>
      <c r="B21" s="21" t="s">
        <v>2</v>
      </c>
      <c r="C21" s="22">
        <v>4</v>
      </c>
      <c r="D21" s="20" t="s">
        <v>65</v>
      </c>
    </row>
    <row r="22" spans="1:4" x14ac:dyDescent="0.25">
      <c r="A22" s="20" t="s">
        <v>54</v>
      </c>
      <c r="B22" s="21" t="s">
        <v>2</v>
      </c>
      <c r="C22" s="22">
        <v>5</v>
      </c>
      <c r="D22" s="20" t="s">
        <v>65</v>
      </c>
    </row>
    <row r="23" spans="1:4" ht="26.4" x14ac:dyDescent="0.25">
      <c r="A23" s="20" t="s">
        <v>61</v>
      </c>
      <c r="B23" s="21" t="s">
        <v>2</v>
      </c>
      <c r="C23" s="22">
        <v>4</v>
      </c>
      <c r="D23" s="20" t="s">
        <v>68</v>
      </c>
    </row>
    <row r="24" spans="1:4" x14ac:dyDescent="0.25">
      <c r="A24" s="20" t="s">
        <v>42</v>
      </c>
      <c r="B24" s="21" t="s">
        <v>39</v>
      </c>
      <c r="C24" s="21">
        <v>5</v>
      </c>
      <c r="D24" s="20" t="s">
        <v>66</v>
      </c>
    </row>
    <row r="25" spans="1:4" ht="26.4" x14ac:dyDescent="0.25">
      <c r="A25" s="20" t="s">
        <v>62</v>
      </c>
      <c r="B25" s="21" t="s">
        <v>39</v>
      </c>
      <c r="C25" s="21">
        <v>5</v>
      </c>
      <c r="D25" s="20" t="s">
        <v>67</v>
      </c>
    </row>
    <row r="26" spans="1:4" x14ac:dyDescent="0.25">
      <c r="A26" s="18" t="s">
        <v>38</v>
      </c>
      <c r="B26" s="19" t="s">
        <v>2</v>
      </c>
      <c r="C26" s="19">
        <v>5</v>
      </c>
      <c r="D26" s="18" t="s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Tier 3</vt:lpstr>
      <vt:lpstr>Tier 4 and 5</vt:lpstr>
      <vt:lpstr>Tier 6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mdorn</dc:creator>
  <cp:lastModifiedBy>Alberto Rovellini</cp:lastModifiedBy>
  <dcterms:created xsi:type="dcterms:W3CDTF">2022-02-11T19:12:32Z</dcterms:created>
  <dcterms:modified xsi:type="dcterms:W3CDTF">2023-09-26T13:31:52Z</dcterms:modified>
</cp:coreProperties>
</file>