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autoCompressPictures="0"/>
  <bookViews>
    <workbookView xWindow="360" yWindow="80" windowWidth="33340" windowHeight="25840"/>
  </bookViews>
  <sheets>
    <sheet name="Questionnaire" sheetId="3" r:id="rId1"/>
    <sheet name="Details" sheetId="1" r:id="rId2"/>
    <sheet name="Estimate" sheetId="4" r:id="rId3"/>
    <sheet name="Version History" sheetId="6" r:id="rId4"/>
    <sheet name="Utilities" sheetId="5" state="hidden" r:id="rId5"/>
  </sheets>
  <definedNames>
    <definedName name="MaximumWeeks">Utilities!$F$3:$F$11</definedName>
    <definedName name="MinimumPMHours">Utilities!$E$16:$E$24</definedName>
    <definedName name="MinimumWeeks">Utilities!$E$3:$E$11</definedName>
    <definedName name="NonPMHoursRange">Utilities!$D$16:$D$24</definedName>
    <definedName name="ProjectDuration">Utilities!$D$3:$F$11</definedName>
    <definedName name="ProjectHoursRange">Utilities!$D$3:$D$11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8" i="3" l="1"/>
  <c r="K32" i="1"/>
  <c r="J32" i="1"/>
  <c r="I32" i="1"/>
  <c r="I21" i="3"/>
  <c r="K39" i="1"/>
  <c r="J38" i="1"/>
  <c r="I38" i="1"/>
  <c r="I39" i="1"/>
  <c r="J39" i="1"/>
  <c r="K13" i="1"/>
  <c r="P13" i="1"/>
  <c r="U13" i="1"/>
  <c r="J8" i="1"/>
  <c r="O8" i="1"/>
  <c r="T8" i="1"/>
  <c r="I8" i="1"/>
  <c r="N8" i="1"/>
  <c r="S8" i="1"/>
  <c r="F43" i="4"/>
  <c r="F42" i="4"/>
  <c r="F41" i="4"/>
  <c r="F40" i="4"/>
  <c r="F39" i="4"/>
  <c r="I48" i="3"/>
  <c r="I68" i="1"/>
  <c r="N68" i="1"/>
  <c r="I42" i="1"/>
  <c r="I92" i="1"/>
  <c r="N92" i="1"/>
  <c r="S92" i="1"/>
  <c r="J42" i="1"/>
  <c r="O42" i="1"/>
  <c r="J92" i="1"/>
  <c r="K42" i="1"/>
  <c r="K92" i="1"/>
  <c r="P92" i="1"/>
  <c r="U92" i="1"/>
  <c r="N42" i="1"/>
  <c r="S42" i="1"/>
  <c r="J13" i="1"/>
  <c r="O13" i="1"/>
  <c r="T13" i="1"/>
  <c r="P42" i="1"/>
  <c r="U42" i="1"/>
  <c r="I9" i="3"/>
  <c r="I22" i="3"/>
  <c r="I17" i="3"/>
  <c r="I16" i="3"/>
  <c r="I4" i="3"/>
  <c r="I7" i="3"/>
  <c r="I13" i="3"/>
  <c r="I18" i="1"/>
  <c r="N18" i="1"/>
  <c r="S18" i="1"/>
  <c r="J17" i="1"/>
  <c r="O17" i="1"/>
  <c r="T17" i="1"/>
  <c r="K23" i="1"/>
  <c r="P23" i="1"/>
  <c r="U23" i="1"/>
  <c r="K26" i="1"/>
  <c r="P26" i="1"/>
  <c r="U26" i="1"/>
  <c r="T80" i="1"/>
  <c r="S80" i="1"/>
  <c r="U80" i="1"/>
  <c r="V80" i="1"/>
  <c r="O120" i="1"/>
  <c r="T120" i="1"/>
  <c r="P121" i="1"/>
  <c r="U121" i="1"/>
  <c r="I10" i="3"/>
  <c r="I17" i="1"/>
  <c r="N17" i="1"/>
  <c r="S17" i="1"/>
  <c r="I30" i="1"/>
  <c r="N30" i="1"/>
  <c r="S30" i="1"/>
  <c r="N120" i="1"/>
  <c r="S120" i="1"/>
  <c r="N121" i="1"/>
  <c r="S121" i="1"/>
  <c r="F38" i="4"/>
  <c r="E10" i="1"/>
  <c r="I106" i="3"/>
  <c r="I107" i="3"/>
  <c r="I6" i="3"/>
  <c r="I119" i="1"/>
  <c r="N119" i="1"/>
  <c r="S119" i="1"/>
  <c r="I23" i="3"/>
  <c r="K38" i="1"/>
  <c r="I29" i="3"/>
  <c r="I32" i="3"/>
  <c r="I33" i="3"/>
  <c r="I36" i="3"/>
  <c r="K53" i="1"/>
  <c r="P53" i="1"/>
  <c r="U53" i="1"/>
  <c r="I37" i="3"/>
  <c r="I38" i="3"/>
  <c r="I41" i="3"/>
  <c r="I42" i="3"/>
  <c r="I45" i="3"/>
  <c r="I44" i="3"/>
  <c r="K126" i="1"/>
  <c r="P126" i="1"/>
  <c r="U126" i="1"/>
  <c r="I43" i="3"/>
  <c r="I46" i="3"/>
  <c r="K65" i="1"/>
  <c r="P65" i="1"/>
  <c r="U65" i="1"/>
  <c r="I47" i="3"/>
  <c r="I51" i="3"/>
  <c r="I67" i="3"/>
  <c r="N161" i="1"/>
  <c r="I63" i="3"/>
  <c r="I54" i="3"/>
  <c r="I55" i="3"/>
  <c r="I57" i="3"/>
  <c r="I58" i="3"/>
  <c r="I59" i="3"/>
  <c r="I60" i="3"/>
  <c r="J177" i="1"/>
  <c r="I61" i="3"/>
  <c r="I62" i="3"/>
  <c r="I84" i="3"/>
  <c r="I88" i="3"/>
  <c r="K97" i="1"/>
  <c r="P97" i="1"/>
  <c r="U97" i="1"/>
  <c r="I89" i="3"/>
  <c r="K127" i="1"/>
  <c r="P127" i="1"/>
  <c r="U127" i="1"/>
  <c r="I90" i="3"/>
  <c r="I91" i="3"/>
  <c r="I92" i="3"/>
  <c r="I95" i="3"/>
  <c r="I98" i="3"/>
  <c r="I102" i="3"/>
  <c r="I103" i="3"/>
  <c r="I8" i="3"/>
  <c r="I5" i="3"/>
  <c r="E56" i="4"/>
  <c r="E57" i="4"/>
  <c r="D56" i="4"/>
  <c r="D57" i="4"/>
  <c r="C56" i="4"/>
  <c r="C57" i="4"/>
  <c r="E44" i="4"/>
  <c r="E45" i="4"/>
  <c r="E59" i="4"/>
  <c r="I68" i="3"/>
  <c r="I79" i="3"/>
  <c r="I64" i="3"/>
  <c r="I80" i="3"/>
  <c r="J55" i="3"/>
  <c r="I70" i="3"/>
  <c r="I71" i="3"/>
  <c r="I72" i="3"/>
  <c r="I73" i="3"/>
  <c r="I74" i="3"/>
  <c r="I75" i="3"/>
  <c r="I76" i="3"/>
  <c r="I77" i="3"/>
  <c r="I78" i="3"/>
  <c r="I83" i="3"/>
  <c r="J7" i="1"/>
  <c r="O7" i="1"/>
  <c r="T7" i="1"/>
  <c r="J9" i="1"/>
  <c r="O9" i="1"/>
  <c r="T9" i="1"/>
  <c r="J30" i="1"/>
  <c r="J59" i="1"/>
  <c r="O59" i="1"/>
  <c r="T59" i="1"/>
  <c r="J19" i="1"/>
  <c r="O19" i="1"/>
  <c r="T19" i="1"/>
  <c r="J23" i="1"/>
  <c r="O23" i="1"/>
  <c r="T23" i="1"/>
  <c r="J24" i="1"/>
  <c r="O24" i="1"/>
  <c r="T24" i="1"/>
  <c r="J25" i="1"/>
  <c r="O25" i="1"/>
  <c r="T25" i="1"/>
  <c r="J26" i="1"/>
  <c r="O26" i="1"/>
  <c r="T26" i="1"/>
  <c r="K17" i="1"/>
  <c r="K19" i="1"/>
  <c r="P19" i="1"/>
  <c r="U19" i="1"/>
  <c r="K24" i="1"/>
  <c r="P24" i="1"/>
  <c r="U24" i="1"/>
  <c r="K25" i="1"/>
  <c r="P25" i="1"/>
  <c r="U25" i="1"/>
  <c r="K30" i="1"/>
  <c r="P30" i="1"/>
  <c r="K59" i="1"/>
  <c r="P59" i="1"/>
  <c r="U59" i="1"/>
  <c r="I7" i="1"/>
  <c r="N7" i="1"/>
  <c r="S7" i="1"/>
  <c r="I9" i="1"/>
  <c r="I19" i="1"/>
  <c r="I23" i="1"/>
  <c r="L23" i="1"/>
  <c r="I24" i="1"/>
  <c r="I25" i="1"/>
  <c r="N25" i="1"/>
  <c r="I26" i="1"/>
  <c r="N26" i="1"/>
  <c r="I59" i="1"/>
  <c r="G135" i="1"/>
  <c r="Q80" i="1"/>
  <c r="B56" i="4"/>
  <c r="F56" i="4"/>
  <c r="F57" i="4"/>
  <c r="L26" i="1"/>
  <c r="F55" i="4"/>
  <c r="F54" i="4"/>
  <c r="F53" i="4"/>
  <c r="F52" i="4"/>
  <c r="B57" i="4"/>
  <c r="J90" i="3"/>
  <c r="J54" i="3"/>
  <c r="O177" i="1"/>
  <c r="T177" i="1"/>
  <c r="J33" i="3"/>
  <c r="J42" i="3"/>
  <c r="L42" i="1"/>
  <c r="J71" i="3"/>
  <c r="J70" i="3"/>
  <c r="J23" i="3"/>
  <c r="L92" i="1"/>
  <c r="T42" i="1"/>
  <c r="Q42" i="1"/>
  <c r="V42" i="1"/>
  <c r="J105" i="1"/>
  <c r="O105" i="1"/>
  <c r="T105" i="1"/>
  <c r="P161" i="1"/>
  <c r="Q161" i="1"/>
  <c r="O92" i="1"/>
  <c r="T92" i="1"/>
  <c r="V92" i="1"/>
  <c r="I53" i="1"/>
  <c r="N53" i="1"/>
  <c r="S53" i="1"/>
  <c r="K105" i="1"/>
  <c r="P105" i="1"/>
  <c r="U105" i="1"/>
  <c r="K182" i="1"/>
  <c r="P182" i="1"/>
  <c r="U182" i="1"/>
  <c r="I99" i="3"/>
  <c r="I96" i="3"/>
  <c r="K68" i="1"/>
  <c r="P68" i="1"/>
  <c r="U68" i="1"/>
  <c r="U30" i="1"/>
  <c r="I133" i="1"/>
  <c r="J133" i="1"/>
  <c r="I134" i="1"/>
  <c r="I136" i="1"/>
  <c r="K134" i="1"/>
  <c r="P134" i="1"/>
  <c r="U134" i="1"/>
  <c r="J135" i="1"/>
  <c r="O135" i="1"/>
  <c r="T135" i="1"/>
  <c r="K135" i="1"/>
  <c r="P135" i="1"/>
  <c r="U135" i="1"/>
  <c r="J137" i="1"/>
  <c r="O137" i="1"/>
  <c r="T137" i="1"/>
  <c r="K133" i="1"/>
  <c r="I135" i="1"/>
  <c r="K136" i="1"/>
  <c r="P136" i="1"/>
  <c r="U136" i="1"/>
  <c r="I137" i="1"/>
  <c r="J134" i="1"/>
  <c r="O134" i="1"/>
  <c r="T134" i="1"/>
  <c r="J136" i="1"/>
  <c r="O136" i="1"/>
  <c r="T136" i="1"/>
  <c r="K137" i="1"/>
  <c r="P137" i="1"/>
  <c r="U137" i="1"/>
  <c r="J162" i="1"/>
  <c r="K196" i="1"/>
  <c r="P196" i="1"/>
  <c r="U196" i="1"/>
  <c r="J196" i="1"/>
  <c r="O196" i="1"/>
  <c r="T196" i="1"/>
  <c r="I196" i="1"/>
  <c r="N23" i="1"/>
  <c r="I167" i="1"/>
  <c r="K166" i="1"/>
  <c r="J165" i="1"/>
  <c r="J166" i="1"/>
  <c r="I166" i="1"/>
  <c r="J167" i="1"/>
  <c r="K161" i="1"/>
  <c r="T161" i="1"/>
  <c r="I53" i="3"/>
  <c r="I165" i="1"/>
  <c r="I52" i="3"/>
  <c r="K165" i="1"/>
  <c r="J161" i="1"/>
  <c r="J129" i="1"/>
  <c r="O129" i="1"/>
  <c r="T129" i="1"/>
  <c r="S161" i="1"/>
  <c r="U161" i="1"/>
  <c r="V161" i="1"/>
  <c r="U162" i="1"/>
  <c r="V162" i="1"/>
  <c r="P162" i="1"/>
  <c r="Q162" i="1"/>
  <c r="S162" i="1"/>
  <c r="T162" i="1"/>
  <c r="K167" i="1"/>
  <c r="I161" i="1"/>
  <c r="I129" i="1"/>
  <c r="O162" i="1"/>
  <c r="I162" i="1"/>
  <c r="L25" i="1"/>
  <c r="N19" i="1"/>
  <c r="L19" i="1"/>
  <c r="K188" i="1"/>
  <c r="P188" i="1"/>
  <c r="U188" i="1"/>
  <c r="J188" i="1"/>
  <c r="O188" i="1"/>
  <c r="T188" i="1"/>
  <c r="I188" i="1"/>
  <c r="J49" i="1"/>
  <c r="O49" i="1"/>
  <c r="T49" i="1"/>
  <c r="I49" i="1"/>
  <c r="K49" i="1"/>
  <c r="P49" i="1"/>
  <c r="U49" i="1"/>
  <c r="I13" i="1"/>
  <c r="J7" i="3"/>
  <c r="J6" i="3"/>
  <c r="J5" i="3"/>
  <c r="N24" i="1"/>
  <c r="L24" i="1"/>
  <c r="O161" i="1"/>
  <c r="K99" i="1"/>
  <c r="P99" i="1"/>
  <c r="U99" i="1"/>
  <c r="J96" i="1"/>
  <c r="O96" i="1"/>
  <c r="T96" i="1"/>
  <c r="J99" i="1"/>
  <c r="O99" i="1"/>
  <c r="T99" i="1"/>
  <c r="I96" i="1"/>
  <c r="I99" i="1"/>
  <c r="K96" i="1"/>
  <c r="P96" i="1"/>
  <c r="U96" i="1"/>
  <c r="J91" i="3"/>
  <c r="I175" i="1"/>
  <c r="J175" i="1"/>
  <c r="K175" i="1"/>
  <c r="I62" i="1"/>
  <c r="K62" i="1"/>
  <c r="P62" i="1"/>
  <c r="U62" i="1"/>
  <c r="J62" i="1"/>
  <c r="O62" i="1"/>
  <c r="T62" i="1"/>
  <c r="N59" i="1"/>
  <c r="L59" i="1"/>
  <c r="N9" i="1"/>
  <c r="K193" i="1"/>
  <c r="P193" i="1"/>
  <c r="U193" i="1"/>
  <c r="J193" i="1"/>
  <c r="O193" i="1"/>
  <c r="T193" i="1"/>
  <c r="I193" i="1"/>
  <c r="K55" i="1"/>
  <c r="P55" i="1"/>
  <c r="U55" i="1"/>
  <c r="J55" i="1"/>
  <c r="O55" i="1"/>
  <c r="T55" i="1"/>
  <c r="I55" i="1"/>
  <c r="J37" i="3"/>
  <c r="N162" i="1"/>
  <c r="Q26" i="1"/>
  <c r="S26" i="1"/>
  <c r="L17" i="1"/>
  <c r="P17" i="1"/>
  <c r="U17" i="1"/>
  <c r="O30" i="1"/>
  <c r="L30" i="1"/>
  <c r="K185" i="1"/>
  <c r="P185" i="1"/>
  <c r="U185" i="1"/>
  <c r="J185" i="1"/>
  <c r="O185" i="1"/>
  <c r="T185" i="1"/>
  <c r="I185" i="1"/>
  <c r="I90" i="1"/>
  <c r="K90" i="1"/>
  <c r="P90" i="1"/>
  <c r="U90" i="1"/>
  <c r="J90" i="1"/>
  <c r="O90" i="1"/>
  <c r="T90" i="1"/>
  <c r="J84" i="3"/>
  <c r="J83" i="3"/>
  <c r="K162" i="1"/>
  <c r="L162" i="1"/>
  <c r="I107" i="1"/>
  <c r="J107" i="1"/>
  <c r="O107" i="1"/>
  <c r="T107" i="1"/>
  <c r="K107" i="1"/>
  <c r="P107" i="1"/>
  <c r="U107" i="1"/>
  <c r="I91" i="1"/>
  <c r="J91" i="1"/>
  <c r="O91" i="1"/>
  <c r="T91" i="1"/>
  <c r="K91" i="1"/>
  <c r="P91" i="1"/>
  <c r="U91" i="1"/>
  <c r="K61" i="1"/>
  <c r="P61" i="1"/>
  <c r="U61" i="1"/>
  <c r="I61" i="1"/>
  <c r="J61" i="1"/>
  <c r="O61" i="1"/>
  <c r="T61" i="1"/>
  <c r="B34" i="4"/>
  <c r="K190" i="1"/>
  <c r="P190" i="1"/>
  <c r="U190" i="1"/>
  <c r="J190" i="1"/>
  <c r="O190" i="1"/>
  <c r="T190" i="1"/>
  <c r="I190" i="1"/>
  <c r="I194" i="1"/>
  <c r="K194" i="1"/>
  <c r="P194" i="1"/>
  <c r="U194" i="1"/>
  <c r="J194" i="1"/>
  <c r="O194" i="1"/>
  <c r="T194" i="1"/>
  <c r="K66" i="1"/>
  <c r="P66" i="1"/>
  <c r="U66" i="1"/>
  <c r="K67" i="1"/>
  <c r="P67" i="1"/>
  <c r="U67" i="1"/>
  <c r="J66" i="1"/>
  <c r="O66" i="1"/>
  <c r="T66" i="1"/>
  <c r="J67" i="1"/>
  <c r="O67" i="1"/>
  <c r="T67" i="1"/>
  <c r="I66" i="1"/>
  <c r="I67" i="1"/>
  <c r="I26" i="3"/>
  <c r="I25" i="3"/>
  <c r="J40" i="1"/>
  <c r="O40" i="1"/>
  <c r="T40" i="1"/>
  <c r="S68" i="1"/>
  <c r="K191" i="1"/>
  <c r="P191" i="1"/>
  <c r="U191" i="1"/>
  <c r="I191" i="1"/>
  <c r="J191" i="1"/>
  <c r="O191" i="1"/>
  <c r="T191" i="1"/>
  <c r="J184" i="1"/>
  <c r="O184" i="1"/>
  <c r="T184" i="1"/>
  <c r="I182" i="1"/>
  <c r="I184" i="1"/>
  <c r="K183" i="1"/>
  <c r="P183" i="1"/>
  <c r="U183" i="1"/>
  <c r="K184" i="1"/>
  <c r="P184" i="1"/>
  <c r="U184" i="1"/>
  <c r="I183" i="1"/>
  <c r="J182" i="1"/>
  <c r="O182" i="1"/>
  <c r="T182" i="1"/>
  <c r="I69" i="3"/>
  <c r="K114" i="1"/>
  <c r="P114" i="1"/>
  <c r="U114" i="1"/>
  <c r="J114" i="1"/>
  <c r="O114" i="1"/>
  <c r="T114" i="1"/>
  <c r="I114" i="1"/>
  <c r="K98" i="1"/>
  <c r="P98" i="1"/>
  <c r="U98" i="1"/>
  <c r="I127" i="1"/>
  <c r="J127" i="1"/>
  <c r="O127" i="1"/>
  <c r="T127" i="1"/>
  <c r="J98" i="1"/>
  <c r="O98" i="1"/>
  <c r="T98" i="1"/>
  <c r="I98" i="1"/>
  <c r="K174" i="1"/>
  <c r="J174" i="1"/>
  <c r="I174" i="1"/>
  <c r="J183" i="1"/>
  <c r="O183" i="1"/>
  <c r="T183" i="1"/>
  <c r="Q25" i="1"/>
  <c r="I189" i="1"/>
  <c r="J189" i="1"/>
  <c r="O189" i="1"/>
  <c r="T189" i="1"/>
  <c r="K189" i="1"/>
  <c r="P189" i="1"/>
  <c r="U189" i="1"/>
  <c r="K110" i="1"/>
  <c r="P110" i="1"/>
  <c r="U110" i="1"/>
  <c r="J110" i="1"/>
  <c r="O110" i="1"/>
  <c r="T110" i="1"/>
  <c r="I110" i="1"/>
  <c r="I172" i="1"/>
  <c r="K172" i="1"/>
  <c r="J172" i="1"/>
  <c r="I56" i="3"/>
  <c r="K37" i="1"/>
  <c r="P37" i="1"/>
  <c r="U37" i="1"/>
  <c r="P38" i="1"/>
  <c r="U38" i="1"/>
  <c r="J37" i="1"/>
  <c r="O37" i="1"/>
  <c r="T37" i="1"/>
  <c r="I125" i="1"/>
  <c r="J125" i="1"/>
  <c r="O125" i="1"/>
  <c r="T125" i="1"/>
  <c r="O38" i="1"/>
  <c r="T38" i="1"/>
  <c r="K40" i="1"/>
  <c r="P40" i="1"/>
  <c r="U40" i="1"/>
  <c r="I36" i="1"/>
  <c r="I37" i="1"/>
  <c r="I40" i="1"/>
  <c r="I24" i="3"/>
  <c r="J24" i="3"/>
  <c r="J36" i="1"/>
  <c r="O36" i="1"/>
  <c r="T36" i="1"/>
  <c r="K36" i="1"/>
  <c r="P36" i="1"/>
  <c r="U36" i="1"/>
  <c r="I27" i="3"/>
  <c r="K41" i="1"/>
  <c r="P41" i="1"/>
  <c r="U41" i="1"/>
  <c r="K125" i="1"/>
  <c r="P125" i="1"/>
  <c r="U125" i="1"/>
  <c r="I28" i="3"/>
  <c r="S25" i="1"/>
  <c r="V25" i="1"/>
  <c r="J109" i="1"/>
  <c r="O109" i="1"/>
  <c r="T109" i="1"/>
  <c r="I109" i="1"/>
  <c r="K179" i="1"/>
  <c r="J179" i="1"/>
  <c r="I63" i="1"/>
  <c r="J63" i="1"/>
  <c r="O63" i="1"/>
  <c r="T63" i="1"/>
  <c r="J48" i="1"/>
  <c r="O48" i="1"/>
  <c r="T48" i="1"/>
  <c r="I48" i="1"/>
  <c r="K48" i="1"/>
  <c r="P48" i="1"/>
  <c r="U48" i="1"/>
  <c r="O32" i="1"/>
  <c r="T32" i="1"/>
  <c r="P32" i="1"/>
  <c r="U32" i="1"/>
  <c r="K43" i="1"/>
  <c r="P43" i="1"/>
  <c r="U43" i="1"/>
  <c r="J43" i="1"/>
  <c r="O43" i="1"/>
  <c r="T43" i="1"/>
  <c r="I43" i="1"/>
  <c r="J192" i="1"/>
  <c r="O192" i="1"/>
  <c r="T192" i="1"/>
  <c r="I192" i="1"/>
  <c r="K192" i="1"/>
  <c r="P192" i="1"/>
  <c r="U192" i="1"/>
  <c r="I106" i="1"/>
  <c r="I105" i="1"/>
  <c r="I128" i="1"/>
  <c r="J128" i="1"/>
  <c r="O128" i="1"/>
  <c r="T128" i="1"/>
  <c r="K106" i="1"/>
  <c r="P106" i="1"/>
  <c r="U106" i="1"/>
  <c r="J106" i="1"/>
  <c r="O106" i="1"/>
  <c r="T106" i="1"/>
  <c r="J178" i="1"/>
  <c r="I178" i="1"/>
  <c r="K178" i="1"/>
  <c r="J64" i="1"/>
  <c r="O64" i="1"/>
  <c r="T64" i="1"/>
  <c r="I64" i="1"/>
  <c r="K64" i="1"/>
  <c r="P64" i="1"/>
  <c r="U64" i="1"/>
  <c r="J31" i="1"/>
  <c r="I31" i="1"/>
  <c r="K31" i="1"/>
  <c r="K128" i="1"/>
  <c r="P128" i="1"/>
  <c r="U128" i="1"/>
  <c r="K47" i="1"/>
  <c r="P47" i="1"/>
  <c r="U47" i="1"/>
  <c r="I126" i="1"/>
  <c r="K109" i="1"/>
  <c r="P109" i="1"/>
  <c r="U109" i="1"/>
  <c r="K63" i="1"/>
  <c r="P63" i="1"/>
  <c r="U63" i="1"/>
  <c r="I186" i="1"/>
  <c r="K186" i="1"/>
  <c r="P186" i="1"/>
  <c r="U186" i="1"/>
  <c r="J186" i="1"/>
  <c r="O186" i="1"/>
  <c r="T186" i="1"/>
  <c r="K101" i="1"/>
  <c r="P101" i="1"/>
  <c r="U101" i="1"/>
  <c r="I101" i="1"/>
  <c r="K177" i="1"/>
  <c r="I177" i="1"/>
  <c r="K7" i="1"/>
  <c r="K9" i="1"/>
  <c r="P9" i="1"/>
  <c r="U9" i="1"/>
  <c r="K8" i="1"/>
  <c r="J126" i="1"/>
  <c r="O126" i="1"/>
  <c r="T126" i="1"/>
  <c r="J47" i="1"/>
  <c r="O47" i="1"/>
  <c r="T47" i="1"/>
  <c r="I47" i="1"/>
  <c r="K169" i="1"/>
  <c r="I169" i="1"/>
  <c r="K115" i="1"/>
  <c r="P115" i="1"/>
  <c r="U115" i="1"/>
  <c r="J115" i="1"/>
  <c r="O115" i="1"/>
  <c r="T115" i="1"/>
  <c r="I115" i="1"/>
  <c r="K100" i="1"/>
  <c r="P100" i="1"/>
  <c r="U100" i="1"/>
  <c r="J100" i="1"/>
  <c r="O100" i="1"/>
  <c r="T100" i="1"/>
  <c r="I100" i="1"/>
  <c r="K176" i="1"/>
  <c r="J176" i="1"/>
  <c r="I176" i="1"/>
  <c r="K168" i="1"/>
  <c r="J168" i="1"/>
  <c r="I168" i="1"/>
  <c r="K60" i="1"/>
  <c r="P60" i="1"/>
  <c r="U60" i="1"/>
  <c r="J60" i="1"/>
  <c r="O60" i="1"/>
  <c r="T60" i="1"/>
  <c r="I60" i="1"/>
  <c r="K18" i="1"/>
  <c r="P18" i="1"/>
  <c r="U18" i="1"/>
  <c r="J18" i="1"/>
  <c r="J169" i="1"/>
  <c r="I179" i="1"/>
  <c r="J101" i="1"/>
  <c r="O101" i="1"/>
  <c r="T101" i="1"/>
  <c r="J195" i="1"/>
  <c r="O195" i="1"/>
  <c r="T195" i="1"/>
  <c r="I195" i="1"/>
  <c r="I97" i="3"/>
  <c r="J97" i="1"/>
  <c r="O97" i="1"/>
  <c r="T97" i="1"/>
  <c r="I97" i="1"/>
  <c r="J65" i="1"/>
  <c r="O65" i="1"/>
  <c r="T65" i="1"/>
  <c r="I65" i="1"/>
  <c r="K54" i="1"/>
  <c r="P54" i="1"/>
  <c r="U54" i="1"/>
  <c r="J53" i="1"/>
  <c r="O53" i="1"/>
  <c r="J54" i="1"/>
  <c r="O54" i="1"/>
  <c r="T54" i="1"/>
  <c r="I54" i="1"/>
  <c r="K119" i="1"/>
  <c r="J119" i="1"/>
  <c r="K195" i="1"/>
  <c r="P195" i="1"/>
  <c r="U195" i="1"/>
  <c r="J68" i="1"/>
  <c r="I41" i="1"/>
  <c r="J41" i="1"/>
  <c r="O41" i="1"/>
  <c r="T41" i="1"/>
  <c r="O39" i="1"/>
  <c r="T39" i="1"/>
  <c r="P39" i="1"/>
  <c r="U39" i="1"/>
  <c r="D27" i="4"/>
  <c r="D28" i="4"/>
  <c r="C35" i="4"/>
  <c r="Q92" i="1"/>
  <c r="D29" i="4"/>
  <c r="D25" i="4"/>
  <c r="D31" i="4"/>
  <c r="N97" i="1"/>
  <c r="L97" i="1"/>
  <c r="J173" i="1"/>
  <c r="I173" i="1"/>
  <c r="K173" i="1"/>
  <c r="S59" i="1"/>
  <c r="V59" i="1"/>
  <c r="Q59" i="1"/>
  <c r="K72" i="1"/>
  <c r="K148" i="1"/>
  <c r="J76" i="1"/>
  <c r="O76" i="1"/>
  <c r="T76" i="1"/>
  <c r="O169" i="1"/>
  <c r="T169" i="1"/>
  <c r="O31" i="1"/>
  <c r="C33" i="4"/>
  <c r="N91" i="1"/>
  <c r="L91" i="1"/>
  <c r="I83" i="1"/>
  <c r="N176" i="1"/>
  <c r="L176" i="1"/>
  <c r="J79" i="1"/>
  <c r="O79" i="1"/>
  <c r="T79" i="1"/>
  <c r="O172" i="1"/>
  <c r="T172" i="1"/>
  <c r="L189" i="1"/>
  <c r="N189" i="1"/>
  <c r="K81" i="1"/>
  <c r="P81" i="1"/>
  <c r="U81" i="1"/>
  <c r="P174" i="1"/>
  <c r="U174" i="1"/>
  <c r="N90" i="1"/>
  <c r="L90" i="1"/>
  <c r="S24" i="1"/>
  <c r="V24" i="1"/>
  <c r="Q24" i="1"/>
  <c r="N54" i="1"/>
  <c r="L54" i="1"/>
  <c r="J108" i="1"/>
  <c r="O108" i="1"/>
  <c r="T108" i="1"/>
  <c r="C32" i="4"/>
  <c r="I108" i="1"/>
  <c r="K108" i="1"/>
  <c r="P108" i="1"/>
  <c r="U108" i="1"/>
  <c r="D32" i="4"/>
  <c r="J83" i="1"/>
  <c r="O83" i="1"/>
  <c r="T83" i="1"/>
  <c r="O176" i="1"/>
  <c r="T176" i="1"/>
  <c r="I76" i="1"/>
  <c r="N169" i="1"/>
  <c r="L169" i="1"/>
  <c r="I84" i="1"/>
  <c r="L177" i="1"/>
  <c r="N177" i="1"/>
  <c r="N39" i="1"/>
  <c r="L39" i="1"/>
  <c r="N125" i="1"/>
  <c r="L125" i="1"/>
  <c r="K79" i="1"/>
  <c r="P79" i="1"/>
  <c r="U79" i="1"/>
  <c r="P172" i="1"/>
  <c r="U172" i="1"/>
  <c r="N98" i="1"/>
  <c r="L98" i="1"/>
  <c r="J187" i="1"/>
  <c r="O187" i="1"/>
  <c r="T187" i="1"/>
  <c r="I187" i="1"/>
  <c r="K187" i="1"/>
  <c r="P187" i="1"/>
  <c r="U187" i="1"/>
  <c r="J84" i="1"/>
  <c r="O84" i="1"/>
  <c r="T84" i="1"/>
  <c r="L185" i="1"/>
  <c r="N185" i="1"/>
  <c r="N193" i="1"/>
  <c r="L193" i="1"/>
  <c r="N99" i="1"/>
  <c r="L99" i="1"/>
  <c r="J74" i="1"/>
  <c r="O74" i="1"/>
  <c r="T74" i="1"/>
  <c r="O167" i="1"/>
  <c r="T167" i="1"/>
  <c r="N196" i="1"/>
  <c r="L196" i="1"/>
  <c r="N137" i="1"/>
  <c r="L137" i="1"/>
  <c r="N136" i="1"/>
  <c r="L136" i="1"/>
  <c r="O119" i="1"/>
  <c r="L119" i="1"/>
  <c r="K75" i="1"/>
  <c r="P75" i="1"/>
  <c r="U75" i="1"/>
  <c r="P168" i="1"/>
  <c r="U168" i="1"/>
  <c r="N186" i="1"/>
  <c r="L186" i="1"/>
  <c r="N48" i="1"/>
  <c r="L48" i="1"/>
  <c r="N40" i="1"/>
  <c r="L40" i="1"/>
  <c r="J81" i="1"/>
  <c r="O81" i="1"/>
  <c r="T81" i="1"/>
  <c r="O174" i="1"/>
  <c r="T174" i="1"/>
  <c r="P119" i="1"/>
  <c r="P7" i="1"/>
  <c r="L7" i="1"/>
  <c r="N43" i="1"/>
  <c r="L43" i="1"/>
  <c r="D33" i="4"/>
  <c r="N49" i="1"/>
  <c r="L49" i="1"/>
  <c r="L161" i="1"/>
  <c r="K129" i="1"/>
  <c r="P129" i="1"/>
  <c r="U129" i="1"/>
  <c r="D35" i="4"/>
  <c r="S23" i="1"/>
  <c r="Q23" i="1"/>
  <c r="N195" i="1"/>
  <c r="L195" i="1"/>
  <c r="N60" i="1"/>
  <c r="L60" i="1"/>
  <c r="K83" i="1"/>
  <c r="P83" i="1"/>
  <c r="U83" i="1"/>
  <c r="P176" i="1"/>
  <c r="U176" i="1"/>
  <c r="K76" i="1"/>
  <c r="P76" i="1"/>
  <c r="U76" i="1"/>
  <c r="P169" i="1"/>
  <c r="U169" i="1"/>
  <c r="K84" i="1"/>
  <c r="P84" i="1"/>
  <c r="U84" i="1"/>
  <c r="P177" i="1"/>
  <c r="U177" i="1"/>
  <c r="N126" i="1"/>
  <c r="L126" i="1"/>
  <c r="N64" i="1"/>
  <c r="L64" i="1"/>
  <c r="N128" i="1"/>
  <c r="L128" i="1"/>
  <c r="N63" i="1"/>
  <c r="L63" i="1"/>
  <c r="I79" i="1"/>
  <c r="N172" i="1"/>
  <c r="L172" i="1"/>
  <c r="N191" i="1"/>
  <c r="L191" i="1"/>
  <c r="N107" i="1"/>
  <c r="L107" i="1"/>
  <c r="V26" i="1"/>
  <c r="N96" i="1"/>
  <c r="L96" i="1"/>
  <c r="N188" i="1"/>
  <c r="L188" i="1"/>
  <c r="N129" i="1"/>
  <c r="I73" i="1"/>
  <c r="N166" i="1"/>
  <c r="L166" i="1"/>
  <c r="N134" i="1"/>
  <c r="L134" i="1"/>
  <c r="J86" i="1"/>
  <c r="O86" i="1"/>
  <c r="T86" i="1"/>
  <c r="O179" i="1"/>
  <c r="T179" i="1"/>
  <c r="N38" i="1"/>
  <c r="L38" i="1"/>
  <c r="N110" i="1"/>
  <c r="L110" i="1"/>
  <c r="L53" i="1"/>
  <c r="L183" i="1"/>
  <c r="N183" i="1"/>
  <c r="N67" i="1"/>
  <c r="L67" i="1"/>
  <c r="N61" i="1"/>
  <c r="L61" i="1"/>
  <c r="N62" i="1"/>
  <c r="L62" i="1"/>
  <c r="K74" i="1"/>
  <c r="P74" i="1"/>
  <c r="U74" i="1"/>
  <c r="P167" i="1"/>
  <c r="U167" i="1"/>
  <c r="P72" i="1"/>
  <c r="U72" i="1"/>
  <c r="P165" i="1"/>
  <c r="U165" i="1"/>
  <c r="J73" i="1"/>
  <c r="O73" i="1"/>
  <c r="T73" i="1"/>
  <c r="O166" i="1"/>
  <c r="T166" i="1"/>
  <c r="N135" i="1"/>
  <c r="L135" i="1"/>
  <c r="O133" i="1"/>
  <c r="J154" i="1"/>
  <c r="N182" i="1"/>
  <c r="L182" i="1"/>
  <c r="K85" i="1"/>
  <c r="P85" i="1"/>
  <c r="U85" i="1"/>
  <c r="P178" i="1"/>
  <c r="U178" i="1"/>
  <c r="N106" i="1"/>
  <c r="L106" i="1"/>
  <c r="N32" i="1"/>
  <c r="L32" i="1"/>
  <c r="K86" i="1"/>
  <c r="P86" i="1"/>
  <c r="U86" i="1"/>
  <c r="P179" i="1"/>
  <c r="U179" i="1"/>
  <c r="N37" i="1"/>
  <c r="L37" i="1"/>
  <c r="N127" i="1"/>
  <c r="L127" i="1"/>
  <c r="N66" i="1"/>
  <c r="L66" i="1"/>
  <c r="N194" i="1"/>
  <c r="L194" i="1"/>
  <c r="L9" i="1"/>
  <c r="K82" i="1"/>
  <c r="P82" i="1"/>
  <c r="U82" i="1"/>
  <c r="P175" i="1"/>
  <c r="U175" i="1"/>
  <c r="N13" i="1"/>
  <c r="L13" i="1"/>
  <c r="K171" i="1"/>
  <c r="J171" i="1"/>
  <c r="I171" i="1"/>
  <c r="J72" i="1"/>
  <c r="O72" i="1"/>
  <c r="T72" i="1"/>
  <c r="O165" i="1"/>
  <c r="T165" i="1"/>
  <c r="P133" i="1"/>
  <c r="K154" i="1"/>
  <c r="L154" i="1"/>
  <c r="I154" i="1"/>
  <c r="N133" i="1"/>
  <c r="L133" i="1"/>
  <c r="O18" i="1"/>
  <c r="L18" i="1"/>
  <c r="N65" i="1"/>
  <c r="L65" i="1"/>
  <c r="P31" i="1"/>
  <c r="I85" i="1"/>
  <c r="N178" i="1"/>
  <c r="L178" i="1"/>
  <c r="N109" i="1"/>
  <c r="L109" i="1"/>
  <c r="C27" i="4"/>
  <c r="N36" i="1"/>
  <c r="L36" i="1"/>
  <c r="Q17" i="1"/>
  <c r="T30" i="1"/>
  <c r="O148" i="1"/>
  <c r="Q30" i="1"/>
  <c r="S9" i="1"/>
  <c r="Q9" i="1"/>
  <c r="J82" i="1"/>
  <c r="O82" i="1"/>
  <c r="T82" i="1"/>
  <c r="O175" i="1"/>
  <c r="T175" i="1"/>
  <c r="V17" i="1"/>
  <c r="I72" i="1"/>
  <c r="I148" i="1"/>
  <c r="L165" i="1"/>
  <c r="N165" i="1"/>
  <c r="K73" i="1"/>
  <c r="P73" i="1"/>
  <c r="U73" i="1"/>
  <c r="P166" i="1"/>
  <c r="U166" i="1"/>
  <c r="P148" i="1"/>
  <c r="T53" i="1"/>
  <c r="V53" i="1"/>
  <c r="Q53" i="1"/>
  <c r="N100" i="1"/>
  <c r="L100" i="1"/>
  <c r="N47" i="1"/>
  <c r="L47" i="1"/>
  <c r="N101" i="1"/>
  <c r="L101" i="1"/>
  <c r="N105" i="1"/>
  <c r="L105" i="1"/>
  <c r="O68" i="1"/>
  <c r="L68" i="1"/>
  <c r="I75" i="1"/>
  <c r="L168" i="1"/>
  <c r="N168" i="1"/>
  <c r="I86" i="1"/>
  <c r="L179" i="1"/>
  <c r="N179" i="1"/>
  <c r="J75" i="1"/>
  <c r="O75" i="1"/>
  <c r="T75" i="1"/>
  <c r="O168" i="1"/>
  <c r="T168" i="1"/>
  <c r="N115" i="1"/>
  <c r="L115" i="1"/>
  <c r="P8" i="1"/>
  <c r="L8" i="1"/>
  <c r="N31" i="1"/>
  <c r="L31" i="1"/>
  <c r="J85" i="1"/>
  <c r="O85" i="1"/>
  <c r="T85" i="1"/>
  <c r="O178" i="1"/>
  <c r="T178" i="1"/>
  <c r="L192" i="1"/>
  <c r="N192" i="1"/>
  <c r="N41" i="1"/>
  <c r="L41" i="1"/>
  <c r="I81" i="1"/>
  <c r="N174" i="1"/>
  <c r="L174" i="1"/>
  <c r="L114" i="1"/>
  <c r="N114" i="1"/>
  <c r="N184" i="1"/>
  <c r="L184" i="1"/>
  <c r="L190" i="1"/>
  <c r="N190" i="1"/>
  <c r="C31" i="4"/>
  <c r="N55" i="1"/>
  <c r="L55" i="1"/>
  <c r="I82" i="1"/>
  <c r="N175" i="1"/>
  <c r="L175" i="1"/>
  <c r="S19" i="1"/>
  <c r="Q19" i="1"/>
  <c r="J170" i="1"/>
  <c r="I170" i="1"/>
  <c r="K170" i="1"/>
  <c r="I74" i="1"/>
  <c r="L167" i="1"/>
  <c r="N167" i="1"/>
  <c r="U148" i="1"/>
  <c r="L129" i="1"/>
  <c r="S135" i="1"/>
  <c r="V135" i="1"/>
  <c r="Q135" i="1"/>
  <c r="Q172" i="1"/>
  <c r="S172" i="1"/>
  <c r="V172" i="1"/>
  <c r="T119" i="1"/>
  <c r="Q119" i="1"/>
  <c r="S175" i="1"/>
  <c r="V175" i="1"/>
  <c r="Q175" i="1"/>
  <c r="U7" i="1"/>
  <c r="Q7" i="1"/>
  <c r="S41" i="1"/>
  <c r="V41" i="1"/>
  <c r="Q41" i="1"/>
  <c r="N86" i="1"/>
  <c r="L86" i="1"/>
  <c r="Q178" i="1"/>
  <c r="S178" i="1"/>
  <c r="V178" i="1"/>
  <c r="J78" i="1"/>
  <c r="O78" i="1"/>
  <c r="T78" i="1"/>
  <c r="O171" i="1"/>
  <c r="T171" i="1"/>
  <c r="C28" i="4"/>
  <c r="S61" i="1"/>
  <c r="V61" i="1"/>
  <c r="Q61" i="1"/>
  <c r="N73" i="1"/>
  <c r="L73" i="1"/>
  <c r="S136" i="1"/>
  <c r="V136" i="1"/>
  <c r="Q136" i="1"/>
  <c r="S99" i="1"/>
  <c r="V99" i="1"/>
  <c r="Q99" i="1"/>
  <c r="N187" i="1"/>
  <c r="L187" i="1"/>
  <c r="S125" i="1"/>
  <c r="Q125" i="1"/>
  <c r="Q169" i="1"/>
  <c r="S169" i="1"/>
  <c r="V169" i="1"/>
  <c r="S54" i="1"/>
  <c r="V54" i="1"/>
  <c r="Q54" i="1"/>
  <c r="K80" i="1"/>
  <c r="P173" i="1"/>
  <c r="U173" i="1"/>
  <c r="S167" i="1"/>
  <c r="V167" i="1"/>
  <c r="Q167" i="1"/>
  <c r="S96" i="1"/>
  <c r="Q96" i="1"/>
  <c r="S105" i="1"/>
  <c r="V105" i="1"/>
  <c r="Q105" i="1"/>
  <c r="T18" i="1"/>
  <c r="Q18" i="1"/>
  <c r="N79" i="1"/>
  <c r="L79" i="1"/>
  <c r="Q189" i="1"/>
  <c r="S189" i="1"/>
  <c r="V189" i="1"/>
  <c r="K77" i="1"/>
  <c r="P77" i="1"/>
  <c r="U77" i="1"/>
  <c r="P170" i="1"/>
  <c r="U170" i="1"/>
  <c r="S184" i="1"/>
  <c r="V184" i="1"/>
  <c r="Q184" i="1"/>
  <c r="Q192" i="1"/>
  <c r="S192" i="1"/>
  <c r="V192" i="1"/>
  <c r="U8" i="1"/>
  <c r="V8" i="1"/>
  <c r="Q8" i="1"/>
  <c r="Q168" i="1"/>
  <c r="S168" i="1"/>
  <c r="V168" i="1"/>
  <c r="S101" i="1"/>
  <c r="V101" i="1"/>
  <c r="Q101" i="1"/>
  <c r="N85" i="1"/>
  <c r="L85" i="1"/>
  <c r="S133" i="1"/>
  <c r="Q133" i="1"/>
  <c r="N154" i="1"/>
  <c r="K78" i="1"/>
  <c r="P78" i="1"/>
  <c r="U78" i="1"/>
  <c r="P171" i="1"/>
  <c r="U171" i="1"/>
  <c r="S194" i="1"/>
  <c r="V194" i="1"/>
  <c r="Q194" i="1"/>
  <c r="S38" i="1"/>
  <c r="V38" i="1"/>
  <c r="Q38" i="1"/>
  <c r="S63" i="1"/>
  <c r="V63" i="1"/>
  <c r="Q63" i="1"/>
  <c r="S195" i="1"/>
  <c r="V195" i="1"/>
  <c r="Q195" i="1"/>
  <c r="U119" i="1"/>
  <c r="S186" i="1"/>
  <c r="V186" i="1"/>
  <c r="Q186" i="1"/>
  <c r="N76" i="1"/>
  <c r="L76" i="1"/>
  <c r="I80" i="1"/>
  <c r="L173" i="1"/>
  <c r="N173" i="1"/>
  <c r="S31" i="1"/>
  <c r="Q31" i="1"/>
  <c r="S62" i="1"/>
  <c r="V62" i="1"/>
  <c r="Q62" i="1"/>
  <c r="I78" i="1"/>
  <c r="L171" i="1"/>
  <c r="N171" i="1"/>
  <c r="S110" i="1"/>
  <c r="V110" i="1"/>
  <c r="Q110" i="1"/>
  <c r="S126" i="1"/>
  <c r="V126" i="1"/>
  <c r="Q126" i="1"/>
  <c r="S91" i="1"/>
  <c r="V91" i="1"/>
  <c r="Q91" i="1"/>
  <c r="L82" i="1"/>
  <c r="N82" i="1"/>
  <c r="I77" i="1"/>
  <c r="N170" i="1"/>
  <c r="L170" i="1"/>
  <c r="S114" i="1"/>
  <c r="Q114" i="1"/>
  <c r="K149" i="1"/>
  <c r="K120" i="1"/>
  <c r="S182" i="1"/>
  <c r="V182" i="1"/>
  <c r="Q182" i="1"/>
  <c r="D30" i="4"/>
  <c r="S67" i="1"/>
  <c r="V67" i="1"/>
  <c r="Q67" i="1"/>
  <c r="S129" i="1"/>
  <c r="V129" i="1"/>
  <c r="Q129" i="1"/>
  <c r="S107" i="1"/>
  <c r="V107" i="1"/>
  <c r="Q107" i="1"/>
  <c r="S137" i="1"/>
  <c r="V137" i="1"/>
  <c r="Q137" i="1"/>
  <c r="Q193" i="1"/>
  <c r="S193" i="1"/>
  <c r="V193" i="1"/>
  <c r="S39" i="1"/>
  <c r="V39" i="1"/>
  <c r="Q39" i="1"/>
  <c r="T31" i="1"/>
  <c r="J80" i="1"/>
  <c r="O173" i="1"/>
  <c r="T173" i="1"/>
  <c r="N81" i="1"/>
  <c r="L81" i="1"/>
  <c r="S179" i="1"/>
  <c r="V179" i="1"/>
  <c r="Q179" i="1"/>
  <c r="S109" i="1"/>
  <c r="V109" i="1"/>
  <c r="Q109" i="1"/>
  <c r="N84" i="1"/>
  <c r="L84" i="1"/>
  <c r="S166" i="1"/>
  <c r="V166" i="1"/>
  <c r="Q166" i="1"/>
  <c r="S60" i="1"/>
  <c r="V60" i="1"/>
  <c r="Q60" i="1"/>
  <c r="S49" i="1"/>
  <c r="V49" i="1"/>
  <c r="Q49" i="1"/>
  <c r="S48" i="1"/>
  <c r="V48" i="1"/>
  <c r="Q48" i="1"/>
  <c r="N74" i="1"/>
  <c r="L74" i="1"/>
  <c r="S55" i="1"/>
  <c r="V55" i="1"/>
  <c r="Q55" i="1"/>
  <c r="J77" i="1"/>
  <c r="O77" i="1"/>
  <c r="T77" i="1"/>
  <c r="C30" i="4"/>
  <c r="O170" i="1"/>
  <c r="T170" i="1"/>
  <c r="J148" i="1"/>
  <c r="S115" i="1"/>
  <c r="V115" i="1"/>
  <c r="Q115" i="1"/>
  <c r="N75" i="1"/>
  <c r="L75" i="1"/>
  <c r="S47" i="1"/>
  <c r="Q47" i="1"/>
  <c r="S165" i="1"/>
  <c r="V165" i="1"/>
  <c r="Q165" i="1"/>
  <c r="S36" i="1"/>
  <c r="N72" i="1"/>
  <c r="N148" i="1"/>
  <c r="Q148" i="1"/>
  <c r="Q36" i="1"/>
  <c r="U31" i="1"/>
  <c r="P149" i="1"/>
  <c r="S13" i="1"/>
  <c r="V13" i="1"/>
  <c r="Q13" i="1"/>
  <c r="S66" i="1"/>
  <c r="V66" i="1"/>
  <c r="Q66" i="1"/>
  <c r="S32" i="1"/>
  <c r="V32" i="1"/>
  <c r="Q32" i="1"/>
  <c r="Q183" i="1"/>
  <c r="S183" i="1"/>
  <c r="V183" i="1"/>
  <c r="S128" i="1"/>
  <c r="V128" i="1"/>
  <c r="Q128" i="1"/>
  <c r="V23" i="1"/>
  <c r="S43" i="1"/>
  <c r="V43" i="1"/>
  <c r="Q43" i="1"/>
  <c r="S185" i="1"/>
  <c r="V185" i="1"/>
  <c r="Q185" i="1"/>
  <c r="S98" i="1"/>
  <c r="V98" i="1"/>
  <c r="Q98" i="1"/>
  <c r="T148" i="1"/>
  <c r="V30" i="1"/>
  <c r="C26" i="4"/>
  <c r="S37" i="1"/>
  <c r="V37" i="1"/>
  <c r="Q37" i="1"/>
  <c r="V9" i="1"/>
  <c r="P154" i="1"/>
  <c r="Q154" i="1"/>
  <c r="U133" i="1"/>
  <c r="T133" i="1"/>
  <c r="O154" i="1"/>
  <c r="S188" i="1"/>
  <c r="V188" i="1"/>
  <c r="Q188" i="1"/>
  <c r="S191" i="1"/>
  <c r="V191" i="1"/>
  <c r="Q191" i="1"/>
  <c r="S196" i="1"/>
  <c r="V196" i="1"/>
  <c r="Q196" i="1"/>
  <c r="Q177" i="1"/>
  <c r="S177" i="1"/>
  <c r="V177" i="1"/>
  <c r="S90" i="1"/>
  <c r="Q90" i="1"/>
  <c r="Q176" i="1"/>
  <c r="S176" i="1"/>
  <c r="V176" i="1"/>
  <c r="S97" i="1"/>
  <c r="V97" i="1"/>
  <c r="Q97" i="1"/>
  <c r="V19" i="1"/>
  <c r="B25" i="4"/>
  <c r="Q190" i="1"/>
  <c r="S190" i="1"/>
  <c r="V190" i="1"/>
  <c r="Q174" i="1"/>
  <c r="S174" i="1"/>
  <c r="V174" i="1"/>
  <c r="T68" i="1"/>
  <c r="Q68" i="1"/>
  <c r="S100" i="1"/>
  <c r="V100" i="1"/>
  <c r="Q100" i="1"/>
  <c r="L72" i="1"/>
  <c r="Q65" i="1"/>
  <c r="S65" i="1"/>
  <c r="V65" i="1"/>
  <c r="S127" i="1"/>
  <c r="V127" i="1"/>
  <c r="Q127" i="1"/>
  <c r="S106" i="1"/>
  <c r="V106" i="1"/>
  <c r="Q106" i="1"/>
  <c r="S134" i="1"/>
  <c r="V134" i="1"/>
  <c r="Q134" i="1"/>
  <c r="S64" i="1"/>
  <c r="V64" i="1"/>
  <c r="Q64" i="1"/>
  <c r="S40" i="1"/>
  <c r="V40" i="1"/>
  <c r="Q40" i="1"/>
  <c r="N108" i="1"/>
  <c r="L108" i="1"/>
  <c r="N83" i="1"/>
  <c r="L83" i="1"/>
  <c r="T149" i="1"/>
  <c r="S81" i="1"/>
  <c r="V81" i="1"/>
  <c r="Q81" i="1"/>
  <c r="S170" i="1"/>
  <c r="V170" i="1"/>
  <c r="Q170" i="1"/>
  <c r="B27" i="4"/>
  <c r="F27" i="4"/>
  <c r="V36" i="1"/>
  <c r="N77" i="1"/>
  <c r="L77" i="1"/>
  <c r="I149" i="1"/>
  <c r="V31" i="1"/>
  <c r="S108" i="1"/>
  <c r="V108" i="1"/>
  <c r="Q108" i="1"/>
  <c r="C36" i="4"/>
  <c r="T154" i="1"/>
  <c r="S76" i="1"/>
  <c r="V76" i="1"/>
  <c r="Q76" i="1"/>
  <c r="V119" i="1"/>
  <c r="B26" i="4"/>
  <c r="S84" i="1"/>
  <c r="V84" i="1"/>
  <c r="Q84" i="1"/>
  <c r="S82" i="1"/>
  <c r="V82" i="1"/>
  <c r="Q82" i="1"/>
  <c r="Q171" i="1"/>
  <c r="S171" i="1"/>
  <c r="V171" i="1"/>
  <c r="Q173" i="1"/>
  <c r="S173" i="1"/>
  <c r="V173" i="1"/>
  <c r="S85" i="1"/>
  <c r="V85" i="1"/>
  <c r="Q85" i="1"/>
  <c r="S79" i="1"/>
  <c r="V79" i="1"/>
  <c r="Q79" i="1"/>
  <c r="B29" i="4"/>
  <c r="S74" i="1"/>
  <c r="V74" i="1"/>
  <c r="Q74" i="1"/>
  <c r="B36" i="4"/>
  <c r="V133" i="1"/>
  <c r="S154" i="1"/>
  <c r="V96" i="1"/>
  <c r="C29" i="4"/>
  <c r="V68" i="1"/>
  <c r="O149" i="1"/>
  <c r="B35" i="4"/>
  <c r="F35" i="4"/>
  <c r="V125" i="1"/>
  <c r="V7" i="1"/>
  <c r="D36" i="4"/>
  <c r="U154" i="1"/>
  <c r="V154" i="1"/>
  <c r="P120" i="1"/>
  <c r="L120" i="1"/>
  <c r="N78" i="1"/>
  <c r="L78" i="1"/>
  <c r="L80" i="1"/>
  <c r="V18" i="1"/>
  <c r="C25" i="4"/>
  <c r="S73" i="1"/>
  <c r="V73" i="1"/>
  <c r="Q73" i="1"/>
  <c r="S75" i="1"/>
  <c r="V75" i="1"/>
  <c r="Q75" i="1"/>
  <c r="B28" i="4"/>
  <c r="F28" i="4"/>
  <c r="V47" i="1"/>
  <c r="J149" i="1"/>
  <c r="J121" i="1"/>
  <c r="S187" i="1"/>
  <c r="V187" i="1"/>
  <c r="Q187" i="1"/>
  <c r="S86" i="1"/>
  <c r="V86" i="1"/>
  <c r="Q86" i="1"/>
  <c r="S83" i="1"/>
  <c r="V83" i="1"/>
  <c r="Q83" i="1"/>
  <c r="S72" i="1"/>
  <c r="Q72" i="1"/>
  <c r="B31" i="4"/>
  <c r="F31" i="4"/>
  <c r="V90" i="1"/>
  <c r="F25" i="4"/>
  <c r="U149" i="1"/>
  <c r="D26" i="4"/>
  <c r="B33" i="4"/>
  <c r="F33" i="4"/>
  <c r="V114" i="1"/>
  <c r="L148" i="1"/>
  <c r="O121" i="1"/>
  <c r="L121" i="1"/>
  <c r="F36" i="4"/>
  <c r="V72" i="1"/>
  <c r="F26" i="4"/>
  <c r="S148" i="1"/>
  <c r="V148" i="1"/>
  <c r="S77" i="1"/>
  <c r="V77" i="1"/>
  <c r="Q77" i="1"/>
  <c r="N149" i="1"/>
  <c r="Q149" i="1"/>
  <c r="F29" i="4"/>
  <c r="S78" i="1"/>
  <c r="V78" i="1"/>
  <c r="Q78" i="1"/>
  <c r="U120" i="1"/>
  <c r="Q120" i="1"/>
  <c r="B32" i="4"/>
  <c r="F32" i="4"/>
  <c r="L149" i="1"/>
  <c r="S153" i="1"/>
  <c r="S155" i="1"/>
  <c r="S6" i="1"/>
  <c r="O153" i="1"/>
  <c r="O155" i="1"/>
  <c r="O6" i="1"/>
  <c r="N153" i="1"/>
  <c r="N155" i="1"/>
  <c r="N6" i="1"/>
  <c r="T153" i="1"/>
  <c r="K153" i="1"/>
  <c r="J153" i="1"/>
  <c r="J155" i="1"/>
  <c r="J6" i="1"/>
  <c r="U153" i="1"/>
  <c r="D47" i="4"/>
  <c r="P153" i="1"/>
  <c r="I153" i="1"/>
  <c r="I155" i="1"/>
  <c r="I6" i="1"/>
  <c r="P155" i="1"/>
  <c r="Q153" i="1"/>
  <c r="J141" i="1"/>
  <c r="I141" i="1"/>
  <c r="K141" i="1"/>
  <c r="S149" i="1"/>
  <c r="B30" i="4"/>
  <c r="F30" i="4"/>
  <c r="V153" i="1"/>
  <c r="U155" i="1"/>
  <c r="J11" i="1"/>
  <c r="O11" i="1"/>
  <c r="T11" i="1"/>
  <c r="I10" i="1"/>
  <c r="K12" i="1"/>
  <c r="P12" i="1"/>
  <c r="U12" i="1"/>
  <c r="K11" i="1"/>
  <c r="P11" i="1"/>
  <c r="U11" i="1"/>
  <c r="J12" i="1"/>
  <c r="O12" i="1"/>
  <c r="T12" i="1"/>
  <c r="K10" i="1"/>
  <c r="I11" i="1"/>
  <c r="J10" i="1"/>
  <c r="I12" i="1"/>
  <c r="K155" i="1"/>
  <c r="L153" i="1"/>
  <c r="T155" i="1"/>
  <c r="T6" i="1"/>
  <c r="C47" i="4"/>
  <c r="V120" i="1"/>
  <c r="D34" i="4"/>
  <c r="T121" i="1"/>
  <c r="Q121" i="1"/>
  <c r="P141" i="1"/>
  <c r="K150" i="1"/>
  <c r="K6" i="1"/>
  <c r="L6" i="1"/>
  <c r="L155" i="1"/>
  <c r="N10" i="1"/>
  <c r="I152" i="1"/>
  <c r="I156" i="1"/>
  <c r="I147" i="1"/>
  <c r="L10" i="1"/>
  <c r="O141" i="1"/>
  <c r="J150" i="1"/>
  <c r="N12" i="1"/>
  <c r="L12" i="1"/>
  <c r="N141" i="1"/>
  <c r="L141" i="1"/>
  <c r="I150" i="1"/>
  <c r="O10" i="1"/>
  <c r="J152" i="1"/>
  <c r="J156" i="1"/>
  <c r="J147" i="1"/>
  <c r="V155" i="1"/>
  <c r="U6" i="1"/>
  <c r="P6" i="1"/>
  <c r="Q6" i="1"/>
  <c r="Q155" i="1"/>
  <c r="B47" i="4"/>
  <c r="F47" i="4"/>
  <c r="V149" i="1"/>
  <c r="N11" i="1"/>
  <c r="L11" i="1"/>
  <c r="V121" i="1"/>
  <c r="C34" i="4"/>
  <c r="P10" i="1"/>
  <c r="K156" i="1"/>
  <c r="K147" i="1"/>
  <c r="K152" i="1"/>
  <c r="K151" i="1"/>
  <c r="L150" i="1"/>
  <c r="L152" i="1"/>
  <c r="L156" i="1"/>
  <c r="J151" i="1"/>
  <c r="S141" i="1"/>
  <c r="Q141" i="1"/>
  <c r="N150" i="1"/>
  <c r="S12" i="1"/>
  <c r="V12" i="1"/>
  <c r="Q12" i="1"/>
  <c r="S10" i="1"/>
  <c r="N156" i="1"/>
  <c r="Q10" i="1"/>
  <c r="N152" i="1"/>
  <c r="N147" i="1"/>
  <c r="F34" i="4"/>
  <c r="S11" i="1"/>
  <c r="V11" i="1"/>
  <c r="Q11" i="1"/>
  <c r="V6" i="1"/>
  <c r="B12" i="4"/>
  <c r="T10" i="1"/>
  <c r="O156" i="1"/>
  <c r="O152" i="1"/>
  <c r="O147" i="1"/>
  <c r="T141" i="1"/>
  <c r="O150" i="1"/>
  <c r="I151" i="1"/>
  <c r="L147" i="1"/>
  <c r="U10" i="1"/>
  <c r="P156" i="1"/>
  <c r="P147" i="1"/>
  <c r="P152" i="1"/>
  <c r="U141" i="1"/>
  <c r="P150" i="1"/>
  <c r="L151" i="1"/>
  <c r="Q156" i="1"/>
  <c r="S156" i="1"/>
  <c r="V10" i="1"/>
  <c r="S152" i="1"/>
  <c r="S147" i="1"/>
  <c r="B24" i="4"/>
  <c r="B48" i="4"/>
  <c r="D37" i="4"/>
  <c r="U150" i="1"/>
  <c r="O151" i="1"/>
  <c r="Q150" i="1"/>
  <c r="P151" i="1"/>
  <c r="Q147" i="1"/>
  <c r="N151" i="1"/>
  <c r="Q151" i="1"/>
  <c r="C37" i="4"/>
  <c r="T150" i="1"/>
  <c r="Q152" i="1"/>
  <c r="B37" i="4"/>
  <c r="V141" i="1"/>
  <c r="S150" i="1"/>
  <c r="U156" i="1"/>
  <c r="U152" i="1"/>
  <c r="U147" i="1"/>
  <c r="U151" i="1"/>
  <c r="D24" i="4"/>
  <c r="D44" i="4"/>
  <c r="C24" i="4"/>
  <c r="T152" i="1"/>
  <c r="T147" i="1"/>
  <c r="T156" i="1"/>
  <c r="C48" i="4"/>
  <c r="D48" i="4"/>
  <c r="B18" i="4"/>
  <c r="F48" i="4"/>
  <c r="B44" i="4"/>
  <c r="F24" i="4"/>
  <c r="F37" i="4"/>
  <c r="F44" i="4"/>
  <c r="V150" i="1"/>
  <c r="S151" i="1"/>
  <c r="V147" i="1"/>
  <c r="T151" i="1"/>
  <c r="V152" i="1"/>
  <c r="D46" i="4"/>
  <c r="D45" i="4"/>
  <c r="D59" i="4"/>
  <c r="C44" i="4"/>
  <c r="V156" i="1"/>
  <c r="V151" i="1"/>
  <c r="C45" i="4"/>
  <c r="C46" i="4"/>
  <c r="C13" i="4"/>
  <c r="B13" i="4"/>
  <c r="B45" i="4"/>
  <c r="B46" i="4"/>
  <c r="B15" i="4"/>
  <c r="B17" i="4"/>
  <c r="B20" i="4"/>
  <c r="F46" i="4"/>
  <c r="F45" i="4"/>
  <c r="F59" i="4"/>
  <c r="B8" i="4"/>
  <c r="B9" i="4"/>
  <c r="B59" i="4"/>
</calcChain>
</file>

<file path=xl/comments1.xml><?xml version="1.0" encoding="utf-8"?>
<comments xmlns="http://schemas.openxmlformats.org/spreadsheetml/2006/main">
  <authors>
    <author>Gilles</author>
  </authors>
  <commentList>
    <comment ref="D5" authorId="0">
      <text>
        <r>
          <rPr>
            <b/>
            <sz val="9"/>
            <color indexed="81"/>
            <rFont val="Tahoma"/>
            <family val="2"/>
          </rPr>
          <t>Gilles:</t>
        </r>
        <r>
          <rPr>
            <sz val="9"/>
            <color indexed="81"/>
            <rFont val="Tahoma"/>
            <family val="2"/>
          </rPr>
          <t xml:space="preserve">
Use a divider other than 1 to impact the time allocated for the activity. Examples:
1) Steering Committee is supposed to occur every other week. Divider = 2
2) Review product tab in the Data Prep Work Book taking 1 minute per 5 rows (i.e. per 5 products) in the spreadsheet. Divider = 5</t>
        </r>
      </text>
    </comment>
    <comment ref="D11" authorId="0">
      <text>
        <r>
          <rPr>
            <b/>
            <sz val="9"/>
            <color indexed="81"/>
            <rFont val="Tahoma"/>
            <family val="2"/>
          </rPr>
          <t>Gilles: Converts assumed time to once every other week.</t>
        </r>
        <r>
          <rPr>
            <sz val="9"/>
            <color indexed="81"/>
            <rFont val="Tahoma"/>
            <family val="2"/>
          </rPr>
          <t xml:space="preserve">
</t>
        </r>
      </text>
    </comment>
    <comment ref="D32" authorId="0">
      <text>
        <r>
          <rPr>
            <b/>
            <sz val="9"/>
            <color indexed="81"/>
            <rFont val="Tahoma"/>
            <family val="2"/>
          </rPr>
          <t>Gilles:</t>
        </r>
        <r>
          <rPr>
            <sz val="9"/>
            <color indexed="81"/>
            <rFont val="Tahoma"/>
            <family val="2"/>
          </rPr>
          <t xml:space="preserve">
Review 5 products in the time allocated (1 minute)</t>
        </r>
      </text>
    </comment>
  </commentList>
</comments>
</file>

<file path=xl/sharedStrings.xml><?xml version="1.0" encoding="utf-8"?>
<sst xmlns="http://schemas.openxmlformats.org/spreadsheetml/2006/main" count="1105" uniqueCount="474">
  <si>
    <t>SteelBrick CPQ - Scoping Worksheet</t>
  </si>
  <si>
    <t>Assumptions</t>
  </si>
  <si>
    <t>Project Management</t>
  </si>
  <si>
    <t>Product Catalog</t>
  </si>
  <si>
    <t>Bundles</t>
  </si>
  <si>
    <t>Guided Selling</t>
  </si>
  <si>
    <t>Custom Action</t>
  </si>
  <si>
    <t>Pricing Engine</t>
  </si>
  <si>
    <t>Approvals</t>
  </si>
  <si>
    <t>Product Master</t>
  </si>
  <si>
    <t>Bundle Master</t>
  </si>
  <si>
    <t>PM</t>
  </si>
  <si>
    <t>Architect</t>
  </si>
  <si>
    <t>Consultant</t>
  </si>
  <si>
    <t>Notes</t>
  </si>
  <si>
    <t>Workshop</t>
  </si>
  <si>
    <t>SB populates DPWB</t>
  </si>
  <si>
    <t>Option Constraint Object</t>
  </si>
  <si>
    <t>Bundle overhead</t>
  </si>
  <si>
    <t>Product Object</t>
  </si>
  <si>
    <t>UOM</t>
  </si>
  <si>
    <t>Each</t>
  </si>
  <si>
    <t>Feature</t>
  </si>
  <si>
    <t>Product Option</t>
  </si>
  <si>
    <t>Product Feature</t>
  </si>
  <si>
    <t>Data Prep Workbook</t>
  </si>
  <si>
    <t>Installation and Setup</t>
  </si>
  <si>
    <t>Package Installation</t>
  </si>
  <si>
    <t>Profile Security</t>
  </si>
  <si>
    <t>Project preparation</t>
  </si>
  <si>
    <t>Kick-off meeting/call</t>
  </si>
  <si>
    <t>Week</t>
  </si>
  <si>
    <t>Project tracking (status meeting + report)</t>
  </si>
  <si>
    <t>Project tracking (steering committee)</t>
  </si>
  <si>
    <t>One every 2 weeks</t>
  </si>
  <si>
    <t>2 hours per week</t>
  </si>
  <si>
    <t>Coordinate activities</t>
  </si>
  <si>
    <t>Kimble setup - Review documentation</t>
  </si>
  <si>
    <t>Once</t>
  </si>
  <si>
    <t>Page layouts</t>
  </si>
  <si>
    <t>Profile Security Template</t>
  </si>
  <si>
    <t>SB reviews data from client</t>
  </si>
  <si>
    <t>Search Filters</t>
  </si>
  <si>
    <t>Quote Process</t>
  </si>
  <si>
    <t>Process Input</t>
  </si>
  <si>
    <t>Product Rule</t>
  </si>
  <si>
    <t>Bundle</t>
  </si>
  <si>
    <t>Product Master Data Collection</t>
  </si>
  <si>
    <t>Pricing Master Data Collection</t>
  </si>
  <si>
    <t>Discount Schedule</t>
  </si>
  <si>
    <t>Block Prices</t>
  </si>
  <si>
    <t>Discount Tier</t>
  </si>
  <si>
    <t>Tier</t>
  </si>
  <si>
    <t>Price Rule</t>
  </si>
  <si>
    <t>Auto-Approval Process</t>
  </si>
  <si>
    <t>Email Template (HTML)</t>
  </si>
  <si>
    <t>Single Reason Step</t>
  </si>
  <si>
    <t>Number of tiers/thresholds</t>
  </si>
  <si>
    <t>Includes standard entry/final actions</t>
  </si>
  <si>
    <t>Step (multi-reason)</t>
  </si>
  <si>
    <t>Includes creation of flags for logic</t>
  </si>
  <si>
    <t>Advanced Approvals</t>
  </si>
  <si>
    <t>Approval Chains</t>
  </si>
  <si>
    <t>Approval Rules</t>
  </si>
  <si>
    <t>Approvers</t>
  </si>
  <si>
    <t>Email Templates</t>
  </si>
  <si>
    <t>Typically 4 templates</t>
  </si>
  <si>
    <t>Parallelism</t>
  </si>
  <si>
    <t>Yes/No</t>
  </si>
  <si>
    <t>Bundle assistance</t>
  </si>
  <si>
    <t>SB assists customer</t>
  </si>
  <si>
    <t>Base of 2 hours per week</t>
  </si>
  <si>
    <t>Workshops</t>
  </si>
  <si>
    <t>UAT</t>
  </si>
  <si>
    <t>Status Calls</t>
  </si>
  <si>
    <t>Consultant assistance</t>
  </si>
  <si>
    <t>20% of Consultant Build Time</t>
  </si>
  <si>
    <t>Architect assistance</t>
  </si>
  <si>
    <t>10% of Architect Design Time</t>
  </si>
  <si>
    <t>Hours</t>
  </si>
  <si>
    <t>Deployment</t>
  </si>
  <si>
    <t>Admin Orientation</t>
  </si>
  <si>
    <t>Pricing</t>
  </si>
  <si>
    <t>Document Output</t>
  </si>
  <si>
    <t>Template</t>
  </si>
  <si>
    <t>Process</t>
  </si>
  <si>
    <t>Profile</t>
  </si>
  <si>
    <t>Product</t>
  </si>
  <si>
    <t>Option</t>
  </si>
  <si>
    <t>Constraint</t>
  </si>
  <si>
    <t>Rule</t>
  </si>
  <si>
    <t>Input</t>
  </si>
  <si>
    <t>Action</t>
  </si>
  <si>
    <t>Filter</t>
  </si>
  <si>
    <t>Schedule</t>
  </si>
  <si>
    <t>Step/Tier</t>
  </si>
  <si>
    <t>Chain</t>
  </si>
  <si>
    <t>Approver</t>
  </si>
  <si>
    <t>Excludes products and bundles</t>
  </si>
  <si>
    <t>Meta-data migration</t>
  </si>
  <si>
    <t>Partial data migration</t>
  </si>
  <si>
    <t>Full data migration</t>
  </si>
  <si>
    <t>Manual steps</t>
  </si>
  <si>
    <t>Post Go Live Support</t>
  </si>
  <si>
    <t>Support</t>
  </si>
  <si>
    <t>Standard renewals</t>
  </si>
  <si>
    <t>Renewals</t>
  </si>
  <si>
    <t>Output Documents</t>
  </si>
  <si>
    <t>Line Columns</t>
  </si>
  <si>
    <t>Template setup, including basic grouping (e.g. Family)</t>
  </si>
  <si>
    <t>Column</t>
  </si>
  <si>
    <t>Section</t>
  </si>
  <si>
    <t>T&amp;Cs - Static with merge fields</t>
  </si>
  <si>
    <t>Page</t>
  </si>
  <si>
    <t>Quote Term</t>
  </si>
  <si>
    <t>Term</t>
  </si>
  <si>
    <t>Assumes up to 1 condition per term on average</t>
  </si>
  <si>
    <t>Custom Grouping</t>
  </si>
  <si>
    <t>Custom Rollup</t>
  </si>
  <si>
    <t>Conditional Sections</t>
  </si>
  <si>
    <t>Conditional Column</t>
  </si>
  <si>
    <t>Number</t>
  </si>
  <si>
    <t>Filtered line items</t>
  </si>
  <si>
    <t>Overhead per page</t>
  </si>
  <si>
    <t>Overhead per template</t>
  </si>
  <si>
    <t>Complexity factor - Average buffer per page</t>
  </si>
  <si>
    <t>Strict branding guidelines</t>
  </si>
  <si>
    <t>Rich graphics</t>
  </si>
  <si>
    <t>e-Signature</t>
  </si>
  <si>
    <t>DocuSign</t>
  </si>
  <si>
    <t>EchoSign</t>
  </si>
  <si>
    <t>Fields to capture</t>
  </si>
  <si>
    <t>Number of tags to define in the template content</t>
  </si>
  <si>
    <t>Field</t>
  </si>
  <si>
    <t>Divider</t>
  </si>
  <si>
    <t>Total</t>
  </si>
  <si>
    <t>Products configured by SB</t>
  </si>
  <si>
    <t>Simple dependencies</t>
  </si>
  <si>
    <t>Complex dependencies</t>
  </si>
  <si>
    <t>Automatic option selections</t>
  </si>
  <si>
    <t>Prior purchase constraints</t>
  </si>
  <si>
    <t>Custom Actions</t>
  </si>
  <si>
    <t>Simple search filters</t>
  </si>
  <si>
    <t>Complex search filters</t>
  </si>
  <si>
    <t>SteelBrick CPQ - Scoping Inputs</t>
  </si>
  <si>
    <t>SteelBrick CPQ - Scoping Estimate</t>
  </si>
  <si>
    <t>Constraints</t>
  </si>
  <si>
    <t>Required</t>
  </si>
  <si>
    <t>Default value</t>
  </si>
  <si>
    <t>Ref</t>
  </si>
  <si>
    <t>A1</t>
  </si>
  <si>
    <t>B1</t>
  </si>
  <si>
    <t>B2</t>
  </si>
  <si>
    <t>C1</t>
  </si>
  <si>
    <t>C2</t>
  </si>
  <si>
    <t>D1</t>
  </si>
  <si>
    <t>D2</t>
  </si>
  <si>
    <t>Data Type</t>
  </si>
  <si>
    <t>Boolean</t>
  </si>
  <si>
    <t>Number of Custom Actions</t>
  </si>
  <si>
    <t>C3</t>
  </si>
  <si>
    <t>Required if D1&gt;0</t>
  </si>
  <si>
    <t>E1</t>
  </si>
  <si>
    <t>E2</t>
  </si>
  <si>
    <t>E3</t>
  </si>
  <si>
    <t>Discount Schedules</t>
  </si>
  <si>
    <t>Discount Tiers (for all schedules)</t>
  </si>
  <si>
    <t>Contracted Prices</t>
  </si>
  <si>
    <t>Contracted Price</t>
  </si>
  <si>
    <t>Block Prices Tiers</t>
  </si>
  <si>
    <t>Price Rules</t>
  </si>
  <si>
    <t>F1</t>
  </si>
  <si>
    <t>F2</t>
  </si>
  <si>
    <t>F3</t>
  </si>
  <si>
    <t>F4</t>
  </si>
  <si>
    <t>Number of Pages</t>
  </si>
  <si>
    <t>If zero, no such template</t>
  </si>
  <si>
    <t>Number of Sections</t>
  </si>
  <si>
    <t>Number of Columns for line items (total)</t>
  </si>
  <si>
    <t>Installation</t>
  </si>
  <si>
    <t>T&amp;Cs - Static without merge fields</t>
  </si>
  <si>
    <t>T&amp;Cs - Static  - Number of columns for text</t>
  </si>
  <si>
    <t>T&amp;Cs - Quote Terms</t>
  </si>
  <si>
    <t>Assumed up to 2 conditions per term</t>
  </si>
  <si>
    <t>Custom Rollups</t>
  </si>
  <si>
    <t>Conditional Line Columns</t>
  </si>
  <si>
    <t>Filtered Line Items</t>
  </si>
  <si>
    <t>C4</t>
  </si>
  <si>
    <t>C5</t>
  </si>
  <si>
    <t>C6</t>
  </si>
  <si>
    <t>C7</t>
  </si>
  <si>
    <t>C8</t>
  </si>
  <si>
    <t>C9</t>
  </si>
  <si>
    <t>Required if C1&gt;0 or C2&gt;0</t>
  </si>
  <si>
    <t>Required if E1&gt;0</t>
  </si>
  <si>
    <t>G1</t>
  </si>
  <si>
    <t>G2</t>
  </si>
  <si>
    <t>G3</t>
  </si>
  <si>
    <t>G4</t>
  </si>
  <si>
    <t>G5</t>
  </si>
  <si>
    <t>G6</t>
  </si>
  <si>
    <t>G7</t>
  </si>
  <si>
    <t>G8</t>
  </si>
  <si>
    <t>G9</t>
  </si>
  <si>
    <t>G10</t>
  </si>
  <si>
    <t>G11</t>
  </si>
  <si>
    <t>G12</t>
  </si>
  <si>
    <t>G13</t>
  </si>
  <si>
    <t>G14</t>
  </si>
  <si>
    <t>Strict Branding Guidelines</t>
  </si>
  <si>
    <t>Rich Graphics</t>
  </si>
  <si>
    <t>Document Output - Template 1</t>
  </si>
  <si>
    <t>Document Output - Template 2</t>
  </si>
  <si>
    <t>H1</t>
  </si>
  <si>
    <t>H2</t>
  </si>
  <si>
    <t>H3</t>
  </si>
  <si>
    <t>H4</t>
  </si>
  <si>
    <t>H5</t>
  </si>
  <si>
    <t>H6</t>
  </si>
  <si>
    <t>H7</t>
  </si>
  <si>
    <t>H8</t>
  </si>
  <si>
    <t>H9</t>
  </si>
  <si>
    <t>H10</t>
  </si>
  <si>
    <t>H11</t>
  </si>
  <si>
    <t>H12</t>
  </si>
  <si>
    <t>H13</t>
  </si>
  <si>
    <t>H14</t>
  </si>
  <si>
    <t>I1</t>
  </si>
  <si>
    <t>I2</t>
  </si>
  <si>
    <t>I3</t>
  </si>
  <si>
    <t>Tag</t>
  </si>
  <si>
    <t>J1</t>
  </si>
  <si>
    <t>J2</t>
  </si>
  <si>
    <t>Auto-approval</t>
  </si>
  <si>
    <t>J3</t>
  </si>
  <si>
    <t>J4</t>
  </si>
  <si>
    <t>Email templates</t>
  </si>
  <si>
    <t>K1</t>
  </si>
  <si>
    <t>K2</t>
  </si>
  <si>
    <t>K3</t>
  </si>
  <si>
    <t>K4</t>
  </si>
  <si>
    <t>K5</t>
  </si>
  <si>
    <t>Approval chains</t>
  </si>
  <si>
    <t>Parallel rules</t>
  </si>
  <si>
    <t>L1</t>
  </si>
  <si>
    <t>M1</t>
  </si>
  <si>
    <t>Type</t>
  </si>
  <si>
    <t>Picklist</t>
  </si>
  <si>
    <t>None | Partial | Full</t>
  </si>
  <si>
    <t>SB CPQ Licenses</t>
  </si>
  <si>
    <t>Total ACV</t>
  </si>
  <si>
    <t>Salesforce Edition</t>
  </si>
  <si>
    <t>Client</t>
  </si>
  <si>
    <t>Total Services</t>
  </si>
  <si>
    <t>Attach Ratio</t>
  </si>
  <si>
    <t>Category</t>
  </si>
  <si>
    <t>Guided Selling &amp; Custom Actions</t>
  </si>
  <si>
    <t>Pricing and Discounting</t>
  </si>
  <si>
    <t>User Acceptance Testing</t>
  </si>
  <si>
    <t>Post Go-Live Support</t>
  </si>
  <si>
    <t>Buffer</t>
  </si>
  <si>
    <t>Comments</t>
  </si>
  <si>
    <t>Total Hours</t>
  </si>
  <si>
    <t>Total PS Fees</t>
  </si>
  <si>
    <t>Customizations</t>
  </si>
  <si>
    <t>Grand Total</t>
  </si>
  <si>
    <t>Minutes</t>
  </si>
  <si>
    <t>Rounded Hours</t>
  </si>
  <si>
    <t>Calculated Value</t>
  </si>
  <si>
    <t>Option Contraints</t>
  </si>
  <si>
    <t>Product Validation Rules</t>
  </si>
  <si>
    <t>Product Selection Rules</t>
  </si>
  <si>
    <t>Required if F1&gt;0</t>
  </si>
  <si>
    <t>Mandatory to explain at least pricing structure</t>
  </si>
  <si>
    <t>F5</t>
  </si>
  <si>
    <t>Step</t>
  </si>
  <si>
    <t>Validation</t>
  </si>
  <si>
    <t>Option Constraint</t>
  </si>
  <si>
    <t>Approval Process</t>
  </si>
  <si>
    <t>Deployment Type</t>
  </si>
  <si>
    <t>None</t>
  </si>
  <si>
    <t>Partial</t>
  </si>
  <si>
    <t>Full</t>
  </si>
  <si>
    <t>Only those implemented by SB</t>
  </si>
  <si>
    <t>Boolean Flag</t>
  </si>
  <si>
    <t>Number of Weeks</t>
  </si>
  <si>
    <t>Includes weeks from kick-off until post go-live support completed</t>
  </si>
  <si>
    <t>Number of weeks</t>
  </si>
  <si>
    <t>PM1</t>
  </si>
  <si>
    <t>PM2</t>
  </si>
  <si>
    <t>PM3</t>
  </si>
  <si>
    <t>Approval Processes</t>
  </si>
  <si>
    <t>J5</t>
  </si>
  <si>
    <t>Multiple Reasons Processes - Number of steps including all tiers</t>
  </si>
  <si>
    <t>Template 1</t>
  </si>
  <si>
    <t>Template 2</t>
  </si>
  <si>
    <t>Aggregates</t>
  </si>
  <si>
    <t>Number of templates</t>
  </si>
  <si>
    <t>Number of pages</t>
  </si>
  <si>
    <t>Number of pages of static text</t>
  </si>
  <si>
    <t>T&amp;Cs - Static text - Column Formatting</t>
  </si>
  <si>
    <t>Overhead of column formatting</t>
  </si>
  <si>
    <t>Document Templates</t>
  </si>
  <si>
    <t>Build Activities</t>
  </si>
  <si>
    <t>Pre-Build Activities</t>
  </si>
  <si>
    <t>Post Build Activities</t>
  </si>
  <si>
    <t>Except workshops</t>
  </si>
  <si>
    <t>Total Activities</t>
  </si>
  <si>
    <t>Verify with Total Project</t>
  </si>
  <si>
    <t>Project Type</t>
  </si>
  <si>
    <t>Enterprise</t>
  </si>
  <si>
    <t>First Implementation</t>
  </si>
  <si>
    <t>Duration for Orientation</t>
  </si>
  <si>
    <t>Duration for UAT</t>
  </si>
  <si>
    <t>Duration for Post Go Live Support</t>
  </si>
  <si>
    <t>PM4</t>
  </si>
  <si>
    <t>Build Hours per Week</t>
  </si>
  <si>
    <t>Build duration in weeks</t>
  </si>
  <si>
    <t>Project duration in Weeks</t>
  </si>
  <si>
    <t>Notes/Instructions</t>
  </si>
  <si>
    <t>User Profile security setup</t>
  </si>
  <si>
    <t>Number of profiles</t>
  </si>
  <si>
    <t>Total number of products in catalog</t>
  </si>
  <si>
    <t>Products to be configured by SteelBrick</t>
  </si>
  <si>
    <t xml:space="preserve">Number of bundles </t>
  </si>
  <si>
    <t>Bundles configured by SB</t>
  </si>
  <si>
    <t>Bundles configured by Customer with SB assistance</t>
  </si>
  <si>
    <t>Your Response</t>
  </si>
  <si>
    <t>Fill out this column</t>
  </si>
  <si>
    <t>Quote Processes</t>
  </si>
  <si>
    <t>Number of Guided Selling Processes</t>
  </si>
  <si>
    <t>Process Inputs (for all processes)</t>
  </si>
  <si>
    <t>Number of Process Inputs</t>
  </si>
  <si>
    <t>Search filters without dynamic source fields</t>
  </si>
  <si>
    <t>Search filters with dynamic source fields</t>
  </si>
  <si>
    <t>Number of discount schedules</t>
  </si>
  <si>
    <t>Number of tiers for all schedules</t>
  </si>
  <si>
    <t>Number of block price tiers</t>
  </si>
  <si>
    <t>Number of price rules</t>
  </si>
  <si>
    <t>Number of contracted prices</t>
  </si>
  <si>
    <t>Corresponds to what SteelBrick configures (except otherwise noted)</t>
  </si>
  <si>
    <t>Enter 0 if customer handles the entire catalog</t>
  </si>
  <si>
    <t>Columns for all line item sections</t>
  </si>
  <si>
    <t>Number of rules involving prior purchases</t>
  </si>
  <si>
    <t>Terms field on the Quote Template will be used</t>
  </si>
  <si>
    <t>Terms in an HTML Template Content</t>
  </si>
  <si>
    <t>Applies to Static with merge fields only</t>
  </si>
  <si>
    <t>When condition requires a formula</t>
  </si>
  <si>
    <t>When rollup requires a formula</t>
  </si>
  <si>
    <t>When grouping requires a formula</t>
  </si>
  <si>
    <t>When filtering requires a formula</t>
  </si>
  <si>
    <t>If SB installs and configure the package</t>
  </si>
  <si>
    <t>Tags to create</t>
  </si>
  <si>
    <t>If customers wants quote to be auto-approved</t>
  </si>
  <si>
    <t>Processes in addition to auto-approval process</t>
  </si>
  <si>
    <t>When a single reason is required (e.g. Discount)</t>
  </si>
  <si>
    <t>When there are multiple approval reasons</t>
  </si>
  <si>
    <t>Number of rules</t>
  </si>
  <si>
    <t>Number of chains</t>
  </si>
  <si>
    <t>Number of approvers</t>
  </si>
  <si>
    <t>Partial = no migration of products/bundles data</t>
  </si>
  <si>
    <t>Knowledge Transfer to Customer</t>
  </si>
  <si>
    <t>Electronic Signature</t>
  </si>
  <si>
    <t>Number of quote terms</t>
  </si>
  <si>
    <t>Sections (including template content)</t>
  </si>
  <si>
    <t>Typically: one 30-min call per day</t>
  </si>
  <si>
    <t>Assumptions (Minutes)</t>
  </si>
  <si>
    <t>8 hours per 100 hours of build</t>
  </si>
  <si>
    <t>PM5</t>
  </si>
  <si>
    <t>Buffer/Risk Factor</t>
  </si>
  <si>
    <t>Configuration Attributes</t>
  </si>
  <si>
    <t>Configuration Attribute</t>
  </si>
  <si>
    <t>Attribute</t>
  </si>
  <si>
    <t>Additional Build Weeks (e.g. waiting for client activities)</t>
  </si>
  <si>
    <t>ACME Company</t>
  </si>
  <si>
    <t>Average per week (Total)</t>
  </si>
  <si>
    <t>Average per week (Build)</t>
  </si>
  <si>
    <t>Average per week (PM oversight only)</t>
  </si>
  <si>
    <t>PM Oversight Activities</t>
  </si>
  <si>
    <t>Native SFDC Approvals</t>
  </si>
  <si>
    <t>SB Advanced Approvals</t>
  </si>
  <si>
    <t>Single Reason Processes - Number of thresholds/Tiers</t>
  </si>
  <si>
    <t>Developer</t>
  </si>
  <si>
    <t>F6</t>
  </si>
  <si>
    <t>Price Books</t>
  </si>
  <si>
    <t># of price books x # of currencies (Data Loader)</t>
  </si>
  <si>
    <t>Batch</t>
  </si>
  <si>
    <t>M2</t>
  </si>
  <si>
    <t>Migration Tool License?</t>
  </si>
  <si>
    <t>F7</t>
  </si>
  <si>
    <t>Multi-Dimensional Quoting</t>
  </si>
  <si>
    <t>Price Dimension</t>
  </si>
  <si>
    <t>Number of price dimensions</t>
  </si>
  <si>
    <t>Data Loader Batch</t>
  </si>
  <si>
    <t>MDQ Workshop</t>
  </si>
  <si>
    <t>Contract Amendment Workshop</t>
  </si>
  <si>
    <t>L2</t>
  </si>
  <si>
    <t>Contract Amendments</t>
  </si>
  <si>
    <t>Version Number</t>
  </si>
  <si>
    <t>Changes</t>
  </si>
  <si>
    <t>Approved By</t>
  </si>
  <si>
    <t>Approval Date</t>
  </si>
  <si>
    <t>First GA Release</t>
  </si>
  <si>
    <t>Gilles Muys</t>
  </si>
  <si>
    <t>PM Rate</t>
  </si>
  <si>
    <t>Architect Rate</t>
  </si>
  <si>
    <t>Consultant Rate</t>
  </si>
  <si>
    <t>Implementation Rates</t>
  </si>
  <si>
    <t>Customization Rates</t>
  </si>
  <si>
    <t>Buffer Rate</t>
  </si>
  <si>
    <t>Migration Tool License</t>
  </si>
  <si>
    <t>Comments (if override)</t>
  </si>
  <si>
    <t>Clarify here</t>
  </si>
  <si>
    <t>Migration Duration</t>
  </si>
  <si>
    <t>Future Enhancements</t>
  </si>
  <si>
    <t>Planned Version</t>
  </si>
  <si>
    <t>Actual Version</t>
  </si>
  <si>
    <t>Support for CSV Import into quote lines</t>
  </si>
  <si>
    <t>Documentation</t>
  </si>
  <si>
    <t>- Tweaked calculation of project duration
- Added Documentation line in Estimate tab</t>
  </si>
  <si>
    <t>- Added MDQ
- Added price books uploads
- Added contract amendments
- Added rate card
- Added migration tool
- Possibility to change time assumptions for each output doc
- Added Excel comments for Divider numbers in Details</t>
  </si>
  <si>
    <t>Ask "Is this an enterprise project". If yes, add more PM hours. Drives the minimum number of hours (5 for SMB, 16 for ENT). Add increment based on build hours: 1 additional PM hour/week for every 25 design + build hours.</t>
  </si>
  <si>
    <t>ENT projects: 12 weeks minimum
- Orientation is at least 3 weeks
- UAT is at least 3 weeks
- Post Go Live is at least 1 week</t>
  </si>
  <si>
    <t>Requested By</t>
  </si>
  <si>
    <t>Slava</t>
  </si>
  <si>
    <t>Gilles</t>
  </si>
  <si>
    <t>Calculate estimate separately for prior purchase constraints (need to create more summary variables)</t>
  </si>
  <si>
    <t xml:space="preserve">Email 10/18/2015 from Slava to Services:
Total hours without PM 
a. &lt;100 hours -&gt; 2 hrs/wk (except enablement)
a. 100-200 -&gt; 5 hrs/wk 
b. 200-300 -&gt; 8 hrs/wk
c. 300-500 -&gt; 10 hrs/wk
d. 500-800 -&gt; 15 hrs/wk
e. 800-1100 -&gt; 20 hrs/wk
f. 1100-1500 -&gt; 25 hrs/wk
g. 1500+ -&gt; 30 hrs/wk
 Also, please ensure that are adjusting the duration of the project accordingly. If it is an enterprise client, it is unlikely that they will be able to move really fast through the implementation so we need to account for this. 
In addition to this, the total number of week in a project should be a sliding scale as well: 
a. &lt;100 hrs -&gt; 1-5 wks 
a. 100-200 -&gt; 5-8wks
b. 200-300 -&gt; 5-8wks 
c. 300-500 -&gt; 10-12 wks
d. 500-800 -&gt; 12-14 wks
e. 800-1100 -&gt; 14-16 wks
f. 1100-1500 -&gt; 16-20
g. 1500+ -&gt; 18-20 wks (add resources as needed) 
</t>
  </si>
  <si>
    <t>F8</t>
  </si>
  <si>
    <t>Import Lines via CSV</t>
  </si>
  <si>
    <t>Number of import formats (assumes up to 10 fields)</t>
  </si>
  <si>
    <t>Import Format</t>
  </si>
  <si>
    <t>CSV Import Formats</t>
  </si>
  <si>
    <t>Type of Project</t>
  </si>
  <si>
    <t>PM6</t>
  </si>
  <si>
    <t>EE/MM</t>
  </si>
  <si>
    <t>List</t>
  </si>
  <si>
    <t>Mid Market</t>
  </si>
  <si>
    <t>Enterprise / Mid Market</t>
  </si>
  <si>
    <t xml:space="preserve">a. &lt;100 hrs -&gt; 1-5 wks 
a. 100-200 -&gt; 5-8wks
b. 200-300 -&gt; 5-8wks 
c. 300-500 -&gt; 10-12 wks
d. 500-800 -&gt; 12-14 wks
e. 800-1100 -&gt; 14-16 wks
f. 1100-1500 -&gt; 16-20
g. 1500+ -&gt; 18-20 wks (add resources as needed) </t>
  </si>
  <si>
    <t>Calculated Project Duration</t>
  </si>
  <si>
    <t>Justify Project Duration Discrepancy</t>
  </si>
  <si>
    <t>Min Weeks</t>
  </si>
  <si>
    <t>Max Weeks</t>
  </si>
  <si>
    <t>Recommended Range for Project Duration</t>
  </si>
  <si>
    <t>Justify PM Hours Discrepancy</t>
  </si>
  <si>
    <t>Recommended Minimum PM Hours per Week</t>
  </si>
  <si>
    <t>Project Hours</t>
  </si>
  <si>
    <t>Project Duration Check</t>
  </si>
  <si>
    <t>PM Hours Check</t>
  </si>
  <si>
    <t>Non PM Hours</t>
  </si>
  <si>
    <t>Min Hrs/Week</t>
  </si>
  <si>
    <t>Additional activities for Enterprise projects</t>
  </si>
  <si>
    <t>1 hour per 25 hours of build</t>
  </si>
  <si>
    <t>PM7</t>
  </si>
  <si>
    <t>Build resources (Implementation Consultants)</t>
  </si>
  <si>
    <t>Resource</t>
  </si>
  <si>
    <t>Expected average build hours per week and per resource</t>
  </si>
  <si>
    <t>Number of resources for build</t>
  </si>
  <si>
    <t>- Support for CSV Import Formats
- Added question for project type (EE/MM)
- Added control over project duration in Estimate tab + Justification
- Added control over PM Hours in Estimate tab + Justification
- Added validation of duration for Orientation/UAT/Post Go Live for Enterprise projects
- PM hours automatically increased (1 hour/25 hours of build) for Enterprise projects
- Added question for number of resources for the build. Impacts calculated project duration.</t>
  </si>
  <si>
    <t>Calculated PM Hours per Week</t>
  </si>
  <si>
    <r>
      <t xml:space="preserve">Ask number of resources. Plan 3 hours per week of PM activities for resources above 1. This replaces current calculations on lines 9 and 11 in the Details tab.
</t>
    </r>
    <r>
      <rPr>
        <b/>
        <sz val="11"/>
        <color rgb="FFFF0000"/>
        <rFont val="Calibri"/>
        <family val="2"/>
        <scheme val="minor"/>
      </rPr>
      <t>Gilles: did not implement additional PM hours based on number of resources in v4.2, since we have more recent requirements associated with project type (impact of Enterprise projects)</t>
    </r>
  </si>
  <si>
    <t>Hand-off SOW Owner to Project Team</t>
  </si>
  <si>
    <t>- Added hand-off from SOW Owner to Project Team in Details tab. Impact on PM activities.
- Corrected formulas of PM-related activities for Consultant so that they now take into account the number of resources entered in the Questionaire</t>
  </si>
  <si>
    <t>Tweak warning on Custom Actions, so that only one of the 2 types of filters is required, instead of both being required.</t>
  </si>
  <si>
    <t>- Removed question about multi-level configuration (nested bundles)
- Change the logic for features and options for bundles. It's now expecting the total number of objects to create, instead of an average per bundle.
- Changed the questions about product catalog, so that we clearly specify how many we setup and how many we review (instead of working by difference between the 2 numbers).</t>
  </si>
  <si>
    <t>B3</t>
  </si>
  <si>
    <t>Products configured by client and reviewed by SB</t>
  </si>
  <si>
    <t>Products reviewed by SteelBrick</t>
  </si>
  <si>
    <t>Features (configured by SB)</t>
  </si>
  <si>
    <t>Options (configured by SB)</t>
  </si>
  <si>
    <t>Number of Product Features (across all bundles)</t>
  </si>
  <si>
    <t>Number of Product Options (across all bundles)</t>
  </si>
  <si>
    <t>Number of Product Configuration (across all bundles)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</si>
</sst>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_(* #,##0.00_);_(* \(#,##0.00\);_(* &quot;-&quot;??_);_(@_)"/>
    <numFmt numFmtId="166" formatCode="0&quot; weeks&quot;"/>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4"/>
      <color rgb="FF00B0F0"/>
      <name val="Calibri"/>
      <family val="2"/>
      <scheme val="minor"/>
    </font>
    <font>
      <b/>
      <sz val="18"/>
      <color rgb="FFC00000"/>
      <name val="Calibri"/>
      <family val="2"/>
      <scheme val="minor"/>
    </font>
    <font>
      <b/>
      <sz val="11"/>
      <color rgb="FFFF0000"/>
      <name val="Calibri"/>
      <family val="2"/>
      <scheme val="minor"/>
    </font>
    <font>
      <sz val="11"/>
      <color rgb="FF0070C0"/>
      <name val="Calibri"/>
      <family val="2"/>
      <scheme val="minor"/>
    </font>
    <font>
      <b/>
      <sz val="11"/>
      <color rgb="FF0070C0"/>
      <name val="Calibri"/>
      <family val="2"/>
      <scheme val="minor"/>
    </font>
    <font>
      <b/>
      <sz val="11"/>
      <color rgb="FFC00000"/>
      <name val="Calibri"/>
      <family val="2"/>
      <scheme val="minor"/>
    </font>
    <font>
      <sz val="11"/>
      <color rgb="FFC00000"/>
      <name val="Calibri"/>
      <family val="2"/>
      <scheme val="minor"/>
    </font>
    <font>
      <sz val="11"/>
      <name val="Calibri"/>
      <family val="2"/>
      <scheme val="minor"/>
    </font>
    <font>
      <b/>
      <sz val="11"/>
      <color rgb="FF00B0F0"/>
      <name val="Calibri"/>
      <family val="2"/>
      <scheme val="minor"/>
    </font>
    <font>
      <sz val="9"/>
      <color indexed="81"/>
      <name val="Tahoma"/>
      <family val="2"/>
    </font>
    <font>
      <b/>
      <sz val="9"/>
      <color indexed="81"/>
      <name val="Tahoma"/>
      <family val="2"/>
    </font>
    <font>
      <sz val="11"/>
      <color theme="0" tint="-0.34998626667073579"/>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0"/>
        <bgColor indexed="64"/>
      </patternFill>
    </fill>
  </fills>
  <borders count="8">
    <border>
      <left/>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3">
    <xf numFmtId="0" fontId="0" fillId="0" borderId="0"/>
    <xf numFmtId="164" fontId="1" fillId="0" borderId="0" applyFont="0" applyFill="0" applyBorder="0" applyAlignment="0" applyProtection="0"/>
    <xf numFmtId="165" fontId="1" fillId="0" borderId="0" applyFont="0" applyFill="0" applyBorder="0" applyAlignment="0" applyProtection="0"/>
  </cellStyleXfs>
  <cellXfs count="124">
    <xf numFmtId="0" fontId="0" fillId="0" borderId="0" xfId="0"/>
    <xf numFmtId="0" fontId="0" fillId="0" borderId="0" xfId="0" applyAlignment="1">
      <alignment horizontal="center"/>
    </xf>
    <xf numFmtId="0" fontId="4" fillId="0" borderId="0" xfId="0" applyFont="1" applyAlignment="1">
      <alignment vertical="top"/>
    </xf>
    <xf numFmtId="0" fontId="0" fillId="0" borderId="0" xfId="0" applyAlignment="1">
      <alignment vertical="top"/>
    </xf>
    <xf numFmtId="0" fontId="0" fillId="0" borderId="0" xfId="0" applyAlignment="1">
      <alignment horizontal="center" vertical="top"/>
    </xf>
    <xf numFmtId="0" fontId="2" fillId="0" borderId="0" xfId="0" applyFont="1" applyAlignment="1">
      <alignment vertical="top"/>
    </xf>
    <xf numFmtId="0" fontId="2" fillId="0" borderId="0" xfId="0" applyFont="1" applyAlignment="1">
      <alignment horizontal="center" vertical="top"/>
    </xf>
    <xf numFmtId="0" fontId="0" fillId="0" borderId="0" xfId="0" applyFont="1" applyAlignment="1">
      <alignment vertical="top"/>
    </xf>
    <xf numFmtId="0" fontId="0" fillId="0" borderId="0" xfId="0" applyFont="1" applyAlignment="1">
      <alignment horizontal="center" vertical="top"/>
    </xf>
    <xf numFmtId="0" fontId="4" fillId="0" borderId="0" xfId="0" applyFont="1" applyAlignment="1">
      <alignment horizontal="center" vertical="top"/>
    </xf>
    <xf numFmtId="0" fontId="3" fillId="0" borderId="0" xfId="0" applyFont="1" applyAlignment="1">
      <alignment vertical="top"/>
    </xf>
    <xf numFmtId="0" fontId="3" fillId="0" borderId="0" xfId="0" applyFont="1" applyAlignment="1">
      <alignment horizontal="center" vertical="top"/>
    </xf>
    <xf numFmtId="0" fontId="0" fillId="0" borderId="0" xfId="0" applyAlignment="1">
      <alignment vertical="top" wrapText="1"/>
    </xf>
    <xf numFmtId="0" fontId="0" fillId="0" borderId="0" xfId="0" applyAlignment="1">
      <alignment horizontal="left" vertical="top"/>
    </xf>
    <xf numFmtId="0" fontId="0" fillId="0" borderId="0" xfId="0" applyNumberFormat="1" applyAlignment="1">
      <alignment horizontal="center" vertical="top"/>
    </xf>
    <xf numFmtId="0" fontId="5" fillId="0" borderId="0" xfId="0" applyFont="1" applyAlignment="1">
      <alignment vertical="top"/>
    </xf>
    <xf numFmtId="0" fontId="2" fillId="0" borderId="0" xfId="0" applyFont="1"/>
    <xf numFmtId="0" fontId="0" fillId="0" borderId="0" xfId="0" applyFont="1" applyAlignment="1">
      <alignment horizontal="center"/>
    </xf>
    <xf numFmtId="0" fontId="6" fillId="0" borderId="0" xfId="0" applyFont="1" applyAlignment="1">
      <alignment vertical="top"/>
    </xf>
    <xf numFmtId="0" fontId="6" fillId="0" borderId="0" xfId="0" applyFont="1" applyAlignment="1">
      <alignment horizontal="center" vertical="top"/>
    </xf>
    <xf numFmtId="0" fontId="6" fillId="0" borderId="0" xfId="0" applyFont="1" applyAlignment="1">
      <alignment horizontal="center"/>
    </xf>
    <xf numFmtId="0" fontId="7" fillId="0" borderId="0" xfId="0" applyFont="1" applyAlignment="1">
      <alignment horizontal="center"/>
    </xf>
    <xf numFmtId="2" fontId="0" fillId="0" borderId="0" xfId="2" applyNumberFormat="1" applyFont="1" applyAlignment="1">
      <alignment horizontal="center" vertical="top"/>
    </xf>
    <xf numFmtId="164" fontId="0" fillId="0" borderId="0" xfId="1" applyFont="1" applyAlignment="1">
      <alignment horizontal="left" vertical="top"/>
    </xf>
    <xf numFmtId="164" fontId="0" fillId="0" borderId="0" xfId="0" applyNumberFormat="1" applyAlignment="1">
      <alignment horizontal="left" vertical="top"/>
    </xf>
    <xf numFmtId="2" fontId="0" fillId="0" borderId="0" xfId="0" applyNumberFormat="1" applyFont="1" applyAlignment="1">
      <alignment horizontal="center" vertical="top"/>
    </xf>
    <xf numFmtId="2" fontId="0" fillId="0" borderId="0" xfId="2" applyNumberFormat="1" applyFont="1" applyAlignment="1">
      <alignment horizontal="center"/>
    </xf>
    <xf numFmtId="2" fontId="7" fillId="0" borderId="0" xfId="2" applyNumberFormat="1" applyFont="1" applyAlignment="1">
      <alignment horizontal="center"/>
    </xf>
    <xf numFmtId="2" fontId="6" fillId="0" borderId="0" xfId="2" applyNumberFormat="1" applyFont="1" applyAlignment="1">
      <alignment horizontal="center"/>
    </xf>
    <xf numFmtId="2" fontId="0" fillId="0" borderId="0" xfId="0" applyNumberFormat="1" applyAlignment="1">
      <alignment horizontal="center"/>
    </xf>
    <xf numFmtId="2" fontId="7" fillId="0" borderId="0" xfId="0" applyNumberFormat="1" applyFont="1" applyAlignment="1">
      <alignment horizontal="center"/>
    </xf>
    <xf numFmtId="2" fontId="6" fillId="0" borderId="0" xfId="0" applyNumberFormat="1" applyFont="1" applyAlignment="1">
      <alignment horizontal="center"/>
    </xf>
    <xf numFmtId="1" fontId="0" fillId="0" borderId="0" xfId="0" applyNumberFormat="1" applyAlignment="1">
      <alignment horizontal="center"/>
    </xf>
    <xf numFmtId="1" fontId="7" fillId="0" borderId="0" xfId="0" applyNumberFormat="1" applyFont="1" applyAlignment="1">
      <alignment horizontal="center"/>
    </xf>
    <xf numFmtId="1" fontId="2" fillId="0" borderId="0" xfId="0" applyNumberFormat="1" applyFont="1" applyAlignment="1">
      <alignment horizontal="center" vertical="top"/>
    </xf>
    <xf numFmtId="1" fontId="0" fillId="0" borderId="0" xfId="0" applyNumberFormat="1" applyFont="1" applyAlignment="1">
      <alignment horizontal="center" vertical="top"/>
    </xf>
    <xf numFmtId="1" fontId="6" fillId="0" borderId="0" xfId="0" applyNumberFormat="1" applyFont="1" applyAlignment="1">
      <alignment horizontal="center"/>
    </xf>
    <xf numFmtId="0" fontId="9" fillId="0" borderId="0" xfId="0" applyFont="1" applyAlignment="1">
      <alignment horizontal="center" vertical="top"/>
    </xf>
    <xf numFmtId="0" fontId="9" fillId="0" borderId="0" xfId="0" applyFont="1" applyAlignment="1">
      <alignment horizontal="center" vertical="top" wrapText="1"/>
    </xf>
    <xf numFmtId="0" fontId="9" fillId="2" borderId="0" xfId="0" applyFont="1" applyFill="1" applyAlignment="1">
      <alignment horizontal="center" vertical="top"/>
    </xf>
    <xf numFmtId="0" fontId="4" fillId="2" borderId="0" xfId="0" applyFont="1" applyFill="1" applyAlignment="1">
      <alignment horizontal="center" vertical="top"/>
    </xf>
    <xf numFmtId="0" fontId="2" fillId="3" borderId="0" xfId="0" applyFont="1" applyFill="1" applyAlignment="1">
      <alignment vertical="top"/>
    </xf>
    <xf numFmtId="0" fontId="2" fillId="3" borderId="0" xfId="0" applyFont="1" applyFill="1" applyAlignment="1">
      <alignment horizontal="center" vertical="top"/>
    </xf>
    <xf numFmtId="0" fontId="8" fillId="3" borderId="0" xfId="0" applyFont="1" applyFill="1" applyAlignment="1">
      <alignment horizontal="center" vertical="top"/>
    </xf>
    <xf numFmtId="2" fontId="2" fillId="3" borderId="0" xfId="0" applyNumberFormat="1" applyFont="1" applyFill="1" applyAlignment="1">
      <alignment horizontal="center" vertical="top"/>
    </xf>
    <xf numFmtId="0" fontId="0" fillId="3" borderId="0" xfId="0" applyFill="1" applyAlignment="1">
      <alignment horizontal="center"/>
    </xf>
    <xf numFmtId="2" fontId="2" fillId="3" borderId="0" xfId="2" applyNumberFormat="1" applyFont="1" applyFill="1" applyAlignment="1">
      <alignment horizontal="center" vertical="top"/>
    </xf>
    <xf numFmtId="1" fontId="2" fillId="3" borderId="0" xfId="0" applyNumberFormat="1" applyFont="1" applyFill="1" applyAlignment="1">
      <alignment horizontal="center" vertical="top"/>
    </xf>
    <xf numFmtId="2" fontId="0" fillId="3" borderId="0" xfId="0" applyNumberFormat="1" applyFill="1" applyAlignment="1">
      <alignment horizontal="center"/>
    </xf>
    <xf numFmtId="2" fontId="0" fillId="3" borderId="0" xfId="2" applyNumberFormat="1" applyFont="1" applyFill="1" applyAlignment="1">
      <alignment horizontal="center"/>
    </xf>
    <xf numFmtId="1" fontId="0" fillId="3" borderId="0" xfId="0" applyNumberFormat="1" applyFill="1" applyAlignment="1">
      <alignment horizontal="center"/>
    </xf>
    <xf numFmtId="0" fontId="2" fillId="3" borderId="0" xfId="0" applyFont="1" applyFill="1"/>
    <xf numFmtId="2" fontId="2" fillId="3" borderId="0" xfId="0" applyNumberFormat="1" applyFont="1" applyFill="1" applyAlignment="1">
      <alignment horizontal="center"/>
    </xf>
    <xf numFmtId="0" fontId="2" fillId="3" borderId="0" xfId="0" applyFont="1" applyFill="1" applyAlignment="1">
      <alignment horizontal="center"/>
    </xf>
    <xf numFmtId="2" fontId="2" fillId="3" borderId="0" xfId="2" applyNumberFormat="1" applyFont="1" applyFill="1" applyAlignment="1">
      <alignment horizontal="center"/>
    </xf>
    <xf numFmtId="1" fontId="2" fillId="3" borderId="0" xfId="0" applyNumberFormat="1" applyFont="1" applyFill="1" applyAlignment="1">
      <alignment horizontal="center"/>
    </xf>
    <xf numFmtId="0" fontId="0" fillId="3" borderId="0" xfId="0" applyFill="1" applyAlignment="1">
      <alignment vertical="top"/>
    </xf>
    <xf numFmtId="0" fontId="7" fillId="3" borderId="0" xfId="0" applyFont="1" applyFill="1" applyAlignment="1">
      <alignment vertical="top"/>
    </xf>
    <xf numFmtId="0" fontId="7" fillId="3" borderId="0" xfId="0" applyFont="1" applyFill="1" applyAlignment="1">
      <alignment horizontal="center" vertical="top"/>
    </xf>
    <xf numFmtId="2" fontId="7" fillId="3" borderId="0" xfId="0" applyNumberFormat="1" applyFont="1" applyFill="1" applyAlignment="1">
      <alignment horizontal="center"/>
    </xf>
    <xf numFmtId="0" fontId="7" fillId="3" borderId="0" xfId="0" applyFont="1" applyFill="1" applyAlignment="1">
      <alignment horizontal="center"/>
    </xf>
    <xf numFmtId="2" fontId="7" fillId="3" borderId="0" xfId="2" applyNumberFormat="1" applyFont="1" applyFill="1" applyAlignment="1">
      <alignment horizontal="center"/>
    </xf>
    <xf numFmtId="1" fontId="7" fillId="3" borderId="0" xfId="0" applyNumberFormat="1" applyFont="1" applyFill="1" applyAlignment="1">
      <alignment horizontal="center"/>
    </xf>
    <xf numFmtId="1" fontId="0" fillId="0" borderId="0" xfId="0" applyNumberFormat="1" applyAlignment="1">
      <alignment horizontal="center" vertical="top"/>
    </xf>
    <xf numFmtId="0" fontId="2" fillId="0" borderId="0" xfId="0" applyNumberFormat="1" applyFont="1" applyAlignment="1">
      <alignment horizontal="center" vertical="top"/>
    </xf>
    <xf numFmtId="0" fontId="2" fillId="0" borderId="0" xfId="0" applyFont="1" applyAlignment="1">
      <alignment vertical="top" wrapText="1"/>
    </xf>
    <xf numFmtId="164" fontId="2" fillId="0" borderId="0" xfId="0" applyNumberFormat="1" applyFont="1" applyAlignment="1">
      <alignment horizontal="center" vertical="top"/>
    </xf>
    <xf numFmtId="0" fontId="0" fillId="4" borderId="0" xfId="0" applyFont="1" applyFill="1" applyAlignment="1">
      <alignment horizontal="center" vertical="top"/>
    </xf>
    <xf numFmtId="0" fontId="0" fillId="4" borderId="0" xfId="0" applyFill="1" applyAlignment="1">
      <alignment horizontal="center" vertical="top"/>
    </xf>
    <xf numFmtId="0" fontId="6" fillId="4" borderId="0" xfId="0" applyFont="1" applyFill="1" applyAlignment="1">
      <alignment horizontal="center" vertical="top"/>
    </xf>
    <xf numFmtId="0" fontId="0" fillId="0" borderId="0" xfId="0" applyFont="1" applyFill="1" applyAlignment="1">
      <alignment horizontal="center" vertical="top"/>
    </xf>
    <xf numFmtId="0" fontId="0" fillId="0" borderId="0" xfId="0" applyFill="1" applyAlignment="1">
      <alignment horizontal="center" vertical="top"/>
    </xf>
    <xf numFmtId="1" fontId="0" fillId="0" borderId="0" xfId="0" applyNumberFormat="1" applyFill="1" applyAlignment="1">
      <alignment horizontal="center"/>
    </xf>
    <xf numFmtId="1" fontId="10" fillId="0" borderId="0" xfId="0" applyNumberFormat="1" applyFont="1" applyFill="1" applyAlignment="1">
      <alignment horizontal="center"/>
    </xf>
    <xf numFmtId="2" fontId="0" fillId="0" borderId="0" xfId="0" applyNumberFormat="1" applyFill="1" applyAlignment="1">
      <alignment horizontal="center"/>
    </xf>
    <xf numFmtId="0" fontId="0" fillId="2" borderId="0" xfId="0" applyFill="1" applyAlignment="1">
      <alignment horizontal="left" vertical="top"/>
    </xf>
    <xf numFmtId="0" fontId="11" fillId="0" borderId="0" xfId="0" applyFont="1" applyAlignment="1">
      <alignment vertical="top"/>
    </xf>
    <xf numFmtId="0" fontId="11" fillId="0" borderId="0" xfId="0" applyFont="1" applyAlignment="1">
      <alignment vertical="top" wrapText="1"/>
    </xf>
    <xf numFmtId="0" fontId="2" fillId="3" borderId="0" xfId="0" applyFont="1" applyFill="1" applyAlignment="1">
      <alignment horizontal="center" vertical="top" wrapText="1"/>
    </xf>
    <xf numFmtId="0" fontId="0" fillId="5" borderId="0" xfId="0" applyFont="1" applyFill="1" applyAlignment="1">
      <alignment horizontal="center" vertical="top"/>
    </xf>
    <xf numFmtId="2" fontId="11" fillId="0" borderId="0" xfId="0" applyNumberFormat="1" applyFont="1" applyAlignment="1">
      <alignment horizontal="center" vertical="top"/>
    </xf>
    <xf numFmtId="2" fontId="11" fillId="0" borderId="0" xfId="2" applyNumberFormat="1" applyFont="1" applyAlignment="1">
      <alignment horizontal="center" vertical="top"/>
    </xf>
    <xf numFmtId="0" fontId="0" fillId="2" borderId="0" xfId="0" applyFill="1" applyAlignment="1">
      <alignment horizontal="center" vertical="top"/>
    </xf>
    <xf numFmtId="164" fontId="0" fillId="2" borderId="0" xfId="1" applyFont="1" applyFill="1" applyAlignment="1">
      <alignment horizontal="left" vertical="top"/>
    </xf>
    <xf numFmtId="0" fontId="0" fillId="5" borderId="0" xfId="0" applyFill="1" applyAlignment="1">
      <alignment horizontal="center" vertical="top"/>
    </xf>
    <xf numFmtId="0" fontId="0" fillId="0" borderId="0" xfId="0" quotePrefix="1" applyAlignment="1">
      <alignment vertical="top" wrapText="1"/>
    </xf>
    <xf numFmtId="0" fontId="2" fillId="2" borderId="0" xfId="0" applyFont="1" applyFill="1" applyAlignment="1">
      <alignment horizontal="center" vertical="top"/>
    </xf>
    <xf numFmtId="0" fontId="2" fillId="2" borderId="0" xfId="0" applyFont="1" applyFill="1" applyAlignment="1">
      <alignment horizontal="center" vertical="top" wrapText="1"/>
    </xf>
    <xf numFmtId="14" fontId="2" fillId="2" borderId="0" xfId="0" applyNumberFormat="1" applyFont="1" applyFill="1" applyAlignment="1">
      <alignment horizontal="center" vertical="top"/>
    </xf>
    <xf numFmtId="14" fontId="0" fillId="0" borderId="0" xfId="0" applyNumberFormat="1" applyAlignment="1">
      <alignment horizontal="center" vertical="top"/>
    </xf>
    <xf numFmtId="0" fontId="2" fillId="0" borderId="1" xfId="0" applyFont="1" applyBorder="1" applyAlignment="1">
      <alignment vertical="top" wrapText="1"/>
    </xf>
    <xf numFmtId="164" fontId="0" fillId="2" borderId="2" xfId="1" applyFont="1" applyFill="1" applyBorder="1" applyAlignment="1">
      <alignment horizontal="center" vertical="top"/>
    </xf>
    <xf numFmtId="0" fontId="0" fillId="0" borderId="3" xfId="0" applyBorder="1" applyAlignment="1">
      <alignment horizontal="left" vertical="top"/>
    </xf>
    <xf numFmtId="164" fontId="0" fillId="2" borderId="4" xfId="1" applyFont="1" applyFill="1" applyBorder="1" applyAlignment="1">
      <alignment horizontal="center" vertical="top"/>
    </xf>
    <xf numFmtId="0" fontId="0" fillId="0" borderId="5" xfId="0" applyBorder="1" applyAlignment="1">
      <alignment vertical="top" wrapText="1"/>
    </xf>
    <xf numFmtId="164" fontId="0" fillId="2" borderId="6" xfId="1" applyFont="1" applyFill="1" applyBorder="1" applyAlignment="1">
      <alignment horizontal="center" vertical="top"/>
    </xf>
    <xf numFmtId="0" fontId="0" fillId="0" borderId="7" xfId="0" applyBorder="1" applyAlignment="1">
      <alignment vertical="top" wrapText="1"/>
    </xf>
    <xf numFmtId="0" fontId="0" fillId="0" borderId="0" xfId="0" applyBorder="1" applyAlignment="1">
      <alignment vertical="top" wrapText="1"/>
    </xf>
    <xf numFmtId="9" fontId="0" fillId="4" borderId="0" xfId="0" applyNumberFormat="1" applyFill="1" applyAlignment="1">
      <alignment horizontal="center" vertical="top"/>
    </xf>
    <xf numFmtId="0" fontId="0" fillId="2" borderId="0" xfId="0" applyFill="1" applyAlignment="1">
      <alignment vertical="top" wrapText="1"/>
    </xf>
    <xf numFmtId="0" fontId="0" fillId="2" borderId="0" xfId="0" applyFill="1" applyAlignment="1">
      <alignment vertical="top"/>
    </xf>
    <xf numFmtId="0" fontId="0" fillId="0" borderId="0" xfId="0" applyAlignment="1">
      <alignment wrapText="1"/>
    </xf>
    <xf numFmtId="0" fontId="3" fillId="2" borderId="0" xfId="0" applyFont="1" applyFill="1" applyAlignment="1">
      <alignment vertical="top" wrapText="1"/>
    </xf>
    <xf numFmtId="0" fontId="7" fillId="0" borderId="0" xfId="0" applyFont="1" applyAlignment="1">
      <alignment wrapText="1"/>
    </xf>
    <xf numFmtId="0" fontId="2" fillId="3" borderId="0" xfId="0" applyFont="1" applyFill="1" applyAlignment="1">
      <alignment wrapText="1"/>
    </xf>
    <xf numFmtId="0" fontId="0" fillId="0" borderId="0" xfId="0" applyFont="1" applyAlignment="1">
      <alignment wrapText="1"/>
    </xf>
    <xf numFmtId="0" fontId="0" fillId="2" borderId="0" xfId="0" applyFill="1" applyAlignment="1">
      <alignment wrapText="1"/>
    </xf>
    <xf numFmtId="0" fontId="7" fillId="3" borderId="0" xfId="0" applyFont="1" applyFill="1" applyAlignment="1">
      <alignment wrapText="1"/>
    </xf>
    <xf numFmtId="0" fontId="6" fillId="0" borderId="0" xfId="0" applyFont="1" applyAlignment="1">
      <alignment wrapText="1"/>
    </xf>
    <xf numFmtId="0" fontId="6" fillId="2" borderId="0" xfId="0" applyFont="1" applyFill="1" applyAlignment="1">
      <alignment wrapText="1"/>
    </xf>
    <xf numFmtId="0" fontId="4" fillId="2" borderId="0" xfId="0" applyFont="1" applyFill="1" applyAlignment="1">
      <alignment horizontal="center" vertical="top" wrapText="1"/>
    </xf>
    <xf numFmtId="0" fontId="2" fillId="3" borderId="0" xfId="0" applyFont="1" applyFill="1" applyAlignment="1">
      <alignment vertical="top" wrapText="1"/>
    </xf>
    <xf numFmtId="0" fontId="0" fillId="2" borderId="0" xfId="0" applyFont="1" applyFill="1" applyAlignment="1">
      <alignment vertical="top" wrapText="1"/>
    </xf>
    <xf numFmtId="0" fontId="0" fillId="0" borderId="0" xfId="0" applyFont="1"/>
    <xf numFmtId="166" fontId="0" fillId="0" borderId="0" xfId="0" applyNumberFormat="1" applyAlignment="1">
      <alignment horizontal="center" vertical="top"/>
    </xf>
    <xf numFmtId="1" fontId="5" fillId="0" borderId="0" xfId="0" applyNumberFormat="1" applyFont="1" applyAlignment="1">
      <alignment horizontal="left" vertical="top"/>
    </xf>
    <xf numFmtId="2" fontId="10" fillId="0" borderId="0" xfId="0" applyNumberFormat="1" applyFont="1" applyAlignment="1">
      <alignment horizontal="center" vertical="top"/>
    </xf>
    <xf numFmtId="1" fontId="10" fillId="0" borderId="0" xfId="0" applyNumberFormat="1" applyFont="1" applyAlignment="1">
      <alignment horizontal="center" vertical="top"/>
    </xf>
    <xf numFmtId="0" fontId="14" fillId="0" borderId="0" xfId="0" applyFont="1" applyAlignment="1">
      <alignment vertical="top" wrapText="1"/>
    </xf>
    <xf numFmtId="0" fontId="14" fillId="0" borderId="0" xfId="0" applyFont="1" applyAlignment="1">
      <alignment horizontal="center" vertical="top"/>
    </xf>
    <xf numFmtId="0" fontId="5" fillId="2" borderId="0" xfId="0" applyFont="1" applyFill="1" applyAlignment="1">
      <alignment horizontal="left" vertical="top"/>
    </xf>
    <xf numFmtId="0" fontId="3" fillId="4" borderId="0" xfId="0" applyFont="1" applyFill="1" applyAlignment="1">
      <alignment horizontal="center" vertical="top"/>
    </xf>
    <xf numFmtId="1" fontId="0" fillId="2" borderId="0" xfId="0" applyNumberFormat="1" applyFill="1" applyAlignment="1">
      <alignment horizontal="left" vertical="top"/>
    </xf>
    <xf numFmtId="0" fontId="2" fillId="0" borderId="0" xfId="0" applyFont="1" applyAlignment="1">
      <alignment horizontal="center"/>
    </xf>
  </cellXfs>
  <cellStyles count="3">
    <cellStyle name="Comma" xfId="2" builtinId="3"/>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
  <sheetViews>
    <sheetView showGridLines="0" tabSelected="1" workbookViewId="0">
      <selection activeCell="C1" sqref="C1:F1048576"/>
    </sheetView>
  </sheetViews>
  <sheetFormatPr baseColWidth="10" defaultColWidth="8.83203125" defaultRowHeight="14" x14ac:dyDescent="0"/>
  <cols>
    <col min="1" max="1" width="8.83203125" style="3"/>
    <col min="2" max="2" width="59" style="3" bestFit="1" customWidth="1"/>
    <col min="3" max="3" width="22.1640625" style="3" hidden="1" customWidth="1"/>
    <col min="4" max="4" width="9.6640625" style="3" hidden="1" customWidth="1"/>
    <col min="5" max="5" width="22.6640625" style="3" hidden="1" customWidth="1"/>
    <col min="6" max="6" width="12.83203125" style="4" hidden="1" customWidth="1"/>
    <col min="7" max="7" width="52.5" style="3" bestFit="1" customWidth="1"/>
    <col min="8" max="8" width="29" style="37" bestFit="1" customWidth="1"/>
    <col min="9" max="9" width="16" style="4" bestFit="1" customWidth="1"/>
    <col min="10" max="10" width="44.83203125" style="3" customWidth="1"/>
    <col min="11" max="11" width="38.6640625" style="12" customWidth="1"/>
    <col min="12" max="16384" width="8.83203125" style="3"/>
  </cols>
  <sheetData>
    <row r="1" spans="1:11" ht="23">
      <c r="A1" s="2" t="s">
        <v>144</v>
      </c>
      <c r="B1" s="2"/>
      <c r="C1" s="2"/>
      <c r="D1" s="2"/>
      <c r="G1" s="38" t="s">
        <v>340</v>
      </c>
      <c r="H1" s="40" t="s">
        <v>328</v>
      </c>
      <c r="K1" s="110" t="s">
        <v>412</v>
      </c>
    </row>
    <row r="3" spans="1:11" s="5" customFormat="1">
      <c r="A3" s="41" t="s">
        <v>149</v>
      </c>
      <c r="B3" s="41" t="s">
        <v>2</v>
      </c>
      <c r="C3" s="41" t="s">
        <v>20</v>
      </c>
      <c r="D3" s="41" t="s">
        <v>157</v>
      </c>
      <c r="E3" s="41" t="s">
        <v>146</v>
      </c>
      <c r="F3" s="42" t="s">
        <v>148</v>
      </c>
      <c r="G3" s="42" t="s">
        <v>319</v>
      </c>
      <c r="H3" s="43" t="s">
        <v>327</v>
      </c>
      <c r="I3" s="42" t="s">
        <v>268</v>
      </c>
      <c r="J3" s="41" t="s">
        <v>276</v>
      </c>
      <c r="K3" s="111" t="s">
        <v>261</v>
      </c>
    </row>
    <row r="4" spans="1:11">
      <c r="A4" s="3" t="s">
        <v>288</v>
      </c>
      <c r="B4" s="3" t="s">
        <v>433</v>
      </c>
      <c r="C4" s="3" t="s">
        <v>435</v>
      </c>
      <c r="D4" s="3" t="s">
        <v>436</v>
      </c>
      <c r="F4" s="4" t="s">
        <v>437</v>
      </c>
      <c r="G4" s="3" t="s">
        <v>438</v>
      </c>
      <c r="H4" s="39"/>
      <c r="I4" s="4" t="str">
        <f t="shared" ref="I4:I10" si="0">IF(ISBLANK(H4),F4,H4)</f>
        <v>Mid Market</v>
      </c>
      <c r="K4" s="99"/>
    </row>
    <row r="5" spans="1:11">
      <c r="A5" s="3" t="s">
        <v>289</v>
      </c>
      <c r="B5" s="3" t="s">
        <v>312</v>
      </c>
      <c r="C5" s="3" t="s">
        <v>31</v>
      </c>
      <c r="D5" s="3" t="s">
        <v>121</v>
      </c>
      <c r="F5" s="4">
        <v>1</v>
      </c>
      <c r="G5" s="3" t="s">
        <v>287</v>
      </c>
      <c r="H5" s="39"/>
      <c r="I5" s="4">
        <f t="shared" si="0"/>
        <v>1</v>
      </c>
      <c r="J5" s="15" t="str">
        <f>IF(AND($I$4="Enterprise",I5&lt;3),"Minimum 3 weeks for Enterprise projects","")</f>
        <v/>
      </c>
      <c r="K5" s="99"/>
    </row>
    <row r="6" spans="1:11">
      <c r="A6" s="3" t="s">
        <v>290</v>
      </c>
      <c r="B6" s="3" t="s">
        <v>313</v>
      </c>
      <c r="C6" s="3" t="s">
        <v>31</v>
      </c>
      <c r="D6" s="3" t="s">
        <v>121</v>
      </c>
      <c r="F6" s="4">
        <v>1</v>
      </c>
      <c r="G6" s="3" t="s">
        <v>287</v>
      </c>
      <c r="H6" s="39"/>
      <c r="I6" s="4">
        <f t="shared" si="0"/>
        <v>1</v>
      </c>
      <c r="J6" s="15" t="str">
        <f>IF(AND($I$4="Enterprise",I6&lt;3),"Minimum 3 weeks for Enterprise projects","")</f>
        <v/>
      </c>
      <c r="K6" s="99"/>
    </row>
    <row r="7" spans="1:11">
      <c r="A7" s="3" t="s">
        <v>315</v>
      </c>
      <c r="B7" s="3" t="s">
        <v>314</v>
      </c>
      <c r="C7" s="3" t="s">
        <v>31</v>
      </c>
      <c r="D7" s="3" t="s">
        <v>121</v>
      </c>
      <c r="F7" s="4">
        <v>1</v>
      </c>
      <c r="G7" s="3" t="s">
        <v>287</v>
      </c>
      <c r="H7" s="39"/>
      <c r="I7" s="4">
        <f t="shared" si="0"/>
        <v>1</v>
      </c>
      <c r="J7" s="15" t="str">
        <f>IF(AND($I$4="Enterprise",I7&lt;1),"Minimum 1 week for Enterprise projects","")</f>
        <v/>
      </c>
      <c r="K7" s="99"/>
    </row>
    <row r="8" spans="1:11">
      <c r="A8" s="3" t="s">
        <v>368</v>
      </c>
      <c r="B8" s="3" t="s">
        <v>316</v>
      </c>
      <c r="C8" s="3" t="s">
        <v>31</v>
      </c>
      <c r="D8" s="3" t="s">
        <v>121</v>
      </c>
      <c r="F8" s="4">
        <v>20</v>
      </c>
      <c r="G8" s="3" t="s">
        <v>457</v>
      </c>
      <c r="H8" s="39"/>
      <c r="I8" s="4">
        <f t="shared" si="0"/>
        <v>20</v>
      </c>
      <c r="K8" s="99"/>
    </row>
    <row r="9" spans="1:11">
      <c r="A9" s="3" t="s">
        <v>434</v>
      </c>
      <c r="B9" s="3" t="s">
        <v>455</v>
      </c>
      <c r="C9" s="3" t="s">
        <v>456</v>
      </c>
      <c r="D9" s="3" t="s">
        <v>121</v>
      </c>
      <c r="F9" s="4">
        <v>1</v>
      </c>
      <c r="G9" s="3" t="s">
        <v>458</v>
      </c>
      <c r="H9" s="39"/>
      <c r="I9" s="4">
        <f t="shared" si="0"/>
        <v>1</v>
      </c>
      <c r="K9" s="99"/>
    </row>
    <row r="10" spans="1:11">
      <c r="A10" s="3" t="s">
        <v>454</v>
      </c>
      <c r="B10" s="3" t="s">
        <v>373</v>
      </c>
      <c r="F10" s="4">
        <v>0</v>
      </c>
      <c r="G10" s="3" t="s">
        <v>287</v>
      </c>
      <c r="H10" s="39"/>
      <c r="I10" s="4">
        <f t="shared" si="0"/>
        <v>0</v>
      </c>
      <c r="K10" s="99"/>
    </row>
    <row r="12" spans="1:11" s="5" customFormat="1">
      <c r="A12" s="41" t="s">
        <v>149</v>
      </c>
      <c r="B12" s="41" t="s">
        <v>179</v>
      </c>
      <c r="C12" s="41" t="s">
        <v>20</v>
      </c>
      <c r="D12" s="41" t="s">
        <v>157</v>
      </c>
      <c r="E12" s="41" t="s">
        <v>146</v>
      </c>
      <c r="F12" s="42" t="s">
        <v>148</v>
      </c>
      <c r="G12" s="42" t="s">
        <v>319</v>
      </c>
      <c r="H12" s="43" t="s">
        <v>327</v>
      </c>
      <c r="I12" s="42" t="s">
        <v>268</v>
      </c>
      <c r="J12" s="41" t="s">
        <v>276</v>
      </c>
      <c r="K12" s="111" t="s">
        <v>261</v>
      </c>
    </row>
    <row r="13" spans="1:11">
      <c r="A13" s="3" t="s">
        <v>150</v>
      </c>
      <c r="B13" s="3" t="s">
        <v>320</v>
      </c>
      <c r="C13" s="3" t="s">
        <v>86</v>
      </c>
      <c r="D13" s="3" t="s">
        <v>121</v>
      </c>
      <c r="F13" s="4">
        <v>0</v>
      </c>
      <c r="G13" s="3" t="s">
        <v>321</v>
      </c>
      <c r="H13" s="39"/>
      <c r="I13" s="4">
        <f>IF(ISBLANK(H13),F13,H13)</f>
        <v>0</v>
      </c>
      <c r="J13" s="15"/>
      <c r="K13" s="99"/>
    </row>
    <row r="14" spans="1:11">
      <c r="J14" s="15"/>
    </row>
    <row r="15" spans="1:11" s="5" customFormat="1">
      <c r="A15" s="41" t="s">
        <v>149</v>
      </c>
      <c r="B15" s="41" t="s">
        <v>3</v>
      </c>
      <c r="C15" s="41" t="s">
        <v>20</v>
      </c>
      <c r="D15" s="41" t="s">
        <v>157</v>
      </c>
      <c r="E15" s="41" t="s">
        <v>146</v>
      </c>
      <c r="F15" s="42" t="s">
        <v>148</v>
      </c>
      <c r="G15" s="42" t="s">
        <v>319</v>
      </c>
      <c r="H15" s="43" t="s">
        <v>327</v>
      </c>
      <c r="I15" s="42" t="s">
        <v>268</v>
      </c>
      <c r="J15" s="41" t="s">
        <v>276</v>
      </c>
      <c r="K15" s="111" t="s">
        <v>261</v>
      </c>
    </row>
    <row r="16" spans="1:11">
      <c r="A16" s="3" t="s">
        <v>151</v>
      </c>
      <c r="B16" s="3" t="s">
        <v>322</v>
      </c>
      <c r="C16" s="3" t="s">
        <v>87</v>
      </c>
      <c r="D16" s="3" t="s">
        <v>121</v>
      </c>
      <c r="E16" s="3" t="s">
        <v>147</v>
      </c>
      <c r="F16" s="4">
        <v>0</v>
      </c>
      <c r="G16" s="3" t="s">
        <v>341</v>
      </c>
      <c r="H16" s="39"/>
      <c r="I16" s="4">
        <f>IF(ISBLANK(H16),F16,H16)</f>
        <v>0</v>
      </c>
      <c r="J16" s="15"/>
      <c r="K16" s="99"/>
    </row>
    <row r="17" spans="1:11">
      <c r="A17" s="3" t="s">
        <v>152</v>
      </c>
      <c r="B17" s="3" t="s">
        <v>136</v>
      </c>
      <c r="C17" s="3" t="s">
        <v>87</v>
      </c>
      <c r="D17" s="3" t="s">
        <v>121</v>
      </c>
      <c r="E17" s="3" t="s">
        <v>147</v>
      </c>
      <c r="F17" s="4">
        <v>0</v>
      </c>
      <c r="G17" s="3" t="s">
        <v>323</v>
      </c>
      <c r="H17" s="39"/>
      <c r="I17" s="4">
        <f>IF(ISBLANK(H17),F17,H17)</f>
        <v>0</v>
      </c>
      <c r="J17" s="15"/>
      <c r="K17" s="99"/>
    </row>
    <row r="18" spans="1:11">
      <c r="A18" s="3" t="s">
        <v>466</v>
      </c>
      <c r="B18" s="3" t="s">
        <v>467</v>
      </c>
      <c r="C18" s="3" t="s">
        <v>87</v>
      </c>
      <c r="D18" s="3" t="s">
        <v>121</v>
      </c>
      <c r="E18" s="3" t="s">
        <v>147</v>
      </c>
      <c r="F18" s="4">
        <v>0</v>
      </c>
      <c r="G18" s="3" t="s">
        <v>468</v>
      </c>
      <c r="H18" s="39"/>
      <c r="I18" s="4">
        <f>IF(ISBLANK(H18),F18,H18)</f>
        <v>0</v>
      </c>
      <c r="J18" s="15"/>
      <c r="K18" s="99"/>
    </row>
    <row r="19" spans="1:11">
      <c r="J19" s="15"/>
    </row>
    <row r="20" spans="1:11" s="5" customFormat="1">
      <c r="A20" s="41" t="s">
        <v>149</v>
      </c>
      <c r="B20" s="41" t="s">
        <v>4</v>
      </c>
      <c r="C20" s="41" t="s">
        <v>20</v>
      </c>
      <c r="D20" s="41" t="s">
        <v>157</v>
      </c>
      <c r="E20" s="41" t="s">
        <v>146</v>
      </c>
      <c r="F20" s="42" t="s">
        <v>148</v>
      </c>
      <c r="G20" s="42" t="s">
        <v>319</v>
      </c>
      <c r="H20" s="43" t="s">
        <v>327</v>
      </c>
      <c r="I20" s="42" t="s">
        <v>268</v>
      </c>
      <c r="J20" s="41" t="s">
        <v>276</v>
      </c>
      <c r="K20" s="111" t="s">
        <v>261</v>
      </c>
    </row>
    <row r="21" spans="1:11">
      <c r="A21" s="3" t="s">
        <v>153</v>
      </c>
      <c r="B21" s="3" t="s">
        <v>325</v>
      </c>
      <c r="C21" s="3" t="s">
        <v>46</v>
      </c>
      <c r="D21" s="3" t="s">
        <v>121</v>
      </c>
      <c r="E21" s="3" t="s">
        <v>147</v>
      </c>
      <c r="F21" s="4">
        <v>0</v>
      </c>
      <c r="G21" s="3" t="s">
        <v>324</v>
      </c>
      <c r="H21" s="39"/>
      <c r="I21" s="4">
        <f>IF(ISBLANK(H21),F21,H21)</f>
        <v>0</v>
      </c>
      <c r="J21" s="15"/>
      <c r="K21" s="99"/>
    </row>
    <row r="22" spans="1:11">
      <c r="A22" s="3" t="s">
        <v>154</v>
      </c>
      <c r="B22" s="3" t="s">
        <v>326</v>
      </c>
      <c r="C22" s="3" t="s">
        <v>46</v>
      </c>
      <c r="D22" s="3" t="s">
        <v>121</v>
      </c>
      <c r="E22" s="3" t="s">
        <v>147</v>
      </c>
      <c r="F22" s="4">
        <v>0</v>
      </c>
      <c r="G22" s="3" t="s">
        <v>324</v>
      </c>
      <c r="H22" s="39"/>
      <c r="I22" s="4">
        <f>IF(ISBLANK(H22),F22,H22)</f>
        <v>0</v>
      </c>
      <c r="J22" s="15"/>
      <c r="K22" s="99"/>
    </row>
    <row r="23" spans="1:11">
      <c r="A23" s="3" t="s">
        <v>160</v>
      </c>
      <c r="B23" s="3" t="s">
        <v>469</v>
      </c>
      <c r="C23" s="3" t="s">
        <v>22</v>
      </c>
      <c r="D23" s="3" t="s">
        <v>121</v>
      </c>
      <c r="E23" s="3" t="s">
        <v>193</v>
      </c>
      <c r="F23" s="4">
        <v>0</v>
      </c>
      <c r="G23" s="3" t="s">
        <v>471</v>
      </c>
      <c r="H23" s="39"/>
      <c r="I23" s="4">
        <f>IF(I21+I22&gt;0,IF(ISBLANK(H23),F23,H23),0)</f>
        <v>0</v>
      </c>
      <c r="J23" s="15" t="str">
        <f>IF(AND($I$21+$I$22&gt;0,I23=0), "You must specify a value","")</f>
        <v/>
      </c>
      <c r="K23" s="99"/>
    </row>
    <row r="24" spans="1:11">
      <c r="A24" s="3" t="s">
        <v>187</v>
      </c>
      <c r="B24" s="3" t="s">
        <v>470</v>
      </c>
      <c r="C24" s="3" t="s">
        <v>88</v>
      </c>
      <c r="D24" s="3" t="s">
        <v>121</v>
      </c>
      <c r="E24" s="3" t="s">
        <v>193</v>
      </c>
      <c r="F24" s="4">
        <v>0</v>
      </c>
      <c r="G24" s="3" t="s">
        <v>472</v>
      </c>
      <c r="H24" s="39"/>
      <c r="I24" s="4">
        <f>IF(I21+I22&gt;0,IF(ISBLANK(H24),F24,H24),0)</f>
        <v>0</v>
      </c>
      <c r="J24" s="15" t="str">
        <f>IF(AND($I$21+$I$22&gt;0,I24=0), "You must specify a value","")</f>
        <v/>
      </c>
      <c r="K24" s="99"/>
    </row>
    <row r="25" spans="1:11">
      <c r="A25" s="3" t="s">
        <v>188</v>
      </c>
      <c r="B25" s="3" t="s">
        <v>137</v>
      </c>
      <c r="C25" s="3" t="s">
        <v>277</v>
      </c>
      <c r="D25" s="3" t="s">
        <v>121</v>
      </c>
      <c r="F25" s="4">
        <v>0</v>
      </c>
      <c r="G25" s="3" t="s">
        <v>269</v>
      </c>
      <c r="H25" s="39"/>
      <c r="I25" s="4">
        <f>IF(I21+I22&gt;0,IF(ISBLANK(H25),F25,H25),0)</f>
        <v>0</v>
      </c>
      <c r="J25" s="15"/>
      <c r="K25" s="99"/>
    </row>
    <row r="26" spans="1:11">
      <c r="A26" s="3" t="s">
        <v>189</v>
      </c>
      <c r="B26" s="3" t="s">
        <v>138</v>
      </c>
      <c r="C26" s="3" t="s">
        <v>45</v>
      </c>
      <c r="D26" s="3" t="s">
        <v>121</v>
      </c>
      <c r="F26" s="4">
        <v>0</v>
      </c>
      <c r="G26" s="3" t="s">
        <v>270</v>
      </c>
      <c r="H26" s="39"/>
      <c r="I26" s="4">
        <f>IF(I21+I22&gt;0,IF(ISBLANK(H26),F26,H26),0)</f>
        <v>0</v>
      </c>
      <c r="J26" s="15"/>
      <c r="K26" s="99"/>
    </row>
    <row r="27" spans="1:11">
      <c r="A27" s="3" t="s">
        <v>190</v>
      </c>
      <c r="B27" s="3" t="s">
        <v>139</v>
      </c>
      <c r="C27" s="3" t="s">
        <v>45</v>
      </c>
      <c r="D27" s="3" t="s">
        <v>121</v>
      </c>
      <c r="F27" s="4">
        <v>0</v>
      </c>
      <c r="G27" s="3" t="s">
        <v>271</v>
      </c>
      <c r="H27" s="39"/>
      <c r="I27" s="4">
        <f>IF(I21+I22&gt;0,IF(ISBLANK(H27),F27,H27),0)</f>
        <v>0</v>
      </c>
      <c r="J27" s="15"/>
      <c r="K27" s="99"/>
    </row>
    <row r="28" spans="1:11">
      <c r="A28" s="3" t="s">
        <v>191</v>
      </c>
      <c r="B28" s="3" t="s">
        <v>140</v>
      </c>
      <c r="C28" s="3" t="s">
        <v>45</v>
      </c>
      <c r="D28" s="3" t="s">
        <v>121</v>
      </c>
      <c r="F28" s="4">
        <v>0</v>
      </c>
      <c r="G28" s="3" t="s">
        <v>343</v>
      </c>
      <c r="H28" s="39"/>
      <c r="I28" s="4">
        <f>IF(I21+I22&gt;0,IF(ISBLANK(H28),F28,H28),0)</f>
        <v>0</v>
      </c>
      <c r="J28" s="15"/>
      <c r="K28" s="99"/>
    </row>
    <row r="29" spans="1:11">
      <c r="A29" s="3" t="s">
        <v>192</v>
      </c>
      <c r="B29" s="3" t="s">
        <v>370</v>
      </c>
      <c r="C29" s="3" t="s">
        <v>371</v>
      </c>
      <c r="D29" s="3" t="s">
        <v>121</v>
      </c>
      <c r="F29" s="4">
        <v>0</v>
      </c>
      <c r="G29" s="3" t="s">
        <v>473</v>
      </c>
      <c r="H29" s="39"/>
      <c r="I29" s="4">
        <f>IF(ISBLANK(H29),F29,H29)</f>
        <v>0</v>
      </c>
      <c r="J29" s="15"/>
      <c r="K29" s="99"/>
    </row>
    <row r="30" spans="1:11">
      <c r="J30" s="15"/>
    </row>
    <row r="31" spans="1:11" s="5" customFormat="1">
      <c r="A31" s="41" t="s">
        <v>149</v>
      </c>
      <c r="B31" s="41" t="s">
        <v>5</v>
      </c>
      <c r="C31" s="41" t="s">
        <v>20</v>
      </c>
      <c r="D31" s="41" t="s">
        <v>157</v>
      </c>
      <c r="E31" s="41" t="s">
        <v>146</v>
      </c>
      <c r="F31" s="42" t="s">
        <v>148</v>
      </c>
      <c r="G31" s="42" t="s">
        <v>319</v>
      </c>
      <c r="H31" s="43" t="s">
        <v>327</v>
      </c>
      <c r="I31" s="42" t="s">
        <v>268</v>
      </c>
      <c r="J31" s="41" t="s">
        <v>276</v>
      </c>
      <c r="K31" s="111" t="s">
        <v>261</v>
      </c>
    </row>
    <row r="32" spans="1:11">
      <c r="A32" s="3" t="s">
        <v>155</v>
      </c>
      <c r="B32" s="3" t="s">
        <v>329</v>
      </c>
      <c r="C32" s="3" t="s">
        <v>85</v>
      </c>
      <c r="D32" s="3" t="s">
        <v>121</v>
      </c>
      <c r="F32" s="4">
        <v>0</v>
      </c>
      <c r="G32" s="3" t="s">
        <v>330</v>
      </c>
      <c r="H32" s="39"/>
      <c r="I32" s="4">
        <f>IF(ISBLANK(H32),F32,H32)</f>
        <v>0</v>
      </c>
      <c r="J32" s="15"/>
      <c r="K32" s="99"/>
    </row>
    <row r="33" spans="1:11">
      <c r="A33" s="3" t="s">
        <v>156</v>
      </c>
      <c r="B33" s="3" t="s">
        <v>331</v>
      </c>
      <c r="C33" s="3" t="s">
        <v>91</v>
      </c>
      <c r="D33" s="3" t="s">
        <v>121</v>
      </c>
      <c r="E33" s="3" t="s">
        <v>161</v>
      </c>
      <c r="F33" s="4">
        <v>0</v>
      </c>
      <c r="G33" s="3" t="s">
        <v>332</v>
      </c>
      <c r="H33" s="39"/>
      <c r="I33" s="4">
        <f>IF(I32&gt;0,IF(ISBLANK(H33),F33,H33),0)</f>
        <v>0</v>
      </c>
      <c r="J33" s="15" t="str">
        <f>IF(AND(I32&gt;0,I33=0),"You must specify a value","")</f>
        <v/>
      </c>
      <c r="K33" s="99"/>
    </row>
    <row r="34" spans="1:11">
      <c r="J34" s="15"/>
    </row>
    <row r="35" spans="1:11" s="5" customFormat="1">
      <c r="A35" s="41" t="s">
        <v>149</v>
      </c>
      <c r="B35" s="41" t="s">
        <v>141</v>
      </c>
      <c r="C35" s="41" t="s">
        <v>20</v>
      </c>
      <c r="D35" s="41" t="s">
        <v>157</v>
      </c>
      <c r="E35" s="41" t="s">
        <v>146</v>
      </c>
      <c r="F35" s="42" t="s">
        <v>148</v>
      </c>
      <c r="G35" s="42" t="s">
        <v>319</v>
      </c>
      <c r="H35" s="43" t="s">
        <v>327</v>
      </c>
      <c r="I35" s="42" t="s">
        <v>268</v>
      </c>
      <c r="J35" s="41" t="s">
        <v>276</v>
      </c>
      <c r="K35" s="111" t="s">
        <v>261</v>
      </c>
    </row>
    <row r="36" spans="1:11" s="7" customFormat="1">
      <c r="A36" s="7" t="s">
        <v>162</v>
      </c>
      <c r="B36" s="7" t="s">
        <v>141</v>
      </c>
      <c r="C36" s="7" t="s">
        <v>92</v>
      </c>
      <c r="D36" s="7" t="s">
        <v>121</v>
      </c>
      <c r="F36" s="8">
        <v>0</v>
      </c>
      <c r="G36" s="7" t="s">
        <v>159</v>
      </c>
      <c r="H36" s="39"/>
      <c r="I36" s="4">
        <f>IF(ISBLANK(H36),F36,H36)</f>
        <v>0</v>
      </c>
      <c r="J36" s="15"/>
      <c r="K36" s="112"/>
    </row>
    <row r="37" spans="1:11">
      <c r="A37" s="3" t="s">
        <v>163</v>
      </c>
      <c r="B37" s="3" t="s">
        <v>142</v>
      </c>
      <c r="C37" s="7" t="s">
        <v>93</v>
      </c>
      <c r="D37" s="3" t="s">
        <v>121</v>
      </c>
      <c r="E37" s="3" t="s">
        <v>194</v>
      </c>
      <c r="F37" s="4">
        <v>0</v>
      </c>
      <c r="G37" s="3" t="s">
        <v>333</v>
      </c>
      <c r="H37" s="39"/>
      <c r="I37" s="4">
        <f>IF(I36&gt;0,IF(ISBLANK(H37),F37,H37),0)</f>
        <v>0</v>
      </c>
      <c r="J37" s="15" t="str">
        <f>IF(AND(I36&gt;0,I37=0),"You must specify a value","")</f>
        <v/>
      </c>
      <c r="K37" s="99"/>
    </row>
    <row r="38" spans="1:11">
      <c r="A38" s="3" t="s">
        <v>164</v>
      </c>
      <c r="B38" s="3" t="s">
        <v>143</v>
      </c>
      <c r="C38" s="7" t="s">
        <v>93</v>
      </c>
      <c r="D38" s="3" t="s">
        <v>121</v>
      </c>
      <c r="F38" s="4">
        <v>0</v>
      </c>
      <c r="G38" s="3" t="s">
        <v>334</v>
      </c>
      <c r="H38" s="39"/>
      <c r="I38" s="4">
        <f>IF(I36&gt;0,IF(ISBLANK(H38),F38,H38),0)</f>
        <v>0</v>
      </c>
      <c r="J38" s="15"/>
      <c r="K38" s="99"/>
    </row>
    <row r="39" spans="1:11">
      <c r="J39" s="15"/>
    </row>
    <row r="40" spans="1:11" s="5" customFormat="1">
      <c r="A40" s="41" t="s">
        <v>149</v>
      </c>
      <c r="B40" s="41" t="s">
        <v>82</v>
      </c>
      <c r="C40" s="41" t="s">
        <v>20</v>
      </c>
      <c r="D40" s="41" t="s">
        <v>157</v>
      </c>
      <c r="E40" s="41" t="s">
        <v>146</v>
      </c>
      <c r="F40" s="42" t="s">
        <v>148</v>
      </c>
      <c r="G40" s="42" t="s">
        <v>319</v>
      </c>
      <c r="H40" s="43" t="s">
        <v>327</v>
      </c>
      <c r="I40" s="42" t="s">
        <v>268</v>
      </c>
      <c r="J40" s="41" t="s">
        <v>276</v>
      </c>
      <c r="K40" s="111" t="s">
        <v>261</v>
      </c>
    </row>
    <row r="41" spans="1:11">
      <c r="A41" s="3" t="s">
        <v>171</v>
      </c>
      <c r="B41" s="3" t="s">
        <v>165</v>
      </c>
      <c r="C41" s="3" t="s">
        <v>94</v>
      </c>
      <c r="D41" s="3" t="s">
        <v>121</v>
      </c>
      <c r="F41" s="4">
        <v>0</v>
      </c>
      <c r="G41" s="3" t="s">
        <v>335</v>
      </c>
      <c r="H41" s="39"/>
      <c r="I41" s="4">
        <f>IF(ISBLANK(H41),F41,H41)</f>
        <v>0</v>
      </c>
      <c r="J41" s="15"/>
      <c r="K41" s="99"/>
    </row>
    <row r="42" spans="1:11">
      <c r="A42" s="3" t="s">
        <v>172</v>
      </c>
      <c r="B42" s="3" t="s">
        <v>166</v>
      </c>
      <c r="C42" s="3" t="s">
        <v>52</v>
      </c>
      <c r="D42" s="3" t="s">
        <v>121</v>
      </c>
      <c r="E42" s="3" t="s">
        <v>272</v>
      </c>
      <c r="F42" s="4">
        <v>0</v>
      </c>
      <c r="G42" s="3" t="s">
        <v>336</v>
      </c>
      <c r="H42" s="39"/>
      <c r="I42" s="4">
        <f>IF(I41&gt;0,IF(ISBLANK(H42),F42,H42),0)</f>
        <v>0</v>
      </c>
      <c r="J42" s="15" t="str">
        <f>IF(AND(I41&gt;0,I42=0),"You must specify a value","")</f>
        <v/>
      </c>
      <c r="K42" s="99"/>
    </row>
    <row r="43" spans="1:11">
      <c r="A43" s="3" t="s">
        <v>173</v>
      </c>
      <c r="B43" s="3" t="s">
        <v>169</v>
      </c>
      <c r="C43" s="3" t="s">
        <v>52</v>
      </c>
      <c r="D43" s="3" t="s">
        <v>121</v>
      </c>
      <c r="F43" s="4">
        <v>0</v>
      </c>
      <c r="G43" s="3" t="s">
        <v>337</v>
      </c>
      <c r="H43" s="39"/>
      <c r="I43" s="4">
        <f t="shared" ref="I43:I48" si="1">IF(ISBLANK(H43),F43,H43)</f>
        <v>0</v>
      </c>
      <c r="J43" s="15"/>
      <c r="K43" s="99"/>
    </row>
    <row r="44" spans="1:11">
      <c r="A44" s="3" t="s">
        <v>174</v>
      </c>
      <c r="B44" s="3" t="s">
        <v>170</v>
      </c>
      <c r="C44" s="3" t="s">
        <v>90</v>
      </c>
      <c r="D44" s="3" t="s">
        <v>121</v>
      </c>
      <c r="F44" s="4">
        <v>0</v>
      </c>
      <c r="G44" s="3" t="s">
        <v>338</v>
      </c>
      <c r="H44" s="39"/>
      <c r="I44" s="4">
        <f t="shared" si="1"/>
        <v>0</v>
      </c>
      <c r="J44" s="15"/>
      <c r="K44" s="99"/>
    </row>
    <row r="45" spans="1:11">
      <c r="A45" s="3" t="s">
        <v>274</v>
      </c>
      <c r="B45" s="3" t="s">
        <v>167</v>
      </c>
      <c r="C45" s="3" t="s">
        <v>168</v>
      </c>
      <c r="D45" s="3" t="s">
        <v>121</v>
      </c>
      <c r="F45" s="4">
        <v>0</v>
      </c>
      <c r="G45" s="3" t="s">
        <v>339</v>
      </c>
      <c r="H45" s="39"/>
      <c r="I45" s="4">
        <f t="shared" si="1"/>
        <v>0</v>
      </c>
      <c r="J45" s="15"/>
      <c r="K45" s="99"/>
    </row>
    <row r="46" spans="1:11">
      <c r="A46" s="3" t="s">
        <v>383</v>
      </c>
      <c r="B46" s="3" t="s">
        <v>384</v>
      </c>
      <c r="C46" s="3" t="s">
        <v>393</v>
      </c>
      <c r="D46" s="3" t="s">
        <v>121</v>
      </c>
      <c r="F46" s="4">
        <v>0</v>
      </c>
      <c r="G46" s="3" t="s">
        <v>385</v>
      </c>
      <c r="H46" s="39"/>
      <c r="I46" s="4">
        <f t="shared" si="1"/>
        <v>0</v>
      </c>
      <c r="J46" s="15"/>
      <c r="K46" s="99"/>
    </row>
    <row r="47" spans="1:11">
      <c r="A47" s="3" t="s">
        <v>389</v>
      </c>
      <c r="B47" s="3" t="s">
        <v>390</v>
      </c>
      <c r="C47" s="3" t="s">
        <v>391</v>
      </c>
      <c r="D47" s="3" t="s">
        <v>121</v>
      </c>
      <c r="F47" s="4">
        <v>0</v>
      </c>
      <c r="G47" s="3" t="s">
        <v>392</v>
      </c>
      <c r="H47" s="39"/>
      <c r="I47" s="4">
        <f t="shared" si="1"/>
        <v>0</v>
      </c>
      <c r="J47" s="15"/>
      <c r="K47" s="99"/>
    </row>
    <row r="48" spans="1:11">
      <c r="A48" s="3" t="s">
        <v>428</v>
      </c>
      <c r="B48" s="3" t="s">
        <v>429</v>
      </c>
      <c r="C48" s="3" t="s">
        <v>431</v>
      </c>
      <c r="D48" s="3" t="s">
        <v>121</v>
      </c>
      <c r="F48" s="4">
        <v>0</v>
      </c>
      <c r="G48" s="3" t="s">
        <v>430</v>
      </c>
      <c r="H48" s="39"/>
      <c r="I48" s="4">
        <f t="shared" si="1"/>
        <v>0</v>
      </c>
      <c r="J48" s="15"/>
      <c r="K48" s="99"/>
    </row>
    <row r="49" spans="1:11">
      <c r="J49" s="15"/>
    </row>
    <row r="50" spans="1:11" s="5" customFormat="1">
      <c r="A50" s="41" t="s">
        <v>149</v>
      </c>
      <c r="B50" s="41" t="s">
        <v>211</v>
      </c>
      <c r="C50" s="41" t="s">
        <v>20</v>
      </c>
      <c r="D50" s="41" t="s">
        <v>157</v>
      </c>
      <c r="E50" s="41" t="s">
        <v>146</v>
      </c>
      <c r="F50" s="42" t="s">
        <v>148</v>
      </c>
      <c r="G50" s="42" t="s">
        <v>319</v>
      </c>
      <c r="H50" s="43" t="s">
        <v>327</v>
      </c>
      <c r="I50" s="42" t="s">
        <v>268</v>
      </c>
      <c r="J50" s="41" t="s">
        <v>276</v>
      </c>
      <c r="K50" s="111" t="s">
        <v>261</v>
      </c>
    </row>
    <row r="51" spans="1:11">
      <c r="A51" s="3" t="s">
        <v>195</v>
      </c>
      <c r="B51" s="3" t="s">
        <v>175</v>
      </c>
      <c r="C51" s="3" t="s">
        <v>113</v>
      </c>
      <c r="D51" s="3" t="s">
        <v>121</v>
      </c>
      <c r="F51" s="4">
        <v>0</v>
      </c>
      <c r="G51" s="3" t="s">
        <v>176</v>
      </c>
      <c r="H51" s="39"/>
      <c r="I51" s="4">
        <f t="shared" ref="I51:I64" si="2">IF(ISBLANK(H51),F51,H51)</f>
        <v>0</v>
      </c>
      <c r="J51" s="15"/>
      <c r="K51" s="99"/>
    </row>
    <row r="52" spans="1:11">
      <c r="A52" s="3" t="s">
        <v>196</v>
      </c>
      <c r="B52" s="3" t="s">
        <v>177</v>
      </c>
      <c r="C52" s="3" t="s">
        <v>111</v>
      </c>
      <c r="D52" s="3" t="s">
        <v>121</v>
      </c>
      <c r="F52" s="4">
        <v>3</v>
      </c>
      <c r="H52" s="39"/>
      <c r="I52" s="4">
        <f>IF(I51&gt;0,IF(ISBLANK(H52),F52,H52),0)</f>
        <v>0</v>
      </c>
      <c r="J52" s="15"/>
      <c r="K52" s="99"/>
    </row>
    <row r="53" spans="1:11">
      <c r="A53" s="3" t="s">
        <v>197</v>
      </c>
      <c r="B53" s="3" t="s">
        <v>178</v>
      </c>
      <c r="C53" s="3" t="s">
        <v>110</v>
      </c>
      <c r="D53" s="3" t="s">
        <v>121</v>
      </c>
      <c r="F53" s="4">
        <v>6</v>
      </c>
      <c r="G53" s="3" t="s">
        <v>342</v>
      </c>
      <c r="H53" s="39"/>
      <c r="I53" s="4">
        <f>IF(I51&gt;0,IF(ISBLANK(H53),F53,H53),0)</f>
        <v>0</v>
      </c>
      <c r="J53" s="15"/>
      <c r="K53" s="99"/>
    </row>
    <row r="54" spans="1:11">
      <c r="A54" s="3" t="s">
        <v>198</v>
      </c>
      <c r="B54" s="3" t="s">
        <v>180</v>
      </c>
      <c r="D54" s="3" t="s">
        <v>158</v>
      </c>
      <c r="F54" s="4" t="b">
        <v>1</v>
      </c>
      <c r="G54" s="3" t="s">
        <v>344</v>
      </c>
      <c r="H54" s="39"/>
      <c r="I54" s="4" t="b">
        <f t="shared" si="2"/>
        <v>1</v>
      </c>
      <c r="J54" s="15" t="str">
        <f>IF(AND($I$54,$H$55&gt;0),"Static T&amp;Cs cannot be both with and without merge fields","")</f>
        <v/>
      </c>
      <c r="K54" s="99"/>
    </row>
    <row r="55" spans="1:11">
      <c r="A55" s="3" t="s">
        <v>199</v>
      </c>
      <c r="B55" s="3" t="s">
        <v>112</v>
      </c>
      <c r="C55" s="3" t="s">
        <v>113</v>
      </c>
      <c r="D55" s="3" t="s">
        <v>121</v>
      </c>
      <c r="F55" s="4">
        <v>0</v>
      </c>
      <c r="G55" s="3" t="s">
        <v>299</v>
      </c>
      <c r="H55" s="39"/>
      <c r="I55" s="4">
        <f>IF(I54=FALSE,IF(ISBLANK(H55),F55,H55),0)</f>
        <v>0</v>
      </c>
      <c r="J55" s="15" t="str">
        <f>IF(AND($I$54,$H$55&gt;0),"Static T&amp;Cs cannot be both with and without merge fields","")</f>
        <v/>
      </c>
      <c r="K55" s="99"/>
    </row>
    <row r="56" spans="1:11">
      <c r="A56" s="3" t="s">
        <v>200</v>
      </c>
      <c r="B56" s="3" t="s">
        <v>181</v>
      </c>
      <c r="C56" s="3" t="s">
        <v>110</v>
      </c>
      <c r="D56" s="3" t="s">
        <v>121</v>
      </c>
      <c r="F56" s="4">
        <v>1</v>
      </c>
      <c r="G56" s="3" t="s">
        <v>346</v>
      </c>
      <c r="H56" s="39"/>
      <c r="I56" s="4">
        <f>IF(I55&gt;0,IF(ISBLANK(H56),F56,H56),0)</f>
        <v>0</v>
      </c>
      <c r="J56" s="15"/>
      <c r="K56" s="99"/>
    </row>
    <row r="57" spans="1:11">
      <c r="A57" s="3" t="s">
        <v>201</v>
      </c>
      <c r="B57" s="3" t="s">
        <v>182</v>
      </c>
      <c r="C57" s="3" t="s">
        <v>115</v>
      </c>
      <c r="D57" s="3" t="s">
        <v>121</v>
      </c>
      <c r="F57" s="4">
        <v>0</v>
      </c>
      <c r="G57" s="3" t="s">
        <v>183</v>
      </c>
      <c r="H57" s="39"/>
      <c r="I57" s="4">
        <f t="shared" si="2"/>
        <v>0</v>
      </c>
      <c r="J57" s="15"/>
      <c r="K57" s="99"/>
    </row>
    <row r="58" spans="1:11">
      <c r="A58" s="3" t="s">
        <v>202</v>
      </c>
      <c r="B58" s="3" t="s">
        <v>117</v>
      </c>
      <c r="D58" s="3" t="s">
        <v>158</v>
      </c>
      <c r="F58" s="4" t="b">
        <v>0</v>
      </c>
      <c r="G58" s="3" t="s">
        <v>349</v>
      </c>
      <c r="H58" s="39"/>
      <c r="I58" s="4" t="b">
        <f t="shared" si="2"/>
        <v>0</v>
      </c>
      <c r="J58" s="15"/>
      <c r="K58" s="99"/>
    </row>
    <row r="59" spans="1:11">
      <c r="A59" s="3" t="s">
        <v>203</v>
      </c>
      <c r="B59" s="3" t="s">
        <v>184</v>
      </c>
      <c r="D59" s="3" t="s">
        <v>158</v>
      </c>
      <c r="F59" s="4" t="b">
        <v>0</v>
      </c>
      <c r="G59" s="3" t="s">
        <v>348</v>
      </c>
      <c r="H59" s="39"/>
      <c r="I59" s="4" t="b">
        <f t="shared" si="2"/>
        <v>0</v>
      </c>
      <c r="J59" s="15"/>
      <c r="K59" s="99"/>
    </row>
    <row r="60" spans="1:11">
      <c r="A60" s="3" t="s">
        <v>204</v>
      </c>
      <c r="B60" s="3" t="s">
        <v>119</v>
      </c>
      <c r="C60" s="3" t="s">
        <v>111</v>
      </c>
      <c r="D60" s="3" t="s">
        <v>121</v>
      </c>
      <c r="F60" s="4">
        <v>0</v>
      </c>
      <c r="G60" s="3" t="s">
        <v>347</v>
      </c>
      <c r="H60" s="39"/>
      <c r="I60" s="4">
        <f t="shared" si="2"/>
        <v>0</v>
      </c>
      <c r="J60" s="15"/>
      <c r="K60" s="99"/>
    </row>
    <row r="61" spans="1:11">
      <c r="A61" s="3" t="s">
        <v>205</v>
      </c>
      <c r="B61" s="3" t="s">
        <v>185</v>
      </c>
      <c r="C61" s="3" t="s">
        <v>110</v>
      </c>
      <c r="D61" s="3" t="s">
        <v>121</v>
      </c>
      <c r="F61" s="4">
        <v>0</v>
      </c>
      <c r="G61" s="3" t="s">
        <v>347</v>
      </c>
      <c r="H61" s="39"/>
      <c r="I61" s="4">
        <f t="shared" si="2"/>
        <v>0</v>
      </c>
      <c r="J61" s="15"/>
      <c r="K61" s="99"/>
    </row>
    <row r="62" spans="1:11">
      <c r="A62" s="3" t="s">
        <v>206</v>
      </c>
      <c r="B62" s="3" t="s">
        <v>186</v>
      </c>
      <c r="C62" s="3" t="s">
        <v>111</v>
      </c>
      <c r="D62" s="3" t="s">
        <v>121</v>
      </c>
      <c r="F62" s="4">
        <v>0</v>
      </c>
      <c r="G62" s="3" t="s">
        <v>350</v>
      </c>
      <c r="H62" s="39"/>
      <c r="I62" s="4">
        <f t="shared" si="2"/>
        <v>0</v>
      </c>
      <c r="J62" s="15"/>
      <c r="K62" s="99"/>
    </row>
    <row r="63" spans="1:11">
      <c r="A63" s="3" t="s">
        <v>207</v>
      </c>
      <c r="B63" s="3" t="s">
        <v>209</v>
      </c>
      <c r="D63" s="3" t="s">
        <v>158</v>
      </c>
      <c r="F63" s="4" t="b">
        <v>0</v>
      </c>
      <c r="H63" s="39"/>
      <c r="I63" s="4" t="b">
        <f t="shared" si="2"/>
        <v>0</v>
      </c>
      <c r="J63" s="15"/>
      <c r="K63" s="99"/>
    </row>
    <row r="64" spans="1:11">
      <c r="A64" s="3" t="s">
        <v>208</v>
      </c>
      <c r="B64" s="3" t="s">
        <v>210</v>
      </c>
      <c r="D64" s="3" t="s">
        <v>158</v>
      </c>
      <c r="F64" s="4" t="b">
        <v>0</v>
      </c>
      <c r="H64" s="39"/>
      <c r="I64" s="4" t="b">
        <f t="shared" si="2"/>
        <v>0</v>
      </c>
      <c r="J64" s="15"/>
      <c r="K64" s="99"/>
    </row>
    <row r="65" spans="1:11">
      <c r="J65" s="15"/>
    </row>
    <row r="66" spans="1:11" s="5" customFormat="1">
      <c r="A66" s="41" t="s">
        <v>149</v>
      </c>
      <c r="B66" s="41" t="s">
        <v>212</v>
      </c>
      <c r="C66" s="41" t="s">
        <v>20</v>
      </c>
      <c r="D66" s="41" t="s">
        <v>157</v>
      </c>
      <c r="E66" s="41" t="s">
        <v>146</v>
      </c>
      <c r="F66" s="42" t="s">
        <v>148</v>
      </c>
      <c r="G66" s="42" t="s">
        <v>319</v>
      </c>
      <c r="H66" s="43" t="s">
        <v>327</v>
      </c>
      <c r="I66" s="42" t="s">
        <v>268</v>
      </c>
      <c r="J66" s="41" t="s">
        <v>276</v>
      </c>
      <c r="K66" s="111" t="s">
        <v>261</v>
      </c>
    </row>
    <row r="67" spans="1:11">
      <c r="A67" s="3" t="s">
        <v>213</v>
      </c>
      <c r="B67" s="3" t="s">
        <v>175</v>
      </c>
      <c r="C67" s="3" t="s">
        <v>113</v>
      </c>
      <c r="D67" s="3" t="s">
        <v>121</v>
      </c>
      <c r="F67" s="4">
        <v>0</v>
      </c>
      <c r="G67" s="3" t="s">
        <v>176</v>
      </c>
      <c r="H67" s="39"/>
      <c r="I67" s="4">
        <f>IF(ISBLANK(H67),F67,H67)</f>
        <v>0</v>
      </c>
      <c r="J67" s="15"/>
      <c r="K67" s="99"/>
    </row>
    <row r="68" spans="1:11">
      <c r="A68" s="3" t="s">
        <v>214</v>
      </c>
      <c r="B68" s="3" t="s">
        <v>177</v>
      </c>
      <c r="C68" s="3" t="s">
        <v>111</v>
      </c>
      <c r="D68" s="3" t="s">
        <v>121</v>
      </c>
      <c r="F68" s="4">
        <v>3</v>
      </c>
      <c r="H68" s="39"/>
      <c r="I68" s="4">
        <f>IF(I67&gt;0,IF(ISBLANK(H68),F68,H68),0)</f>
        <v>0</v>
      </c>
      <c r="J68" s="15"/>
      <c r="K68" s="99"/>
    </row>
    <row r="69" spans="1:11">
      <c r="A69" s="3" t="s">
        <v>215</v>
      </c>
      <c r="B69" s="3" t="s">
        <v>178</v>
      </c>
      <c r="C69" s="3" t="s">
        <v>110</v>
      </c>
      <c r="D69" s="3" t="s">
        <v>121</v>
      </c>
      <c r="F69" s="4">
        <v>6</v>
      </c>
      <c r="G69" s="3" t="s">
        <v>342</v>
      </c>
      <c r="H69" s="39"/>
      <c r="I69" s="4">
        <f>IF(I67&gt;0,IF(ISBLANK(H69),F69,H69),0)</f>
        <v>0</v>
      </c>
      <c r="J69" s="15"/>
      <c r="K69" s="99"/>
    </row>
    <row r="70" spans="1:11">
      <c r="A70" s="3" t="s">
        <v>216</v>
      </c>
      <c r="B70" s="3" t="s">
        <v>180</v>
      </c>
      <c r="D70" s="3" t="s">
        <v>158</v>
      </c>
      <c r="F70" s="4" t="b">
        <v>1</v>
      </c>
      <c r="G70" s="3" t="s">
        <v>344</v>
      </c>
      <c r="H70" s="39"/>
      <c r="I70" s="4" t="b">
        <f t="shared" ref="I70:I80" si="3">IF(ISBLANK(H70),F70,H70)</f>
        <v>1</v>
      </c>
      <c r="J70" s="15" t="str">
        <f>IF(AND($I$70,$H$71&gt;0),"Static T&amp;Cs cannot be both with and without merge fields","")</f>
        <v/>
      </c>
      <c r="K70" s="99"/>
    </row>
    <row r="71" spans="1:11">
      <c r="A71" s="3" t="s">
        <v>217</v>
      </c>
      <c r="B71" s="3" t="s">
        <v>112</v>
      </c>
      <c r="C71" s="3" t="s">
        <v>113</v>
      </c>
      <c r="D71" s="3" t="s">
        <v>121</v>
      </c>
      <c r="F71" s="4">
        <v>0</v>
      </c>
      <c r="G71" s="3" t="s">
        <v>345</v>
      </c>
      <c r="H71" s="39"/>
      <c r="I71" s="4">
        <f>IF(I70=FALSE,IF(ISBLANK(H71),F71,H71),0)</f>
        <v>0</v>
      </c>
      <c r="J71" s="15" t="str">
        <f>IF(AND($I$70,$H$71&gt;0),"Static T&amp;Cs cannot be both with and without merge fields","")</f>
        <v/>
      </c>
      <c r="K71" s="99"/>
    </row>
    <row r="72" spans="1:11">
      <c r="A72" s="3" t="s">
        <v>218</v>
      </c>
      <c r="B72" s="3" t="s">
        <v>181</v>
      </c>
      <c r="C72" s="3" t="s">
        <v>110</v>
      </c>
      <c r="D72" s="3" t="s">
        <v>121</v>
      </c>
      <c r="F72" s="4">
        <v>1</v>
      </c>
      <c r="G72" s="3" t="s">
        <v>346</v>
      </c>
      <c r="H72" s="39"/>
      <c r="I72" s="4">
        <f>IF(I71&gt;0,IF(ISBLANK(H72),F72,H72),0)</f>
        <v>0</v>
      </c>
      <c r="J72" s="15"/>
      <c r="K72" s="99"/>
    </row>
    <row r="73" spans="1:11">
      <c r="A73" s="3" t="s">
        <v>219</v>
      </c>
      <c r="B73" s="3" t="s">
        <v>182</v>
      </c>
      <c r="C73" s="3" t="s">
        <v>115</v>
      </c>
      <c r="D73" s="3" t="s">
        <v>121</v>
      </c>
      <c r="F73" s="4">
        <v>0</v>
      </c>
      <c r="G73" s="3" t="s">
        <v>363</v>
      </c>
      <c r="H73" s="39"/>
      <c r="I73" s="4">
        <f t="shared" si="3"/>
        <v>0</v>
      </c>
      <c r="J73" s="15"/>
      <c r="K73" s="99"/>
    </row>
    <row r="74" spans="1:11">
      <c r="A74" s="3" t="s">
        <v>220</v>
      </c>
      <c r="B74" s="3" t="s">
        <v>117</v>
      </c>
      <c r="D74" s="3" t="s">
        <v>158</v>
      </c>
      <c r="F74" s="4" t="b">
        <v>0</v>
      </c>
      <c r="G74" s="3" t="s">
        <v>349</v>
      </c>
      <c r="H74" s="39"/>
      <c r="I74" s="4" t="b">
        <f t="shared" si="3"/>
        <v>0</v>
      </c>
      <c r="J74" s="15"/>
      <c r="K74" s="99"/>
    </row>
    <row r="75" spans="1:11">
      <c r="A75" s="3" t="s">
        <v>221</v>
      </c>
      <c r="B75" s="3" t="s">
        <v>184</v>
      </c>
      <c r="D75" s="3" t="s">
        <v>158</v>
      </c>
      <c r="F75" s="4" t="b">
        <v>0</v>
      </c>
      <c r="G75" s="3" t="s">
        <v>348</v>
      </c>
      <c r="H75" s="39"/>
      <c r="I75" s="4" t="b">
        <f t="shared" si="3"/>
        <v>0</v>
      </c>
      <c r="J75" s="15"/>
      <c r="K75" s="99"/>
    </row>
    <row r="76" spans="1:11">
      <c r="A76" s="3" t="s">
        <v>222</v>
      </c>
      <c r="B76" s="3" t="s">
        <v>119</v>
      </c>
      <c r="C76" s="3" t="s">
        <v>111</v>
      </c>
      <c r="D76" s="3" t="s">
        <v>121</v>
      </c>
      <c r="F76" s="4">
        <v>0</v>
      </c>
      <c r="G76" s="3" t="s">
        <v>347</v>
      </c>
      <c r="H76" s="39"/>
      <c r="I76" s="4">
        <f t="shared" si="3"/>
        <v>0</v>
      </c>
      <c r="J76" s="15"/>
      <c r="K76" s="99"/>
    </row>
    <row r="77" spans="1:11">
      <c r="A77" s="3" t="s">
        <v>223</v>
      </c>
      <c r="B77" s="3" t="s">
        <v>185</v>
      </c>
      <c r="C77" s="3" t="s">
        <v>110</v>
      </c>
      <c r="D77" s="3" t="s">
        <v>121</v>
      </c>
      <c r="F77" s="4">
        <v>0</v>
      </c>
      <c r="G77" s="3" t="s">
        <v>347</v>
      </c>
      <c r="H77" s="39"/>
      <c r="I77" s="4">
        <f t="shared" si="3"/>
        <v>0</v>
      </c>
      <c r="J77" s="15"/>
      <c r="K77" s="99"/>
    </row>
    <row r="78" spans="1:11">
      <c r="A78" s="3" t="s">
        <v>224</v>
      </c>
      <c r="B78" s="3" t="s">
        <v>186</v>
      </c>
      <c r="C78" s="3" t="s">
        <v>111</v>
      </c>
      <c r="D78" s="3" t="s">
        <v>121</v>
      </c>
      <c r="F78" s="4">
        <v>0</v>
      </c>
      <c r="G78" s="3" t="s">
        <v>350</v>
      </c>
      <c r="H78" s="39"/>
      <c r="I78" s="4">
        <f t="shared" si="3"/>
        <v>0</v>
      </c>
      <c r="J78" s="15"/>
      <c r="K78" s="99"/>
    </row>
    <row r="79" spans="1:11">
      <c r="A79" s="3" t="s">
        <v>225</v>
      </c>
      <c r="B79" s="3" t="s">
        <v>209</v>
      </c>
      <c r="D79" s="3" t="s">
        <v>158</v>
      </c>
      <c r="F79" s="4" t="b">
        <v>0</v>
      </c>
      <c r="H79" s="39"/>
      <c r="I79" s="4" t="b">
        <f t="shared" si="3"/>
        <v>0</v>
      </c>
      <c r="J79" s="15"/>
      <c r="K79" s="99"/>
    </row>
    <row r="80" spans="1:11">
      <c r="A80" s="3" t="s">
        <v>226</v>
      </c>
      <c r="B80" s="3" t="s">
        <v>210</v>
      </c>
      <c r="D80" s="3" t="s">
        <v>158</v>
      </c>
      <c r="F80" s="4" t="b">
        <v>0</v>
      </c>
      <c r="H80" s="39"/>
      <c r="I80" s="4" t="b">
        <f t="shared" si="3"/>
        <v>0</v>
      </c>
      <c r="J80" s="15"/>
      <c r="K80" s="99"/>
    </row>
    <row r="81" spans="1:11">
      <c r="J81" s="15"/>
    </row>
    <row r="82" spans="1:11" s="5" customFormat="1">
      <c r="A82" s="41" t="s">
        <v>149</v>
      </c>
      <c r="B82" s="41" t="s">
        <v>128</v>
      </c>
      <c r="C82" s="41" t="s">
        <v>20</v>
      </c>
      <c r="D82" s="41" t="s">
        <v>157</v>
      </c>
      <c r="E82" s="41" t="s">
        <v>146</v>
      </c>
      <c r="F82" s="42" t="s">
        <v>148</v>
      </c>
      <c r="G82" s="42" t="s">
        <v>319</v>
      </c>
      <c r="H82" s="43" t="s">
        <v>327</v>
      </c>
      <c r="I82" s="42" t="s">
        <v>268</v>
      </c>
      <c r="J82" s="41" t="s">
        <v>276</v>
      </c>
      <c r="K82" s="111" t="s">
        <v>261</v>
      </c>
    </row>
    <row r="83" spans="1:11">
      <c r="A83" s="3" t="s">
        <v>227</v>
      </c>
      <c r="B83" s="3" t="s">
        <v>129</v>
      </c>
      <c r="D83" s="3" t="s">
        <v>158</v>
      </c>
      <c r="F83" s="4" t="b">
        <v>0</v>
      </c>
      <c r="G83" s="3" t="s">
        <v>351</v>
      </c>
      <c r="H83" s="39"/>
      <c r="I83" s="4" t="b">
        <f>IF(ISBLANK(H83),F83,H83)</f>
        <v>0</v>
      </c>
      <c r="J83" s="15" t="str">
        <f>IF(AND($I$83,$I$84),"Pick only one e-Signature Provider","")</f>
        <v/>
      </c>
      <c r="K83" s="99"/>
    </row>
    <row r="84" spans="1:11">
      <c r="A84" s="3" t="s">
        <v>228</v>
      </c>
      <c r="B84" s="3" t="s">
        <v>130</v>
      </c>
      <c r="D84" s="3" t="s">
        <v>158</v>
      </c>
      <c r="F84" s="4" t="b">
        <v>0</v>
      </c>
      <c r="G84" s="3" t="s">
        <v>351</v>
      </c>
      <c r="H84" s="39"/>
      <c r="I84" s="4" t="b">
        <f>IF(ISBLANK(H84),F84,H84)</f>
        <v>0</v>
      </c>
      <c r="J84" s="15" t="str">
        <f>IF(AND($I$83,$I$84),"Pick only one e-Signature Provider","")</f>
        <v/>
      </c>
      <c r="K84" s="99"/>
    </row>
    <row r="85" spans="1:11">
      <c r="A85" s="3" t="s">
        <v>229</v>
      </c>
      <c r="B85" s="3" t="s">
        <v>131</v>
      </c>
      <c r="C85" s="3" t="s">
        <v>230</v>
      </c>
      <c r="D85" s="3" t="s">
        <v>121</v>
      </c>
      <c r="F85" s="4">
        <v>0</v>
      </c>
      <c r="G85" s="3" t="s">
        <v>352</v>
      </c>
      <c r="H85" s="39"/>
      <c r="J85" s="15"/>
      <c r="K85" s="99"/>
    </row>
    <row r="86" spans="1:11">
      <c r="J86" s="15"/>
    </row>
    <row r="87" spans="1:11" s="5" customFormat="1">
      <c r="A87" s="41" t="s">
        <v>149</v>
      </c>
      <c r="B87" s="41" t="s">
        <v>379</v>
      </c>
      <c r="C87" s="41" t="s">
        <v>20</v>
      </c>
      <c r="D87" s="41" t="s">
        <v>157</v>
      </c>
      <c r="E87" s="41" t="s">
        <v>146</v>
      </c>
      <c r="F87" s="42" t="s">
        <v>148</v>
      </c>
      <c r="G87" s="42" t="s">
        <v>319</v>
      </c>
      <c r="H87" s="43" t="s">
        <v>327</v>
      </c>
      <c r="I87" s="42" t="s">
        <v>268</v>
      </c>
      <c r="J87" s="41" t="s">
        <v>276</v>
      </c>
      <c r="K87" s="111" t="s">
        <v>261</v>
      </c>
    </row>
    <row r="88" spans="1:11">
      <c r="A88" s="3" t="s">
        <v>231</v>
      </c>
      <c r="B88" s="3" t="s">
        <v>233</v>
      </c>
      <c r="D88" s="3" t="s">
        <v>158</v>
      </c>
      <c r="F88" s="4" t="b">
        <v>0</v>
      </c>
      <c r="G88" s="3" t="s">
        <v>353</v>
      </c>
      <c r="H88" s="39"/>
      <c r="I88" s="4" t="b">
        <f>IF(ISBLANK(H88),F88,H88)</f>
        <v>0</v>
      </c>
      <c r="J88" s="15"/>
      <c r="K88" s="99"/>
    </row>
    <row r="89" spans="1:11">
      <c r="A89" s="3" t="s">
        <v>232</v>
      </c>
      <c r="B89" s="3" t="s">
        <v>291</v>
      </c>
      <c r="C89" s="3" t="s">
        <v>85</v>
      </c>
      <c r="D89" s="3" t="s">
        <v>121</v>
      </c>
      <c r="F89" s="4">
        <v>0</v>
      </c>
      <c r="G89" s="3" t="s">
        <v>354</v>
      </c>
      <c r="H89" s="39"/>
      <c r="I89" s="4">
        <f>IF(ISBLANK(H89),F89,H89)</f>
        <v>0</v>
      </c>
      <c r="J89" s="15"/>
      <c r="K89" s="99"/>
    </row>
    <row r="90" spans="1:11">
      <c r="A90" s="3" t="s">
        <v>234</v>
      </c>
      <c r="B90" s="3" t="s">
        <v>381</v>
      </c>
      <c r="C90" s="3" t="s">
        <v>275</v>
      </c>
      <c r="D90" s="3" t="s">
        <v>121</v>
      </c>
      <c r="F90" s="4">
        <v>0</v>
      </c>
      <c r="G90" s="3" t="s">
        <v>355</v>
      </c>
      <c r="H90" s="39"/>
      <c r="I90" s="4">
        <f>IF(ISBLANK(H90),F90,H90)</f>
        <v>0</v>
      </c>
      <c r="J90" s="15" t="str">
        <f>IF(AND($I$90&gt;0,$I$91&gt;0),"You can't select both simple and multi reason processes","")</f>
        <v/>
      </c>
      <c r="K90" s="99"/>
    </row>
    <row r="91" spans="1:11">
      <c r="A91" s="3" t="s">
        <v>235</v>
      </c>
      <c r="B91" s="3" t="s">
        <v>293</v>
      </c>
      <c r="C91" s="3" t="s">
        <v>275</v>
      </c>
      <c r="D91" s="3" t="s">
        <v>121</v>
      </c>
      <c r="F91" s="4">
        <v>0</v>
      </c>
      <c r="G91" s="3" t="s">
        <v>356</v>
      </c>
      <c r="H91" s="39"/>
      <c r="I91" s="4">
        <f>IF(ISBLANK(H91),F91,H91)</f>
        <v>0</v>
      </c>
      <c r="J91" s="15" t="str">
        <f>IF(AND($I$90&gt;0,$I$91&gt;0),"You can't select both simple and multi reason processes","")</f>
        <v/>
      </c>
      <c r="K91" s="99"/>
    </row>
    <row r="92" spans="1:11">
      <c r="A92" s="3" t="s">
        <v>292</v>
      </c>
      <c r="B92" s="3" t="s">
        <v>236</v>
      </c>
      <c r="C92" s="3" t="s">
        <v>84</v>
      </c>
      <c r="D92" s="3" t="s">
        <v>121</v>
      </c>
      <c r="F92" s="4">
        <v>0</v>
      </c>
      <c r="G92" s="3" t="s">
        <v>66</v>
      </c>
      <c r="H92" s="39"/>
      <c r="I92" s="4">
        <f>IF(ISBLANK(H92),F92,H92)</f>
        <v>0</v>
      </c>
      <c r="J92" s="15"/>
      <c r="K92" s="99"/>
    </row>
    <row r="93" spans="1:11">
      <c r="J93" s="15"/>
    </row>
    <row r="94" spans="1:11" s="5" customFormat="1">
      <c r="A94" s="41" t="s">
        <v>149</v>
      </c>
      <c r="B94" s="41" t="s">
        <v>380</v>
      </c>
      <c r="C94" s="41" t="s">
        <v>20</v>
      </c>
      <c r="D94" s="41" t="s">
        <v>157</v>
      </c>
      <c r="E94" s="41" t="s">
        <v>146</v>
      </c>
      <c r="F94" s="42" t="s">
        <v>148</v>
      </c>
      <c r="G94" s="42" t="s">
        <v>319</v>
      </c>
      <c r="H94" s="43" t="s">
        <v>327</v>
      </c>
      <c r="I94" s="42" t="s">
        <v>268</v>
      </c>
      <c r="J94" s="41" t="s">
        <v>276</v>
      </c>
      <c r="K94" s="111" t="s">
        <v>261</v>
      </c>
    </row>
    <row r="95" spans="1:11">
      <c r="A95" s="3" t="s">
        <v>237</v>
      </c>
      <c r="B95" s="3" t="s">
        <v>63</v>
      </c>
      <c r="C95" s="3" t="s">
        <v>90</v>
      </c>
      <c r="D95" s="3" t="s">
        <v>121</v>
      </c>
      <c r="F95" s="4">
        <v>0</v>
      </c>
      <c r="G95" s="3" t="s">
        <v>357</v>
      </c>
      <c r="H95" s="39"/>
      <c r="I95" s="4">
        <f>IF(ISBLANK(H95),F95,H95)</f>
        <v>0</v>
      </c>
      <c r="J95" s="15"/>
      <c r="K95" s="99"/>
    </row>
    <row r="96" spans="1:11">
      <c r="A96" s="3" t="s">
        <v>238</v>
      </c>
      <c r="B96" s="3" t="s">
        <v>242</v>
      </c>
      <c r="C96" s="3" t="s">
        <v>96</v>
      </c>
      <c r="D96" s="3" t="s">
        <v>121</v>
      </c>
      <c r="F96" s="4">
        <v>0</v>
      </c>
      <c r="G96" s="3" t="s">
        <v>358</v>
      </c>
      <c r="H96" s="39"/>
      <c r="I96" s="4">
        <f>IF($I$95&gt;0,IF(ISBLANK(H96),F96,H96),0)</f>
        <v>0</v>
      </c>
      <c r="J96" s="15"/>
      <c r="K96" s="99"/>
    </row>
    <row r="97" spans="1:11">
      <c r="A97" s="3" t="s">
        <v>239</v>
      </c>
      <c r="B97" s="3" t="s">
        <v>64</v>
      </c>
      <c r="C97" s="3" t="s">
        <v>97</v>
      </c>
      <c r="D97" s="3" t="s">
        <v>121</v>
      </c>
      <c r="F97" s="4">
        <v>0</v>
      </c>
      <c r="G97" s="3" t="s">
        <v>359</v>
      </c>
      <c r="H97" s="39"/>
      <c r="I97" s="4">
        <f>IF($I$95&gt;0,IF(ISBLANK(H97),F97,H97),0)</f>
        <v>0</v>
      </c>
      <c r="J97" s="15"/>
      <c r="K97" s="99"/>
    </row>
    <row r="98" spans="1:11">
      <c r="A98" s="3" t="s">
        <v>240</v>
      </c>
      <c r="B98" s="3" t="s">
        <v>236</v>
      </c>
      <c r="C98" s="3" t="s">
        <v>84</v>
      </c>
      <c r="D98" s="3" t="s">
        <v>121</v>
      </c>
      <c r="F98" s="4">
        <v>0</v>
      </c>
      <c r="G98" s="3" t="s">
        <v>66</v>
      </c>
      <c r="H98" s="39"/>
      <c r="I98" s="4">
        <f>IF($I$95&gt;0,IF(ISBLANK(H98),F98,H98),0)</f>
        <v>0</v>
      </c>
      <c r="J98" s="15"/>
      <c r="K98" s="99"/>
    </row>
    <row r="99" spans="1:11">
      <c r="A99" s="3" t="s">
        <v>241</v>
      </c>
      <c r="B99" s="3" t="s">
        <v>243</v>
      </c>
      <c r="D99" s="3" t="s">
        <v>158</v>
      </c>
      <c r="F99" s="4" t="b">
        <v>0</v>
      </c>
      <c r="H99" s="39"/>
      <c r="I99" s="4" t="b">
        <f>IF($I$95&gt;0,IF(ISBLANK(H99),F99,H99),FALSE)</f>
        <v>0</v>
      </c>
      <c r="J99" s="15"/>
      <c r="K99" s="99"/>
    </row>
    <row r="100" spans="1:11">
      <c r="J100" s="15"/>
    </row>
    <row r="101" spans="1:11" s="5" customFormat="1">
      <c r="A101" s="41" t="s">
        <v>149</v>
      </c>
      <c r="B101" s="41" t="s">
        <v>106</v>
      </c>
      <c r="C101" s="41" t="s">
        <v>20</v>
      </c>
      <c r="D101" s="41" t="s">
        <v>157</v>
      </c>
      <c r="E101" s="41" t="s">
        <v>146</v>
      </c>
      <c r="F101" s="42" t="s">
        <v>148</v>
      </c>
      <c r="G101" s="42" t="s">
        <v>319</v>
      </c>
      <c r="H101" s="43" t="s">
        <v>327</v>
      </c>
      <c r="I101" s="42" t="s">
        <v>268</v>
      </c>
      <c r="J101" s="41" t="s">
        <v>276</v>
      </c>
      <c r="K101" s="111" t="s">
        <v>261</v>
      </c>
    </row>
    <row r="102" spans="1:11">
      <c r="A102" s="3" t="s">
        <v>244</v>
      </c>
      <c r="B102" s="3" t="s">
        <v>105</v>
      </c>
      <c r="D102" s="3" t="s">
        <v>158</v>
      </c>
      <c r="F102" s="4" t="b">
        <v>0</v>
      </c>
      <c r="H102" s="39"/>
      <c r="I102" s="4" t="b">
        <f>IF(ISBLANK(H102),F102,H102)</f>
        <v>0</v>
      </c>
      <c r="J102" s="15"/>
      <c r="K102" s="99"/>
    </row>
    <row r="103" spans="1:11">
      <c r="A103" s="3" t="s">
        <v>396</v>
      </c>
      <c r="B103" s="3" t="s">
        <v>397</v>
      </c>
      <c r="D103" s="3" t="s">
        <v>158</v>
      </c>
      <c r="F103" s="4" t="b">
        <v>0</v>
      </c>
      <c r="H103" s="39"/>
      <c r="I103" s="4" t="b">
        <f>IF(ISBLANK(H103),F103,H103)</f>
        <v>0</v>
      </c>
      <c r="J103" s="15"/>
      <c r="K103" s="99"/>
    </row>
    <row r="104" spans="1:11">
      <c r="J104" s="15"/>
    </row>
    <row r="105" spans="1:11" s="5" customFormat="1">
      <c r="A105" s="41" t="s">
        <v>149</v>
      </c>
      <c r="B105" s="41" t="s">
        <v>80</v>
      </c>
      <c r="C105" s="41" t="s">
        <v>20</v>
      </c>
      <c r="D105" s="41" t="s">
        <v>157</v>
      </c>
      <c r="E105" s="41" t="s">
        <v>146</v>
      </c>
      <c r="F105" s="42" t="s">
        <v>148</v>
      </c>
      <c r="G105" s="42" t="s">
        <v>319</v>
      </c>
      <c r="H105" s="43" t="s">
        <v>327</v>
      </c>
      <c r="I105" s="42" t="s">
        <v>268</v>
      </c>
      <c r="J105" s="41" t="s">
        <v>276</v>
      </c>
      <c r="K105" s="111" t="s">
        <v>261</v>
      </c>
    </row>
    <row r="106" spans="1:11">
      <c r="A106" s="3" t="s">
        <v>245</v>
      </c>
      <c r="B106" s="3" t="s">
        <v>246</v>
      </c>
      <c r="D106" s="3" t="s">
        <v>247</v>
      </c>
      <c r="E106" s="3" t="s">
        <v>248</v>
      </c>
      <c r="F106" s="4" t="s">
        <v>280</v>
      </c>
      <c r="G106" s="3" t="s">
        <v>360</v>
      </c>
      <c r="H106" s="39"/>
      <c r="I106" s="4" t="str">
        <f>IF(ISBLANK(H106),F106,H106)</f>
        <v>None</v>
      </c>
      <c r="J106" s="15"/>
      <c r="K106" s="99"/>
    </row>
    <row r="107" spans="1:11">
      <c r="A107" s="3" t="s">
        <v>387</v>
      </c>
      <c r="B107" s="3" t="s">
        <v>388</v>
      </c>
      <c r="D107" s="3" t="s">
        <v>158</v>
      </c>
      <c r="F107" s="4" t="b">
        <v>0</v>
      </c>
      <c r="H107" s="39"/>
      <c r="I107" s="4" t="b">
        <f>IF(ISBLANK(H107),F107,H107)</f>
        <v>0</v>
      </c>
      <c r="K107" s="99"/>
    </row>
  </sheetData>
  <pageMargins left="0.7" right="0.7" top="0.75" bottom="0.75" header="0.3" footer="0.3"/>
  <pageSetup orientation="portrait"/>
  <extLst>
    <ext xmlns:x14="http://schemas.microsoft.com/office/spreadsheetml/2009/9/main" uri="{CCE6A557-97BC-4b89-ADB6-D9C93CAAB3DF}">
      <x14:dataValidations xmlns:xm="http://schemas.microsoft.com/office/excel/2006/main" count="3">
        <x14:dataValidation type="list" showInputMessage="1" showErrorMessage="1">
          <x14:formula1>
            <xm:f>Utilities!$A$8:$A$9</xm:f>
          </x14:formula1>
          <xm:sqref>H107 H88 H54 H58:H59 H63:H64 H70 H74:H75 H79:H80 H83:H84 H99 H102:H103</xm:sqref>
        </x14:dataValidation>
        <x14:dataValidation type="list" showInputMessage="1" showErrorMessage="1">
          <x14:formula1>
            <xm:f>Utilities!$A$2:$A$4</xm:f>
          </x14:formula1>
          <xm:sqref>H106</xm:sqref>
        </x14:dataValidation>
        <x14:dataValidation type="list" allowBlank="1" showInputMessage="1" showErrorMessage="1">
          <x14:formula1>
            <xm:f>Utilities!$A$13:$A$14</xm:f>
          </x14:formula1>
          <xm:sqref>H4</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96"/>
  <sheetViews>
    <sheetView workbookViewId="0">
      <pane xSplit="8" ySplit="5" topLeftCell="I15" activePane="bottomRight" state="frozenSplit"/>
      <selection pane="topRight" activeCell="I24" sqref="I24"/>
      <selection pane="bottomLeft" activeCell="A6" sqref="A6"/>
      <selection pane="bottomRight" activeCell="F39" sqref="F39"/>
    </sheetView>
  </sheetViews>
  <sheetFormatPr baseColWidth="10" defaultColWidth="8.83203125" defaultRowHeight="14" x14ac:dyDescent="0"/>
  <cols>
    <col min="1" max="1" width="41" style="3" customWidth="1"/>
    <col min="2" max="2" width="33" style="3" customWidth="1"/>
    <col min="3" max="3" width="15.6640625" style="4" bestFit="1" customWidth="1"/>
    <col min="4" max="4" width="10.1640625" style="4" customWidth="1"/>
    <col min="5" max="5" width="9.1640625" style="4" customWidth="1"/>
    <col min="6" max="6" width="11.83203125" style="4" customWidth="1"/>
    <col min="7" max="7" width="10.5" style="4" customWidth="1"/>
    <col min="8" max="8" width="28.5" style="101" customWidth="1"/>
    <col min="9" max="12" width="12.6640625" style="29" customWidth="1"/>
    <col min="13" max="13" width="2.6640625" style="1" customWidth="1"/>
    <col min="14" max="17" width="12.6640625" style="26" customWidth="1"/>
    <col min="18" max="18" width="2.6640625" style="1" customWidth="1"/>
    <col min="19" max="22" width="12.6640625" style="32" customWidth="1"/>
    <col min="23" max="16384" width="8.83203125" style="3"/>
  </cols>
  <sheetData>
    <row r="1" spans="1:22" s="2" customFormat="1" ht="23">
      <c r="A1" s="2" t="s">
        <v>0</v>
      </c>
      <c r="C1" s="9"/>
      <c r="D1" s="9"/>
      <c r="E1" s="9"/>
      <c r="F1" s="9"/>
      <c r="G1" s="9"/>
      <c r="H1" s="101"/>
      <c r="I1" s="29"/>
      <c r="J1" s="29"/>
      <c r="K1" s="29"/>
      <c r="L1" s="29"/>
      <c r="M1" s="1"/>
      <c r="N1" s="26"/>
      <c r="O1" s="26"/>
      <c r="P1" s="26"/>
      <c r="Q1" s="26"/>
      <c r="R1" s="1"/>
      <c r="S1" s="32"/>
      <c r="T1" s="32"/>
      <c r="U1" s="32"/>
      <c r="V1" s="32"/>
    </row>
    <row r="3" spans="1:22" s="10" customFormat="1" ht="18">
      <c r="A3" s="10" t="s">
        <v>1</v>
      </c>
      <c r="C3" s="11"/>
      <c r="D3" s="11"/>
      <c r="E3" s="121" t="s">
        <v>366</v>
      </c>
      <c r="F3" s="121"/>
      <c r="G3" s="121"/>
      <c r="H3" s="102" t="s">
        <v>261</v>
      </c>
      <c r="I3" s="10" t="s">
        <v>266</v>
      </c>
      <c r="J3" s="29"/>
      <c r="K3" s="29"/>
      <c r="L3" s="29"/>
      <c r="M3" s="1"/>
      <c r="N3" s="10" t="s">
        <v>79</v>
      </c>
      <c r="O3" s="26"/>
      <c r="P3" s="26"/>
      <c r="Q3" s="26"/>
      <c r="R3" s="1"/>
      <c r="S3" s="10" t="s">
        <v>267</v>
      </c>
      <c r="T3" s="32"/>
      <c r="U3" s="32"/>
      <c r="V3" s="32"/>
    </row>
    <row r="4" spans="1:22">
      <c r="H4" s="103"/>
      <c r="I4" s="30"/>
      <c r="J4" s="30"/>
      <c r="K4" s="30"/>
      <c r="L4" s="30"/>
      <c r="M4" s="21"/>
      <c r="N4" s="27"/>
      <c r="O4" s="27"/>
      <c r="P4" s="27"/>
      <c r="Q4" s="27"/>
      <c r="R4" s="21"/>
      <c r="S4" s="33"/>
      <c r="T4" s="33"/>
      <c r="U4" s="33"/>
      <c r="V4" s="33"/>
    </row>
    <row r="5" spans="1:22" s="41" customFormat="1">
      <c r="A5" s="41" t="s">
        <v>2</v>
      </c>
      <c r="B5" s="41" t="s">
        <v>14</v>
      </c>
      <c r="C5" s="42" t="s">
        <v>20</v>
      </c>
      <c r="D5" s="42" t="s">
        <v>134</v>
      </c>
      <c r="E5" s="42" t="s">
        <v>11</v>
      </c>
      <c r="F5" s="42" t="s">
        <v>12</v>
      </c>
      <c r="G5" s="42" t="s">
        <v>13</v>
      </c>
      <c r="H5" s="104" t="s">
        <v>411</v>
      </c>
      <c r="I5" s="44" t="s">
        <v>11</v>
      </c>
      <c r="J5" s="44" t="s">
        <v>12</v>
      </c>
      <c r="K5" s="44" t="s">
        <v>13</v>
      </c>
      <c r="L5" s="44" t="s">
        <v>135</v>
      </c>
      <c r="M5" s="45"/>
      <c r="N5" s="46" t="s">
        <v>11</v>
      </c>
      <c r="O5" s="46" t="s">
        <v>12</v>
      </c>
      <c r="P5" s="46" t="s">
        <v>13</v>
      </c>
      <c r="Q5" s="46" t="s">
        <v>135</v>
      </c>
      <c r="R5" s="45"/>
      <c r="S5" s="47" t="s">
        <v>11</v>
      </c>
      <c r="T5" s="47" t="s">
        <v>12</v>
      </c>
      <c r="U5" s="47" t="s">
        <v>13</v>
      </c>
      <c r="V5" s="47" t="s">
        <v>135</v>
      </c>
    </row>
    <row r="6" spans="1:22" s="7" customFormat="1">
      <c r="A6" s="7" t="s">
        <v>285</v>
      </c>
      <c r="B6" s="7" t="s">
        <v>286</v>
      </c>
      <c r="C6" s="8" t="s">
        <v>31</v>
      </c>
      <c r="D6" s="79"/>
      <c r="E6" s="8"/>
      <c r="F6" s="8"/>
      <c r="G6" s="8"/>
      <c r="H6" s="105"/>
      <c r="I6" s="25">
        <f>I155</f>
        <v>3</v>
      </c>
      <c r="J6" s="25">
        <f>J155</f>
        <v>3</v>
      </c>
      <c r="K6" s="25">
        <f>K155</f>
        <v>3</v>
      </c>
      <c r="L6" s="25">
        <f>K6</f>
        <v>3</v>
      </c>
      <c r="M6" s="17"/>
      <c r="N6" s="25">
        <f>N155</f>
        <v>3</v>
      </c>
      <c r="O6" s="25">
        <f>O155</f>
        <v>3</v>
      </c>
      <c r="P6" s="25">
        <f>P155</f>
        <v>3</v>
      </c>
      <c r="Q6" s="22">
        <f>P6</f>
        <v>3</v>
      </c>
      <c r="R6" s="17"/>
      <c r="S6" s="35">
        <f>S155</f>
        <v>3</v>
      </c>
      <c r="T6" s="35">
        <f>T155</f>
        <v>3</v>
      </c>
      <c r="U6" s="35">
        <f>U155</f>
        <v>3</v>
      </c>
      <c r="V6" s="35">
        <f>MAX(S6:U6)</f>
        <v>3</v>
      </c>
    </row>
    <row r="7" spans="1:22" s="7" customFormat="1">
      <c r="A7" s="7" t="s">
        <v>29</v>
      </c>
      <c r="B7" s="7" t="s">
        <v>37</v>
      </c>
      <c r="C7" s="8" t="s">
        <v>38</v>
      </c>
      <c r="D7" s="67">
        <v>1</v>
      </c>
      <c r="E7" s="67">
        <v>120</v>
      </c>
      <c r="F7" s="67">
        <v>60</v>
      </c>
      <c r="G7" s="67">
        <v>60</v>
      </c>
      <c r="H7" s="106"/>
      <c r="I7" s="74">
        <f>E7/$D$7</f>
        <v>120</v>
      </c>
      <c r="J7" s="29">
        <f>F7/$D$7</f>
        <v>60</v>
      </c>
      <c r="K7" s="29">
        <f>G7/$D$7*Questionnaire!$I$9</f>
        <v>60</v>
      </c>
      <c r="L7" s="29">
        <f t="shared" ref="L7:L13" si="0">SUM(I7:K7)</f>
        <v>240</v>
      </c>
      <c r="M7" s="1"/>
      <c r="N7" s="26">
        <f t="shared" ref="N7:P12" si="1">I7/60</f>
        <v>2</v>
      </c>
      <c r="O7" s="26">
        <f t="shared" si="1"/>
        <v>1</v>
      </c>
      <c r="P7" s="26">
        <f t="shared" si="1"/>
        <v>1</v>
      </c>
      <c r="Q7" s="26">
        <f t="shared" ref="Q7:Q13" si="2">SUM(N7:P7)</f>
        <v>4</v>
      </c>
      <c r="R7" s="1"/>
      <c r="S7" s="72">
        <f t="shared" ref="S7:U12" si="3">ROUNDUP(N7,0)</f>
        <v>2</v>
      </c>
      <c r="T7" s="72">
        <f t="shared" si="3"/>
        <v>1</v>
      </c>
      <c r="U7" s="72">
        <f t="shared" si="3"/>
        <v>1</v>
      </c>
      <c r="V7" s="32">
        <f t="shared" ref="V7:V13" si="4">SUM(S7:U7)</f>
        <v>4</v>
      </c>
    </row>
    <row r="8" spans="1:22" s="7" customFormat="1">
      <c r="A8" s="7" t="s">
        <v>462</v>
      </c>
      <c r="C8" s="8" t="s">
        <v>38</v>
      </c>
      <c r="D8" s="67">
        <v>1</v>
      </c>
      <c r="E8" s="67">
        <v>60</v>
      </c>
      <c r="F8" s="67">
        <v>60</v>
      </c>
      <c r="G8" s="67">
        <v>60</v>
      </c>
      <c r="H8" s="106"/>
      <c r="I8" s="74">
        <f>E8/$D$7</f>
        <v>60</v>
      </c>
      <c r="J8" s="29">
        <f>F8/$D$7</f>
        <v>60</v>
      </c>
      <c r="K8" s="29">
        <f>G8/$D$8*Questionnaire!$I$9</f>
        <v>60</v>
      </c>
      <c r="L8" s="29">
        <f t="shared" si="0"/>
        <v>180</v>
      </c>
      <c r="M8" s="1"/>
      <c r="N8" s="26">
        <f t="shared" ref="N8" si="5">I8/60</f>
        <v>1</v>
      </c>
      <c r="O8" s="26">
        <f t="shared" ref="O8" si="6">J8/60</f>
        <v>1</v>
      </c>
      <c r="P8" s="26">
        <f t="shared" ref="P8" si="7">K8/60</f>
        <v>1</v>
      </c>
      <c r="Q8" s="26">
        <f t="shared" ref="Q8" si="8">SUM(N8:P8)</f>
        <v>3</v>
      </c>
      <c r="R8" s="1"/>
      <c r="S8" s="72">
        <f t="shared" ref="S8" si="9">ROUNDUP(N8,0)</f>
        <v>1</v>
      </c>
      <c r="T8" s="72">
        <f t="shared" ref="T8" si="10">ROUNDUP(O8,0)</f>
        <v>1</v>
      </c>
      <c r="U8" s="72">
        <f t="shared" ref="U8" si="11">ROUNDUP(P8,0)</f>
        <v>1</v>
      </c>
      <c r="V8" s="32">
        <f t="shared" ref="V8" si="12">SUM(S8:U8)</f>
        <v>3</v>
      </c>
    </row>
    <row r="9" spans="1:22" s="7" customFormat="1">
      <c r="A9" s="7" t="s">
        <v>30</v>
      </c>
      <c r="C9" s="8" t="s">
        <v>38</v>
      </c>
      <c r="D9" s="67">
        <v>1</v>
      </c>
      <c r="E9" s="67">
        <v>60</v>
      </c>
      <c r="F9" s="67">
        <v>60</v>
      </c>
      <c r="G9" s="67">
        <v>60</v>
      </c>
      <c r="H9" s="106"/>
      <c r="I9" s="74">
        <f>E9/$D$9</f>
        <v>60</v>
      </c>
      <c r="J9" s="29">
        <f>F9/$D$9</f>
        <v>60</v>
      </c>
      <c r="K9" s="29">
        <f>G9/$D$9*Questionnaire!$I$9</f>
        <v>60</v>
      </c>
      <c r="L9" s="29">
        <f t="shared" si="0"/>
        <v>180</v>
      </c>
      <c r="M9" s="1"/>
      <c r="N9" s="26">
        <f t="shared" si="1"/>
        <v>1</v>
      </c>
      <c r="O9" s="26">
        <f t="shared" si="1"/>
        <v>1</v>
      </c>
      <c r="P9" s="26">
        <f t="shared" si="1"/>
        <v>1</v>
      </c>
      <c r="Q9" s="26">
        <f t="shared" si="2"/>
        <v>3</v>
      </c>
      <c r="R9" s="1"/>
      <c r="S9" s="72">
        <f t="shared" si="3"/>
        <v>1</v>
      </c>
      <c r="T9" s="72">
        <f t="shared" si="3"/>
        <v>1</v>
      </c>
      <c r="U9" s="72">
        <f t="shared" si="3"/>
        <v>1</v>
      </c>
      <c r="V9" s="32">
        <f t="shared" si="4"/>
        <v>3</v>
      </c>
    </row>
    <row r="10" spans="1:22" s="7" customFormat="1">
      <c r="A10" s="7" t="s">
        <v>32</v>
      </c>
      <c r="B10" s="7" t="s">
        <v>35</v>
      </c>
      <c r="C10" s="8" t="s">
        <v>31</v>
      </c>
      <c r="D10" s="67">
        <v>1</v>
      </c>
      <c r="E10" s="67">
        <f>2*60</f>
        <v>120</v>
      </c>
      <c r="F10" s="67">
        <v>15</v>
      </c>
      <c r="G10" s="67">
        <v>15</v>
      </c>
      <c r="H10" s="106"/>
      <c r="I10" s="74">
        <f>ROUNDUP($I$6,0)*E10</f>
        <v>360</v>
      </c>
      <c r="J10" s="29">
        <f>ROUNDUP($I$6,0)*F10</f>
        <v>45</v>
      </c>
      <c r="K10" s="29">
        <f>ROUNDUP($I$6,0)*G10*Questionnaire!$I$9</f>
        <v>45</v>
      </c>
      <c r="L10" s="29">
        <f t="shared" si="0"/>
        <v>450</v>
      </c>
      <c r="M10" s="1"/>
      <c r="N10" s="26">
        <f t="shared" si="1"/>
        <v>6</v>
      </c>
      <c r="O10" s="26">
        <f t="shared" si="1"/>
        <v>0.75</v>
      </c>
      <c r="P10" s="26">
        <f t="shared" si="1"/>
        <v>0.75</v>
      </c>
      <c r="Q10" s="26">
        <f t="shared" si="2"/>
        <v>7.5</v>
      </c>
      <c r="R10" s="1"/>
      <c r="S10" s="72">
        <f t="shared" si="3"/>
        <v>6</v>
      </c>
      <c r="T10" s="72">
        <f t="shared" si="3"/>
        <v>1</v>
      </c>
      <c r="U10" s="72">
        <f t="shared" si="3"/>
        <v>1</v>
      </c>
      <c r="V10" s="32">
        <f t="shared" si="4"/>
        <v>8</v>
      </c>
    </row>
    <row r="11" spans="1:22" s="7" customFormat="1">
      <c r="A11" s="7" t="s">
        <v>33</v>
      </c>
      <c r="B11" s="7" t="s">
        <v>34</v>
      </c>
      <c r="C11" s="8" t="s">
        <v>31</v>
      </c>
      <c r="D11" s="67">
        <v>2</v>
      </c>
      <c r="E11" s="67">
        <v>120</v>
      </c>
      <c r="F11" s="67">
        <v>15</v>
      </c>
      <c r="G11" s="67"/>
      <c r="H11" s="106"/>
      <c r="I11" s="74">
        <f>ROUNDUP($I$6,0)*E11/$D$11</f>
        <v>180</v>
      </c>
      <c r="J11" s="29">
        <f>ROUNDUP($I$6,0)*F11/$D$11</f>
        <v>22.5</v>
      </c>
      <c r="K11" s="29">
        <f>ROUNDUP($I$6,0)*G11/$D$11*Questionnaire!$I$9</f>
        <v>0</v>
      </c>
      <c r="L11" s="29">
        <f t="shared" si="0"/>
        <v>202.5</v>
      </c>
      <c r="M11" s="1"/>
      <c r="N11" s="26">
        <f t="shared" si="1"/>
        <v>3</v>
      </c>
      <c r="O11" s="26">
        <f t="shared" si="1"/>
        <v>0.375</v>
      </c>
      <c r="P11" s="26">
        <f t="shared" si="1"/>
        <v>0</v>
      </c>
      <c r="Q11" s="26">
        <f t="shared" si="2"/>
        <v>3.375</v>
      </c>
      <c r="R11" s="1"/>
      <c r="S11" s="72">
        <f t="shared" si="3"/>
        <v>3</v>
      </c>
      <c r="T11" s="72">
        <f t="shared" si="3"/>
        <v>1</v>
      </c>
      <c r="U11" s="72">
        <f t="shared" si="3"/>
        <v>0</v>
      </c>
      <c r="V11" s="32">
        <f t="shared" si="4"/>
        <v>4</v>
      </c>
    </row>
    <row r="12" spans="1:22" s="7" customFormat="1">
      <c r="A12" s="7" t="s">
        <v>36</v>
      </c>
      <c r="B12" s="7" t="s">
        <v>71</v>
      </c>
      <c r="C12" s="8" t="s">
        <v>31</v>
      </c>
      <c r="D12" s="67">
        <v>1</v>
      </c>
      <c r="E12" s="67">
        <v>120</v>
      </c>
      <c r="F12" s="67">
        <v>30</v>
      </c>
      <c r="G12" s="67">
        <v>30</v>
      </c>
      <c r="H12" s="106"/>
      <c r="I12" s="74">
        <f>ROUNDUP($I$6,0)*E12/$D$12</f>
        <v>360</v>
      </c>
      <c r="J12" s="29">
        <f>ROUNDUP($I$6,0)*F12/$D$12</f>
        <v>90</v>
      </c>
      <c r="K12" s="29">
        <f>ROUNDUP($I$6,0)*G12/$D$12*Questionnaire!$I$9</f>
        <v>90</v>
      </c>
      <c r="L12" s="29">
        <f t="shared" si="0"/>
        <v>540</v>
      </c>
      <c r="M12" s="1"/>
      <c r="N12" s="26">
        <f t="shared" si="1"/>
        <v>6</v>
      </c>
      <c r="O12" s="26">
        <f t="shared" si="1"/>
        <v>1.5</v>
      </c>
      <c r="P12" s="26">
        <f t="shared" si="1"/>
        <v>1.5</v>
      </c>
      <c r="Q12" s="26">
        <f t="shared" si="2"/>
        <v>9</v>
      </c>
      <c r="R12" s="1"/>
      <c r="S12" s="72">
        <f t="shared" si="3"/>
        <v>6</v>
      </c>
      <c r="T12" s="72">
        <f t="shared" si="3"/>
        <v>2</v>
      </c>
      <c r="U12" s="72">
        <f t="shared" si="3"/>
        <v>2</v>
      </c>
      <c r="V12" s="32">
        <f t="shared" si="4"/>
        <v>10</v>
      </c>
    </row>
    <row r="13" spans="1:22" s="7" customFormat="1">
      <c r="A13" s="7" t="s">
        <v>452</v>
      </c>
      <c r="B13" s="7" t="s">
        <v>453</v>
      </c>
      <c r="C13" s="8" t="s">
        <v>31</v>
      </c>
      <c r="D13" s="67">
        <v>25</v>
      </c>
      <c r="E13" s="67">
        <v>60</v>
      </c>
      <c r="F13" s="67"/>
      <c r="G13" s="67"/>
      <c r="H13" s="106"/>
      <c r="I13" s="29">
        <f>IF(Questionnaire!I4="Enterprise",$L$149/$D$13*E13/60,0)</f>
        <v>0</v>
      </c>
      <c r="J13" s="29">
        <f>IF(Questionnaire!J4="Enterprise",$L$149/$D$13*F13/60,0)</f>
        <v>0</v>
      </c>
      <c r="K13" s="29">
        <f>IF(Questionnaire!K4="Enterprise",$L$149/$D$13*G13/60*Questionnaire!$I$9,0)</f>
        <v>0</v>
      </c>
      <c r="L13" s="29">
        <f t="shared" si="0"/>
        <v>0</v>
      </c>
      <c r="M13" s="1"/>
      <c r="N13" s="26">
        <f t="shared" ref="N13" si="13">I13/60</f>
        <v>0</v>
      </c>
      <c r="O13" s="26">
        <f t="shared" ref="O13" si="14">J13/60</f>
        <v>0</v>
      </c>
      <c r="P13" s="26">
        <f t="shared" ref="P13" si="15">K13/60</f>
        <v>0</v>
      </c>
      <c r="Q13" s="26">
        <f t="shared" si="2"/>
        <v>0</v>
      </c>
      <c r="R13" s="1"/>
      <c r="S13" s="72">
        <f t="shared" ref="S13" si="16">ROUNDUP(N13,0)</f>
        <v>0</v>
      </c>
      <c r="T13" s="72">
        <f t="shared" ref="T13" si="17">ROUNDUP(O13,0)</f>
        <v>0</v>
      </c>
      <c r="U13" s="72">
        <f t="shared" ref="U13" si="18">ROUNDUP(P13,0)</f>
        <v>0</v>
      </c>
      <c r="V13" s="32">
        <f t="shared" si="4"/>
        <v>0</v>
      </c>
    </row>
    <row r="14" spans="1:22" s="7" customFormat="1">
      <c r="C14" s="8"/>
      <c r="D14" s="8"/>
      <c r="E14" s="8"/>
      <c r="F14" s="8"/>
      <c r="G14" s="8"/>
      <c r="H14" s="101"/>
      <c r="I14" s="29"/>
      <c r="J14" s="29"/>
      <c r="K14" s="29"/>
      <c r="L14" s="29"/>
      <c r="M14" s="1"/>
      <c r="N14" s="26"/>
      <c r="O14" s="26"/>
      <c r="P14" s="26"/>
      <c r="Q14" s="26"/>
      <c r="R14" s="1"/>
      <c r="S14" s="32"/>
      <c r="T14" s="32"/>
      <c r="U14" s="32"/>
      <c r="V14" s="32"/>
    </row>
    <row r="15" spans="1:22" s="7" customFormat="1">
      <c r="C15" s="8"/>
      <c r="D15" s="8"/>
      <c r="E15" s="8"/>
      <c r="F15" s="8"/>
      <c r="G15" s="8"/>
      <c r="H15" s="101"/>
      <c r="I15" s="29"/>
      <c r="J15" s="29"/>
      <c r="K15" s="29"/>
      <c r="L15" s="29"/>
      <c r="M15" s="1"/>
      <c r="N15" s="26"/>
      <c r="O15" s="26"/>
      <c r="P15" s="26"/>
      <c r="Q15" s="26"/>
      <c r="R15" s="1"/>
      <c r="S15" s="32"/>
      <c r="T15" s="32"/>
      <c r="U15" s="32"/>
      <c r="V15" s="32"/>
    </row>
    <row r="16" spans="1:22" s="41" customFormat="1">
      <c r="A16" s="41" t="s">
        <v>26</v>
      </c>
      <c r="B16" s="41" t="s">
        <v>14</v>
      </c>
      <c r="C16" s="42" t="s">
        <v>20</v>
      </c>
      <c r="D16" s="42" t="s">
        <v>134</v>
      </c>
      <c r="E16" s="42" t="s">
        <v>11</v>
      </c>
      <c r="F16" s="42" t="s">
        <v>12</v>
      </c>
      <c r="G16" s="42" t="s">
        <v>13</v>
      </c>
      <c r="H16" s="104" t="s">
        <v>411</v>
      </c>
      <c r="I16" s="48"/>
      <c r="J16" s="48"/>
      <c r="K16" s="48"/>
      <c r="L16" s="48"/>
      <c r="M16" s="45"/>
      <c r="N16" s="49"/>
      <c r="O16" s="49"/>
      <c r="P16" s="49"/>
      <c r="Q16" s="49"/>
      <c r="R16" s="45"/>
      <c r="S16" s="50"/>
      <c r="T16" s="50"/>
      <c r="U16" s="50"/>
      <c r="V16" s="50"/>
    </row>
    <row r="17" spans="1:22">
      <c r="A17" s="3" t="s">
        <v>27</v>
      </c>
      <c r="C17" s="4" t="s">
        <v>21</v>
      </c>
      <c r="D17" s="68">
        <v>1</v>
      </c>
      <c r="E17" s="68"/>
      <c r="F17" s="68"/>
      <c r="G17" s="68">
        <v>60</v>
      </c>
      <c r="H17" s="106"/>
      <c r="I17" s="74">
        <f>E17/$D$17</f>
        <v>0</v>
      </c>
      <c r="J17" s="29">
        <f>F17/$D$17</f>
        <v>0</v>
      </c>
      <c r="K17" s="29">
        <f>G17/$D$17</f>
        <v>60</v>
      </c>
      <c r="L17" s="29">
        <f>SUM(I17:K17)</f>
        <v>60</v>
      </c>
      <c r="N17" s="26">
        <f t="shared" ref="N17:P19" si="19">I17/60</f>
        <v>0</v>
      </c>
      <c r="O17" s="26">
        <f t="shared" si="19"/>
        <v>0</v>
      </c>
      <c r="P17" s="26">
        <f t="shared" si="19"/>
        <v>1</v>
      </c>
      <c r="Q17" s="26">
        <f>SUM(N17:P17)</f>
        <v>1</v>
      </c>
      <c r="S17" s="72">
        <f t="shared" ref="S17:U19" si="20">ROUNDUP(N17,0)</f>
        <v>0</v>
      </c>
      <c r="T17" s="73">
        <f t="shared" si="20"/>
        <v>0</v>
      </c>
      <c r="U17" s="73">
        <f t="shared" si="20"/>
        <v>1</v>
      </c>
      <c r="V17" s="32">
        <f>SUM(S17:U17)</f>
        <v>1</v>
      </c>
    </row>
    <row r="18" spans="1:22">
      <c r="A18" s="3" t="s">
        <v>28</v>
      </c>
      <c r="C18" s="4" t="s">
        <v>86</v>
      </c>
      <c r="D18" s="68">
        <v>1</v>
      </c>
      <c r="E18" s="68"/>
      <c r="F18" s="68"/>
      <c r="G18" s="68">
        <v>15</v>
      </c>
      <c r="H18" s="106"/>
      <c r="I18" s="74">
        <f>Questionnaire!$I$13*E18/$D$18</f>
        <v>0</v>
      </c>
      <c r="J18" s="29">
        <f>Questionnaire!$I$13*F18/$D$18</f>
        <v>0</v>
      </c>
      <c r="K18" s="29">
        <f>Questionnaire!$I$13*G18/$D$18</f>
        <v>0</v>
      </c>
      <c r="L18" s="29">
        <f>SUM(I18:K18)</f>
        <v>0</v>
      </c>
      <c r="N18" s="26">
        <f t="shared" si="19"/>
        <v>0</v>
      </c>
      <c r="O18" s="26">
        <f t="shared" si="19"/>
        <v>0</v>
      </c>
      <c r="P18" s="26">
        <f t="shared" si="19"/>
        <v>0</v>
      </c>
      <c r="Q18" s="26">
        <f>SUM(N18:P18)</f>
        <v>0</v>
      </c>
      <c r="S18" s="72">
        <f t="shared" si="20"/>
        <v>0</v>
      </c>
      <c r="T18" s="73">
        <f t="shared" si="20"/>
        <v>0</v>
      </c>
      <c r="U18" s="73">
        <f t="shared" si="20"/>
        <v>0</v>
      </c>
      <c r="V18" s="32">
        <f>SUM(S18:U18)</f>
        <v>0</v>
      </c>
    </row>
    <row r="19" spans="1:22">
      <c r="A19" s="3" t="s">
        <v>39</v>
      </c>
      <c r="C19" s="4" t="s">
        <v>38</v>
      </c>
      <c r="D19" s="68">
        <v>1</v>
      </c>
      <c r="E19" s="68"/>
      <c r="F19" s="68"/>
      <c r="G19" s="68">
        <v>60</v>
      </c>
      <c r="H19" s="106"/>
      <c r="I19" s="74">
        <f>E19/$D$19</f>
        <v>0</v>
      </c>
      <c r="J19" s="29">
        <f>F19/$D$19</f>
        <v>0</v>
      </c>
      <c r="K19" s="29">
        <f>G19/$D$19</f>
        <v>60</v>
      </c>
      <c r="L19" s="29">
        <f>SUM(I19:K19)</f>
        <v>60</v>
      </c>
      <c r="N19" s="26">
        <f t="shared" si="19"/>
        <v>0</v>
      </c>
      <c r="O19" s="26">
        <f t="shared" si="19"/>
        <v>0</v>
      </c>
      <c r="P19" s="26">
        <f t="shared" si="19"/>
        <v>1</v>
      </c>
      <c r="Q19" s="26">
        <f>SUM(N19:P19)</f>
        <v>1</v>
      </c>
      <c r="S19" s="72">
        <f t="shared" si="20"/>
        <v>0</v>
      </c>
      <c r="T19" s="73">
        <f t="shared" si="20"/>
        <v>0</v>
      </c>
      <c r="U19" s="73">
        <f t="shared" si="20"/>
        <v>1</v>
      </c>
      <c r="V19" s="32">
        <f>SUM(S19:U19)</f>
        <v>1</v>
      </c>
    </row>
    <row r="22" spans="1:22" s="41" customFormat="1">
      <c r="A22" s="41" t="s">
        <v>361</v>
      </c>
      <c r="B22" s="41" t="s">
        <v>14</v>
      </c>
      <c r="C22" s="42" t="s">
        <v>20</v>
      </c>
      <c r="D22" s="42" t="s">
        <v>134</v>
      </c>
      <c r="E22" s="42" t="s">
        <v>11</v>
      </c>
      <c r="F22" s="42" t="s">
        <v>12</v>
      </c>
      <c r="G22" s="42" t="s">
        <v>13</v>
      </c>
      <c r="H22" s="104" t="s">
        <v>411</v>
      </c>
      <c r="I22" s="48"/>
      <c r="J22" s="48"/>
      <c r="K22" s="48"/>
      <c r="L22" s="48"/>
      <c r="M22" s="45"/>
      <c r="N22" s="49"/>
      <c r="O22" s="49"/>
      <c r="P22" s="49"/>
      <c r="Q22" s="49"/>
      <c r="R22" s="45"/>
      <c r="S22" s="50"/>
      <c r="T22" s="50"/>
      <c r="U22" s="50"/>
      <c r="V22" s="50"/>
    </row>
    <row r="23" spans="1:22" s="7" customFormat="1">
      <c r="A23" s="7" t="s">
        <v>40</v>
      </c>
      <c r="C23" s="8" t="s">
        <v>38</v>
      </c>
      <c r="D23" s="67">
        <v>1</v>
      </c>
      <c r="E23" s="67"/>
      <c r="F23" s="67"/>
      <c r="G23" s="67">
        <v>30</v>
      </c>
      <c r="H23" s="106"/>
      <c r="I23" s="74">
        <f>E23/$D$23</f>
        <v>0</v>
      </c>
      <c r="J23" s="29">
        <f>F23/$D$23</f>
        <v>0</v>
      </c>
      <c r="K23" s="29">
        <f>G23/$D$23</f>
        <v>30</v>
      </c>
      <c r="L23" s="29">
        <f>SUM(I23:K23)</f>
        <v>30</v>
      </c>
      <c r="M23" s="1"/>
      <c r="N23" s="26">
        <f t="shared" ref="N23:P26" si="21">I23/60</f>
        <v>0</v>
      </c>
      <c r="O23" s="26">
        <f t="shared" si="21"/>
        <v>0</v>
      </c>
      <c r="P23" s="26">
        <f t="shared" si="21"/>
        <v>0.5</v>
      </c>
      <c r="Q23" s="26">
        <f>SUM(N23:P23)</f>
        <v>0.5</v>
      </c>
      <c r="R23" s="1"/>
      <c r="S23" s="72">
        <f t="shared" ref="S23:U26" si="22">ROUNDUP(N23,0)</f>
        <v>0</v>
      </c>
      <c r="T23" s="72">
        <f t="shared" si="22"/>
        <v>0</v>
      </c>
      <c r="U23" s="72">
        <f t="shared" si="22"/>
        <v>1</v>
      </c>
      <c r="V23" s="32">
        <f>SUM(S23:U23)</f>
        <v>1</v>
      </c>
    </row>
    <row r="24" spans="1:22">
      <c r="A24" s="3" t="s">
        <v>25</v>
      </c>
      <c r="C24" s="4" t="s">
        <v>38</v>
      </c>
      <c r="D24" s="68">
        <v>1</v>
      </c>
      <c r="E24" s="68"/>
      <c r="F24" s="68"/>
      <c r="G24" s="68">
        <v>60</v>
      </c>
      <c r="H24" s="106"/>
      <c r="I24" s="74">
        <f>E24/$D$24</f>
        <v>0</v>
      </c>
      <c r="J24" s="29">
        <f>F24/$D$24</f>
        <v>0</v>
      </c>
      <c r="K24" s="29">
        <f>G24/$D$24</f>
        <v>60</v>
      </c>
      <c r="L24" s="29">
        <f>SUM(I24:K24)</f>
        <v>60</v>
      </c>
      <c r="N24" s="26">
        <f t="shared" si="21"/>
        <v>0</v>
      </c>
      <c r="O24" s="26">
        <f t="shared" si="21"/>
        <v>0</v>
      </c>
      <c r="P24" s="26">
        <f t="shared" si="21"/>
        <v>1</v>
      </c>
      <c r="Q24" s="26">
        <f>SUM(N24:P24)</f>
        <v>1</v>
      </c>
      <c r="S24" s="72">
        <f t="shared" si="22"/>
        <v>0</v>
      </c>
      <c r="T24" s="72">
        <f t="shared" si="22"/>
        <v>0</v>
      </c>
      <c r="U24" s="72">
        <f t="shared" si="22"/>
        <v>1</v>
      </c>
      <c r="V24" s="32">
        <f>SUM(S24:U24)</f>
        <v>1</v>
      </c>
    </row>
    <row r="25" spans="1:22">
      <c r="A25" s="3" t="s">
        <v>47</v>
      </c>
      <c r="C25" s="4" t="s">
        <v>38</v>
      </c>
      <c r="D25" s="68">
        <v>1</v>
      </c>
      <c r="E25" s="68"/>
      <c r="F25" s="68"/>
      <c r="G25" s="68">
        <v>60</v>
      </c>
      <c r="H25" s="106"/>
      <c r="I25" s="74">
        <f>E25/$D$25</f>
        <v>0</v>
      </c>
      <c r="J25" s="29">
        <f>F25/$D$25</f>
        <v>0</v>
      </c>
      <c r="K25" s="29">
        <f>G25/$D$25</f>
        <v>60</v>
      </c>
      <c r="L25" s="29">
        <f>SUM(I25:K25)</f>
        <v>60</v>
      </c>
      <c r="N25" s="26">
        <f t="shared" si="21"/>
        <v>0</v>
      </c>
      <c r="O25" s="26">
        <f t="shared" si="21"/>
        <v>0</v>
      </c>
      <c r="P25" s="26">
        <f t="shared" si="21"/>
        <v>1</v>
      </c>
      <c r="Q25" s="26">
        <f>SUM(N25:P25)</f>
        <v>1</v>
      </c>
      <c r="S25" s="72">
        <f t="shared" si="22"/>
        <v>0</v>
      </c>
      <c r="T25" s="72">
        <f t="shared" si="22"/>
        <v>0</v>
      </c>
      <c r="U25" s="72">
        <f t="shared" si="22"/>
        <v>1</v>
      </c>
      <c r="V25" s="32">
        <f>SUM(S25:U25)</f>
        <v>1</v>
      </c>
    </row>
    <row r="26" spans="1:22">
      <c r="A26" s="3" t="s">
        <v>48</v>
      </c>
      <c r="C26" s="4" t="s">
        <v>38</v>
      </c>
      <c r="D26" s="68">
        <v>1</v>
      </c>
      <c r="E26" s="68"/>
      <c r="F26" s="68"/>
      <c r="G26" s="68">
        <v>60</v>
      </c>
      <c r="H26" s="106"/>
      <c r="I26" s="74">
        <f>E26/$D$26</f>
        <v>0</v>
      </c>
      <c r="J26" s="29">
        <f>F26/$D$26</f>
        <v>0</v>
      </c>
      <c r="K26" s="29">
        <f>G26/$D$26</f>
        <v>60</v>
      </c>
      <c r="L26" s="29">
        <f>SUM(I26:K26)</f>
        <v>60</v>
      </c>
      <c r="N26" s="26">
        <f t="shared" si="21"/>
        <v>0</v>
      </c>
      <c r="O26" s="26">
        <f t="shared" si="21"/>
        <v>0</v>
      </c>
      <c r="P26" s="26">
        <f t="shared" si="21"/>
        <v>1</v>
      </c>
      <c r="Q26" s="26">
        <f>SUM(N26:P26)</f>
        <v>1</v>
      </c>
      <c r="S26" s="72">
        <f t="shared" si="22"/>
        <v>0</v>
      </c>
      <c r="T26" s="72">
        <f t="shared" si="22"/>
        <v>0</v>
      </c>
      <c r="U26" s="72">
        <f t="shared" si="22"/>
        <v>1</v>
      </c>
      <c r="V26" s="32">
        <f>SUM(S26:U26)</f>
        <v>1</v>
      </c>
    </row>
    <row r="29" spans="1:22" s="41" customFormat="1">
      <c r="A29" s="41" t="s">
        <v>9</v>
      </c>
      <c r="B29" s="41" t="s">
        <v>14</v>
      </c>
      <c r="C29" s="42" t="s">
        <v>20</v>
      </c>
      <c r="D29" s="42" t="s">
        <v>134</v>
      </c>
      <c r="E29" s="42" t="s">
        <v>11</v>
      </c>
      <c r="F29" s="42" t="s">
        <v>12</v>
      </c>
      <c r="G29" s="42" t="s">
        <v>13</v>
      </c>
      <c r="H29" s="104" t="s">
        <v>411</v>
      </c>
      <c r="I29" s="48"/>
      <c r="J29" s="48"/>
      <c r="K29" s="48"/>
      <c r="L29" s="48"/>
      <c r="M29" s="45"/>
      <c r="N29" s="49"/>
      <c r="O29" s="49"/>
      <c r="P29" s="49"/>
      <c r="Q29" s="49"/>
      <c r="R29" s="45"/>
      <c r="S29" s="50"/>
      <c r="T29" s="50"/>
      <c r="U29" s="50"/>
      <c r="V29" s="50"/>
    </row>
    <row r="30" spans="1:22">
      <c r="A30" s="3" t="s">
        <v>15</v>
      </c>
      <c r="C30" s="4" t="s">
        <v>21</v>
      </c>
      <c r="D30" s="68">
        <v>1</v>
      </c>
      <c r="E30" s="68">
        <v>30</v>
      </c>
      <c r="F30" s="68">
        <v>30</v>
      </c>
      <c r="G30" s="68">
        <v>30</v>
      </c>
      <c r="H30" s="106"/>
      <c r="I30" s="29">
        <f>E30/$D$30</f>
        <v>30</v>
      </c>
      <c r="J30" s="29">
        <f>F30/$D$30</f>
        <v>30</v>
      </c>
      <c r="K30" s="29">
        <f>G30/$D$30</f>
        <v>30</v>
      </c>
      <c r="L30" s="29">
        <f>SUM(I30:K30)</f>
        <v>90</v>
      </c>
      <c r="N30" s="26">
        <f t="shared" ref="N30:P32" si="23">I30/60</f>
        <v>0.5</v>
      </c>
      <c r="O30" s="26">
        <f t="shared" si="23"/>
        <v>0.5</v>
      </c>
      <c r="P30" s="26">
        <f t="shared" si="23"/>
        <v>0.5</v>
      </c>
      <c r="Q30" s="26">
        <f>SUM(N30:P30)</f>
        <v>1.5</v>
      </c>
      <c r="S30" s="72">
        <f t="shared" ref="S30:U32" si="24">ROUNDUP(N30,0)</f>
        <v>1</v>
      </c>
      <c r="T30" s="72">
        <f t="shared" si="24"/>
        <v>1</v>
      </c>
      <c r="U30" s="72">
        <f t="shared" si="24"/>
        <v>1</v>
      </c>
      <c r="V30" s="32">
        <f>SUM(S30:U30)</f>
        <v>3</v>
      </c>
    </row>
    <row r="31" spans="1:22">
      <c r="A31" s="3" t="s">
        <v>19</v>
      </c>
      <c r="B31" s="3" t="s">
        <v>16</v>
      </c>
      <c r="C31" s="4" t="s">
        <v>87</v>
      </c>
      <c r="D31" s="68">
        <v>1</v>
      </c>
      <c r="E31" s="68"/>
      <c r="F31" s="68"/>
      <c r="G31" s="68">
        <v>2</v>
      </c>
      <c r="H31" s="106"/>
      <c r="I31" s="29">
        <f>IF(Questionnaire!$I$17&gt;0,Questionnaire!$I$17*E31/$D$31,0)</f>
        <v>0</v>
      </c>
      <c r="J31" s="29">
        <f>IF(Questionnaire!$I$17&gt;0,Questionnaire!$I$17*F31/$D$31,0)</f>
        <v>0</v>
      </c>
      <c r="K31" s="29">
        <f>IF(Questionnaire!$I$17&gt;0,Questionnaire!$I$17*G31/$D$31,0)</f>
        <v>0</v>
      </c>
      <c r="L31" s="29">
        <f>SUM(I31:K31)</f>
        <v>0</v>
      </c>
      <c r="N31" s="26">
        <f t="shared" si="23"/>
        <v>0</v>
      </c>
      <c r="O31" s="26">
        <f t="shared" si="23"/>
        <v>0</v>
      </c>
      <c r="P31" s="26">
        <f t="shared" si="23"/>
        <v>0</v>
      </c>
      <c r="Q31" s="26">
        <f>SUM(N31:P31)</f>
        <v>0</v>
      </c>
      <c r="S31" s="72">
        <f t="shared" si="24"/>
        <v>0</v>
      </c>
      <c r="T31" s="72">
        <f t="shared" si="24"/>
        <v>0</v>
      </c>
      <c r="U31" s="72">
        <f t="shared" si="24"/>
        <v>0</v>
      </c>
      <c r="V31" s="32">
        <f>SUM(S31:U31)</f>
        <v>0</v>
      </c>
    </row>
    <row r="32" spans="1:22">
      <c r="A32" s="3" t="s">
        <v>19</v>
      </c>
      <c r="B32" s="3" t="s">
        <v>41</v>
      </c>
      <c r="C32" s="4" t="s">
        <v>87</v>
      </c>
      <c r="D32" s="68">
        <v>5</v>
      </c>
      <c r="E32" s="68"/>
      <c r="F32" s="68"/>
      <c r="G32" s="68">
        <v>1</v>
      </c>
      <c r="H32" s="106"/>
      <c r="I32" s="29">
        <f>IFERROR(E32*Questionnaire!$I$18/$D$32,0)</f>
        <v>0</v>
      </c>
      <c r="J32" s="29">
        <f>IFERROR(F32*Questionnaire!$I$18/$D$32,0)</f>
        <v>0</v>
      </c>
      <c r="K32" s="29">
        <f>IFERROR(G32*Questionnaire!$I$18/$D$32,0)</f>
        <v>0</v>
      </c>
      <c r="L32" s="29">
        <f>SUM(I32:K32)</f>
        <v>0</v>
      </c>
      <c r="N32" s="26">
        <f t="shared" si="23"/>
        <v>0</v>
      </c>
      <c r="O32" s="26">
        <f t="shared" si="23"/>
        <v>0</v>
      </c>
      <c r="P32" s="26">
        <f t="shared" si="23"/>
        <v>0</v>
      </c>
      <c r="Q32" s="26">
        <f>SUM(N32:P32)</f>
        <v>0</v>
      </c>
      <c r="S32" s="72">
        <f t="shared" si="24"/>
        <v>0</v>
      </c>
      <c r="T32" s="72">
        <f t="shared" si="24"/>
        <v>0</v>
      </c>
      <c r="U32" s="72">
        <f t="shared" si="24"/>
        <v>0</v>
      </c>
      <c r="V32" s="32">
        <f>SUM(S32:U32)</f>
        <v>0</v>
      </c>
    </row>
    <row r="35" spans="1:22" s="41" customFormat="1">
      <c r="A35" s="41" t="s">
        <v>10</v>
      </c>
      <c r="B35" s="41" t="s">
        <v>14</v>
      </c>
      <c r="C35" s="42" t="s">
        <v>20</v>
      </c>
      <c r="D35" s="42" t="s">
        <v>134</v>
      </c>
      <c r="E35" s="42" t="s">
        <v>11</v>
      </c>
      <c r="F35" s="42" t="s">
        <v>12</v>
      </c>
      <c r="G35" s="42" t="s">
        <v>13</v>
      </c>
      <c r="H35" s="104" t="s">
        <v>411</v>
      </c>
      <c r="I35" s="48"/>
      <c r="J35" s="48"/>
      <c r="K35" s="48"/>
      <c r="L35" s="48"/>
      <c r="M35" s="45"/>
      <c r="N35" s="49"/>
      <c r="O35" s="49"/>
      <c r="P35" s="49"/>
      <c r="Q35" s="49"/>
      <c r="R35" s="45"/>
      <c r="S35" s="50"/>
      <c r="T35" s="50"/>
      <c r="U35" s="50"/>
      <c r="V35" s="50"/>
    </row>
    <row r="36" spans="1:22">
      <c r="A36" s="3" t="s">
        <v>15</v>
      </c>
      <c r="C36" s="4" t="s">
        <v>21</v>
      </c>
      <c r="D36" s="68">
        <v>1</v>
      </c>
      <c r="E36" s="68">
        <v>60</v>
      </c>
      <c r="F36" s="68">
        <v>60</v>
      </c>
      <c r="G36" s="68">
        <v>60</v>
      </c>
      <c r="H36" s="106"/>
      <c r="I36" s="29">
        <f>IF(Questionnaire!$I$21+Questionnaire!$I$22&gt;0,E36/$D$36,0)</f>
        <v>0</v>
      </c>
      <c r="J36" s="29">
        <f>IF(Questionnaire!$I$21+Questionnaire!$I$22&gt;0,F36/$D$36,0)</f>
        <v>0</v>
      </c>
      <c r="K36" s="29">
        <f>IF(Questionnaire!$I$21+Questionnaire!$I$22&gt;0,G36/$D$36,0)</f>
        <v>0</v>
      </c>
      <c r="L36" s="29">
        <f t="shared" ref="L36:L43" si="25">SUM(I36:K36)</f>
        <v>0</v>
      </c>
      <c r="N36" s="26">
        <f t="shared" ref="N36:P43" si="26">I36/60</f>
        <v>0</v>
      </c>
      <c r="O36" s="26">
        <f t="shared" si="26"/>
        <v>0</v>
      </c>
      <c r="P36" s="26">
        <f t="shared" si="26"/>
        <v>0</v>
      </c>
      <c r="Q36" s="26">
        <f t="shared" ref="Q36:Q43" si="27">SUM(N36:P36)</f>
        <v>0</v>
      </c>
      <c r="S36" s="72">
        <f t="shared" ref="S36:U43" si="28">ROUNDUP(N36,0)</f>
        <v>0</v>
      </c>
      <c r="T36" s="72">
        <f t="shared" si="28"/>
        <v>0</v>
      </c>
      <c r="U36" s="72">
        <f t="shared" si="28"/>
        <v>0</v>
      </c>
      <c r="V36" s="32">
        <f t="shared" ref="V36:V43" si="29">SUM(S36:U36)</f>
        <v>0</v>
      </c>
    </row>
    <row r="37" spans="1:22">
      <c r="A37" s="3" t="s">
        <v>18</v>
      </c>
      <c r="C37" s="4" t="s">
        <v>46</v>
      </c>
      <c r="D37" s="68">
        <v>1</v>
      </c>
      <c r="E37" s="68"/>
      <c r="F37" s="68">
        <v>60</v>
      </c>
      <c r="G37" s="68">
        <v>30</v>
      </c>
      <c r="H37" s="106"/>
      <c r="I37" s="29">
        <f>IF(Questionnaire!$I$21&gt;0,E37*Questionnaire!$I$21/$D$37,0)</f>
        <v>0</v>
      </c>
      <c r="J37" s="29">
        <f>IF(Questionnaire!$I$21&gt;0,F37*Questionnaire!$I$21/$D$37,0)</f>
        <v>0</v>
      </c>
      <c r="K37" s="29">
        <f>IF(Questionnaire!$I$21&gt;0,G37*Questionnaire!$I$21/$D$37,0)</f>
        <v>0</v>
      </c>
      <c r="L37" s="29">
        <f t="shared" si="25"/>
        <v>0</v>
      </c>
      <c r="N37" s="26">
        <f t="shared" si="26"/>
        <v>0</v>
      </c>
      <c r="O37" s="26">
        <f t="shared" si="26"/>
        <v>0</v>
      </c>
      <c r="P37" s="26">
        <f t="shared" si="26"/>
        <v>0</v>
      </c>
      <c r="Q37" s="26">
        <f t="shared" si="27"/>
        <v>0</v>
      </c>
      <c r="S37" s="72">
        <f t="shared" si="28"/>
        <v>0</v>
      </c>
      <c r="T37" s="72">
        <f t="shared" si="28"/>
        <v>0</v>
      </c>
      <c r="U37" s="72">
        <f t="shared" si="28"/>
        <v>0</v>
      </c>
      <c r="V37" s="32">
        <f t="shared" si="29"/>
        <v>0</v>
      </c>
    </row>
    <row r="38" spans="1:22">
      <c r="A38" s="3" t="s">
        <v>24</v>
      </c>
      <c r="C38" s="4" t="s">
        <v>22</v>
      </c>
      <c r="D38" s="68">
        <v>1</v>
      </c>
      <c r="E38" s="68"/>
      <c r="F38" s="68"/>
      <c r="G38" s="68">
        <v>5</v>
      </c>
      <c r="H38" s="106"/>
      <c r="I38" s="29">
        <f>IF(Questionnaire!$I$21&gt;0,Questionnaire!$I$23*E38/$D$38,0)</f>
        <v>0</v>
      </c>
      <c r="J38" s="29">
        <f>IF(Questionnaire!$I$21&gt;0,Questionnaire!$I$23*F38/$D$38,0)</f>
        <v>0</v>
      </c>
      <c r="K38" s="29">
        <f>IF(Questionnaire!$I$21&gt;0,Questionnaire!$I$23*G38/$D$38,0)</f>
        <v>0</v>
      </c>
      <c r="L38" s="29">
        <f t="shared" si="25"/>
        <v>0</v>
      </c>
      <c r="N38" s="26">
        <f t="shared" si="26"/>
        <v>0</v>
      </c>
      <c r="O38" s="26">
        <f t="shared" si="26"/>
        <v>0</v>
      </c>
      <c r="P38" s="26">
        <f t="shared" si="26"/>
        <v>0</v>
      </c>
      <c r="Q38" s="26">
        <f t="shared" si="27"/>
        <v>0</v>
      </c>
      <c r="S38" s="72">
        <f t="shared" si="28"/>
        <v>0</v>
      </c>
      <c r="T38" s="72">
        <f t="shared" si="28"/>
        <v>0</v>
      </c>
      <c r="U38" s="72">
        <f t="shared" si="28"/>
        <v>0</v>
      </c>
      <c r="V38" s="32">
        <f t="shared" si="29"/>
        <v>0</v>
      </c>
    </row>
    <row r="39" spans="1:22">
      <c r="A39" s="3" t="s">
        <v>23</v>
      </c>
      <c r="C39" s="4" t="s">
        <v>88</v>
      </c>
      <c r="D39" s="68">
        <v>1</v>
      </c>
      <c r="E39" s="68"/>
      <c r="F39" s="68"/>
      <c r="G39" s="68">
        <v>10</v>
      </c>
      <c r="H39" s="106"/>
      <c r="I39" s="29">
        <f>IF(Questionnaire!$I$21&gt;0,Questionnaire!$I$24*E39/$D$39,0)</f>
        <v>0</v>
      </c>
      <c r="J39" s="29">
        <f>IF(Questionnaire!$I$21&gt;0,Questionnaire!$I$24*F39/$D$39,0)</f>
        <v>0</v>
      </c>
      <c r="K39" s="29">
        <f>IF(Questionnaire!$I$21&gt;0,Questionnaire!$I$24*G39/$D$39,0)</f>
        <v>0</v>
      </c>
      <c r="L39" s="29">
        <f t="shared" si="25"/>
        <v>0</v>
      </c>
      <c r="N39" s="26">
        <f t="shared" si="26"/>
        <v>0</v>
      </c>
      <c r="O39" s="26">
        <f t="shared" si="26"/>
        <v>0</v>
      </c>
      <c r="P39" s="26">
        <f t="shared" si="26"/>
        <v>0</v>
      </c>
      <c r="Q39" s="26">
        <f t="shared" si="27"/>
        <v>0</v>
      </c>
      <c r="S39" s="72">
        <f t="shared" si="28"/>
        <v>0</v>
      </c>
      <c r="T39" s="72">
        <f t="shared" si="28"/>
        <v>0</v>
      </c>
      <c r="U39" s="72">
        <f t="shared" si="28"/>
        <v>0</v>
      </c>
      <c r="V39" s="32">
        <f t="shared" si="29"/>
        <v>0</v>
      </c>
    </row>
    <row r="40" spans="1:22">
      <c r="A40" s="3" t="s">
        <v>17</v>
      </c>
      <c r="C40" s="4" t="s">
        <v>89</v>
      </c>
      <c r="D40" s="68">
        <v>1</v>
      </c>
      <c r="E40" s="68"/>
      <c r="F40" s="68"/>
      <c r="G40" s="68">
        <v>5</v>
      </c>
      <c r="H40" s="106"/>
      <c r="I40" s="29">
        <f>IF(Questionnaire!$I$21&gt;0,Questionnaire!$I$25*E40/$D$40,0)</f>
        <v>0</v>
      </c>
      <c r="J40" s="29">
        <f>IF(Questionnaire!$I$21&gt;0,Questionnaire!$I$25*F40/$D$40,0)</f>
        <v>0</v>
      </c>
      <c r="K40" s="29">
        <f>IF(Questionnaire!$I$21&gt;0,Questionnaire!$I$25*G40/$D$40,0)</f>
        <v>0</v>
      </c>
      <c r="L40" s="29">
        <f t="shared" si="25"/>
        <v>0</v>
      </c>
      <c r="N40" s="26">
        <f t="shared" si="26"/>
        <v>0</v>
      </c>
      <c r="O40" s="26">
        <f t="shared" si="26"/>
        <v>0</v>
      </c>
      <c r="P40" s="26">
        <f t="shared" si="26"/>
        <v>0</v>
      </c>
      <c r="Q40" s="26">
        <f t="shared" si="27"/>
        <v>0</v>
      </c>
      <c r="S40" s="72">
        <f t="shared" si="28"/>
        <v>0</v>
      </c>
      <c r="T40" s="72">
        <f t="shared" si="28"/>
        <v>0</v>
      </c>
      <c r="U40" s="72">
        <f t="shared" si="28"/>
        <v>0</v>
      </c>
      <c r="V40" s="32">
        <f t="shared" si="29"/>
        <v>0</v>
      </c>
    </row>
    <row r="41" spans="1:22">
      <c r="A41" s="3" t="s">
        <v>45</v>
      </c>
      <c r="C41" s="4" t="s">
        <v>90</v>
      </c>
      <c r="D41" s="68">
        <v>1</v>
      </c>
      <c r="E41" s="68"/>
      <c r="F41" s="68">
        <v>5</v>
      </c>
      <c r="G41" s="68">
        <v>15</v>
      </c>
      <c r="H41" s="106"/>
      <c r="I41" s="29">
        <f>IF(Questionnaire!$I$21&gt;0,(Questionnaire!$I$26+Questionnaire!$I$27+Questionnaire!$I$28)*E41/$D$41,0)</f>
        <v>0</v>
      </c>
      <c r="J41" s="29">
        <f>IF(Questionnaire!$I$21&gt;0,(Questionnaire!$I$26+Questionnaire!$I$27+Questionnaire!$I$28)*F41/$D$41,0)</f>
        <v>0</v>
      </c>
      <c r="K41" s="29">
        <f>IF(Questionnaire!$I$21&gt;0,(Questionnaire!$I$26+Questionnaire!$I$27+Questionnaire!$I$28)*G41/$D$41,0)</f>
        <v>0</v>
      </c>
      <c r="L41" s="29">
        <f t="shared" si="25"/>
        <v>0</v>
      </c>
      <c r="N41" s="26">
        <f t="shared" si="26"/>
        <v>0</v>
      </c>
      <c r="O41" s="26">
        <f t="shared" si="26"/>
        <v>0</v>
      </c>
      <c r="P41" s="26">
        <f t="shared" si="26"/>
        <v>0</v>
      </c>
      <c r="Q41" s="26">
        <f t="shared" si="27"/>
        <v>0</v>
      </c>
      <c r="S41" s="72">
        <f t="shared" si="28"/>
        <v>0</v>
      </c>
      <c r="T41" s="72">
        <f t="shared" si="28"/>
        <v>0</v>
      </c>
      <c r="U41" s="72">
        <f t="shared" si="28"/>
        <v>0</v>
      </c>
      <c r="V41" s="32">
        <f t="shared" si="29"/>
        <v>0</v>
      </c>
    </row>
    <row r="42" spans="1:22">
      <c r="A42" s="3" t="s">
        <v>371</v>
      </c>
      <c r="C42" s="4" t="s">
        <v>372</v>
      </c>
      <c r="D42" s="68">
        <v>1</v>
      </c>
      <c r="E42" s="68"/>
      <c r="F42" s="68"/>
      <c r="G42" s="68">
        <v>5</v>
      </c>
      <c r="H42" s="106"/>
      <c r="I42" s="29">
        <f>IF(Questionnaire!$H$29&gt;0,Questionnaire!$I$29*E42/$D$42,0)</f>
        <v>0</v>
      </c>
      <c r="J42" s="29">
        <f>IF(Questionnaire!$H$29&gt;0,Questionnaire!$I$29*F42/$D$42,0)</f>
        <v>0</v>
      </c>
      <c r="K42" s="29">
        <f>IF(Questionnaire!$H$29&gt;0,Questionnaire!$I$29*G42/$D$42,0)</f>
        <v>0</v>
      </c>
      <c r="L42" s="29">
        <f t="shared" si="25"/>
        <v>0</v>
      </c>
      <c r="N42" s="26">
        <f t="shared" ref="N42" si="30">I42/60</f>
        <v>0</v>
      </c>
      <c r="O42" s="26">
        <f t="shared" ref="O42" si="31">J42/60</f>
        <v>0</v>
      </c>
      <c r="P42" s="26">
        <f t="shared" ref="P42" si="32">K42/60</f>
        <v>0</v>
      </c>
      <c r="Q42" s="26">
        <f t="shared" ref="Q42" si="33">SUM(N42:P42)</f>
        <v>0</v>
      </c>
      <c r="S42" s="72">
        <f t="shared" ref="S42" si="34">ROUNDUP(N42,0)</f>
        <v>0</v>
      </c>
      <c r="T42" s="72">
        <f t="shared" ref="T42" si="35">ROUNDUP(O42,0)</f>
        <v>0</v>
      </c>
      <c r="U42" s="72">
        <f t="shared" ref="U42" si="36">ROUNDUP(P42,0)</f>
        <v>0</v>
      </c>
      <c r="V42" s="32">
        <f t="shared" ref="V42" si="37">SUM(S42:U42)</f>
        <v>0</v>
      </c>
    </row>
    <row r="43" spans="1:22">
      <c r="A43" s="3" t="s">
        <v>69</v>
      </c>
      <c r="B43" s="3" t="s">
        <v>70</v>
      </c>
      <c r="C43" s="4" t="s">
        <v>46</v>
      </c>
      <c r="D43" s="68">
        <v>1</v>
      </c>
      <c r="E43" s="68">
        <v>15</v>
      </c>
      <c r="F43" s="68">
        <v>60</v>
      </c>
      <c r="G43" s="68"/>
      <c r="H43" s="106"/>
      <c r="I43" s="29">
        <f>IF(Questionnaire!$I$22&gt;0,Questionnaire!$I$22*E43/$D$43,0)</f>
        <v>0</v>
      </c>
      <c r="J43" s="29">
        <f>IF(Questionnaire!$I$22&gt;0,Questionnaire!$I$22*F43/$D$43,0)</f>
        <v>0</v>
      </c>
      <c r="K43" s="29">
        <f>IF(Questionnaire!$I$22&gt;0,Questionnaire!$I$22*G43/$D$43,0)</f>
        <v>0</v>
      </c>
      <c r="L43" s="29">
        <f t="shared" si="25"/>
        <v>0</v>
      </c>
      <c r="N43" s="26">
        <f t="shared" si="26"/>
        <v>0</v>
      </c>
      <c r="O43" s="26">
        <f t="shared" si="26"/>
        <v>0</v>
      </c>
      <c r="P43" s="26">
        <f t="shared" si="26"/>
        <v>0</v>
      </c>
      <c r="Q43" s="26">
        <f t="shared" si="27"/>
        <v>0</v>
      </c>
      <c r="S43" s="72">
        <f t="shared" si="28"/>
        <v>0</v>
      </c>
      <c r="T43" s="72">
        <f t="shared" si="28"/>
        <v>0</v>
      </c>
      <c r="U43" s="72">
        <f t="shared" si="28"/>
        <v>0</v>
      </c>
      <c r="V43" s="32">
        <f t="shared" si="29"/>
        <v>0</v>
      </c>
    </row>
    <row r="46" spans="1:22" s="41" customFormat="1">
      <c r="A46" s="41" t="s">
        <v>5</v>
      </c>
      <c r="B46" s="41" t="s">
        <v>14</v>
      </c>
      <c r="C46" s="42" t="s">
        <v>20</v>
      </c>
      <c r="D46" s="42" t="s">
        <v>134</v>
      </c>
      <c r="E46" s="42" t="s">
        <v>11</v>
      </c>
      <c r="F46" s="42" t="s">
        <v>12</v>
      </c>
      <c r="G46" s="42" t="s">
        <v>13</v>
      </c>
      <c r="H46" s="104" t="s">
        <v>411</v>
      </c>
      <c r="I46" s="48"/>
      <c r="J46" s="48"/>
      <c r="K46" s="48"/>
      <c r="L46" s="48"/>
      <c r="M46" s="45"/>
      <c r="N46" s="49"/>
      <c r="O46" s="49"/>
      <c r="P46" s="49"/>
      <c r="Q46" s="49"/>
      <c r="R46" s="45"/>
      <c r="S46" s="50"/>
      <c r="T46" s="50"/>
      <c r="U46" s="50"/>
      <c r="V46" s="50"/>
    </row>
    <row r="47" spans="1:22">
      <c r="A47" s="3" t="s">
        <v>15</v>
      </c>
      <c r="C47" s="4" t="s">
        <v>21</v>
      </c>
      <c r="D47" s="68">
        <v>1</v>
      </c>
      <c r="E47" s="68">
        <v>60</v>
      </c>
      <c r="F47" s="68">
        <v>60</v>
      </c>
      <c r="G47" s="68"/>
      <c r="H47" s="106"/>
      <c r="I47" s="29">
        <f>IF(Questionnaire!$I$32&gt;0,E47/$D$47,0)</f>
        <v>0</v>
      </c>
      <c r="J47" s="29">
        <f>IF(Questionnaire!$I$32&gt;0,F47/$D$47,0)</f>
        <v>0</v>
      </c>
      <c r="K47" s="29">
        <f>IF(Questionnaire!$I$32&gt;0,G47/$D$47,0)</f>
        <v>0</v>
      </c>
      <c r="L47" s="29">
        <f>SUM(I47:K47)</f>
        <v>0</v>
      </c>
      <c r="N47" s="26">
        <f t="shared" ref="N47:P49" si="38">I47/60</f>
        <v>0</v>
      </c>
      <c r="O47" s="26">
        <f t="shared" si="38"/>
        <v>0</v>
      </c>
      <c r="P47" s="26">
        <f t="shared" si="38"/>
        <v>0</v>
      </c>
      <c r="Q47" s="26">
        <f>SUM(N47:P47)</f>
        <v>0</v>
      </c>
      <c r="S47" s="72">
        <f t="shared" ref="S47:U49" si="39">ROUNDUP(N47,0)</f>
        <v>0</v>
      </c>
      <c r="T47" s="72">
        <f t="shared" si="39"/>
        <v>0</v>
      </c>
      <c r="U47" s="72">
        <f t="shared" si="39"/>
        <v>0</v>
      </c>
      <c r="V47" s="32">
        <f>SUM(S47:U47)</f>
        <v>0</v>
      </c>
    </row>
    <row r="48" spans="1:22">
      <c r="A48" s="3" t="s">
        <v>43</v>
      </c>
      <c r="C48" s="4" t="s">
        <v>85</v>
      </c>
      <c r="D48" s="68">
        <v>1</v>
      </c>
      <c r="E48" s="68"/>
      <c r="F48" s="68">
        <v>5</v>
      </c>
      <c r="G48" s="68">
        <v>15</v>
      </c>
      <c r="H48" s="106"/>
      <c r="I48" s="29">
        <f>IF(Questionnaire!$I$32&gt;0,Questionnaire!$I$32*E48/$D$48,0)</f>
        <v>0</v>
      </c>
      <c r="J48" s="29">
        <f>IF(Questionnaire!$I$32&gt;0,Questionnaire!$I$32*F48/$D$48,0)</f>
        <v>0</v>
      </c>
      <c r="K48" s="29">
        <f>IF(Questionnaire!$I$32&gt;0,Questionnaire!$I$32*G48/$D$48,0)</f>
        <v>0</v>
      </c>
      <c r="L48" s="29">
        <f>SUM(I48:K48)</f>
        <v>0</v>
      </c>
      <c r="N48" s="26">
        <f t="shared" si="38"/>
        <v>0</v>
      </c>
      <c r="O48" s="26">
        <f t="shared" si="38"/>
        <v>0</v>
      </c>
      <c r="P48" s="26">
        <f t="shared" si="38"/>
        <v>0</v>
      </c>
      <c r="Q48" s="26">
        <f>SUM(N48:P48)</f>
        <v>0</v>
      </c>
      <c r="S48" s="72">
        <f t="shared" si="39"/>
        <v>0</v>
      </c>
      <c r="T48" s="72">
        <f t="shared" si="39"/>
        <v>0</v>
      </c>
      <c r="U48" s="72">
        <f t="shared" si="39"/>
        <v>0</v>
      </c>
      <c r="V48" s="32">
        <f>SUM(S48:U48)</f>
        <v>0</v>
      </c>
    </row>
    <row r="49" spans="1:22">
      <c r="A49" s="3" t="s">
        <v>44</v>
      </c>
      <c r="C49" s="4" t="s">
        <v>91</v>
      </c>
      <c r="D49" s="68">
        <v>1</v>
      </c>
      <c r="E49" s="68"/>
      <c r="F49" s="68">
        <v>5</v>
      </c>
      <c r="G49" s="68">
        <v>10</v>
      </c>
      <c r="H49" s="106"/>
      <c r="I49" s="29">
        <f>IF(Questionnaire!$I$33&gt;0,Questionnaire!$I$33*E49/$D$49,0)</f>
        <v>0</v>
      </c>
      <c r="J49" s="29">
        <f>IF(Questionnaire!$I$33&gt;0,Questionnaire!$I$33*F49/$D$49,0)</f>
        <v>0</v>
      </c>
      <c r="K49" s="29">
        <f>IF(Questionnaire!$I$33&gt;0,Questionnaire!$I$33*G49/$D$49,0)</f>
        <v>0</v>
      </c>
      <c r="L49" s="29">
        <f>SUM(I49:K49)</f>
        <v>0</v>
      </c>
      <c r="N49" s="26">
        <f t="shared" si="38"/>
        <v>0</v>
      </c>
      <c r="O49" s="26">
        <f t="shared" si="38"/>
        <v>0</v>
      </c>
      <c r="P49" s="26">
        <f t="shared" si="38"/>
        <v>0</v>
      </c>
      <c r="Q49" s="26">
        <f>SUM(N49:P49)</f>
        <v>0</v>
      </c>
      <c r="S49" s="72">
        <f t="shared" si="39"/>
        <v>0</v>
      </c>
      <c r="T49" s="72">
        <f t="shared" si="39"/>
        <v>0</v>
      </c>
      <c r="U49" s="72">
        <f t="shared" si="39"/>
        <v>0</v>
      </c>
      <c r="V49" s="32">
        <f>SUM(S49:U49)</f>
        <v>0</v>
      </c>
    </row>
    <row r="52" spans="1:22" s="41" customFormat="1">
      <c r="A52" s="41" t="s">
        <v>6</v>
      </c>
      <c r="B52" s="41" t="s">
        <v>14</v>
      </c>
      <c r="C52" s="42" t="s">
        <v>20</v>
      </c>
      <c r="D52" s="42" t="s">
        <v>134</v>
      </c>
      <c r="E52" s="42" t="s">
        <v>11</v>
      </c>
      <c r="F52" s="42" t="s">
        <v>12</v>
      </c>
      <c r="G52" s="42" t="s">
        <v>13</v>
      </c>
      <c r="H52" s="104" t="s">
        <v>411</v>
      </c>
      <c r="I52" s="48"/>
      <c r="J52" s="48"/>
      <c r="K52" s="48"/>
      <c r="L52" s="48"/>
      <c r="M52" s="45"/>
      <c r="N52" s="49"/>
      <c r="O52" s="49"/>
      <c r="P52" s="49"/>
      <c r="Q52" s="49"/>
      <c r="R52" s="45"/>
      <c r="S52" s="50"/>
      <c r="T52" s="50"/>
      <c r="U52" s="50"/>
      <c r="V52" s="50"/>
    </row>
    <row r="53" spans="1:22">
      <c r="A53" s="3" t="s">
        <v>15</v>
      </c>
      <c r="C53" s="4" t="s">
        <v>21</v>
      </c>
      <c r="D53" s="68">
        <v>1</v>
      </c>
      <c r="E53" s="68"/>
      <c r="F53" s="68">
        <v>15</v>
      </c>
      <c r="G53" s="68"/>
      <c r="H53" s="106"/>
      <c r="I53" s="29">
        <f>IF(Questionnaire!$I$36&gt;0,E53/$D$53,0)</f>
        <v>0</v>
      </c>
      <c r="J53" s="29">
        <f>IF(Questionnaire!$I$36&gt;0,F53/$D$53,0)</f>
        <v>0</v>
      </c>
      <c r="K53" s="29">
        <f>IF(Questionnaire!$I$36&gt;0,G53/$D$53,0)</f>
        <v>0</v>
      </c>
      <c r="L53" s="29">
        <f>SUM(I53:K53)</f>
        <v>0</v>
      </c>
      <c r="N53" s="26">
        <f t="shared" ref="N53:P55" si="40">I53/60</f>
        <v>0</v>
      </c>
      <c r="O53" s="26">
        <f t="shared" si="40"/>
        <v>0</v>
      </c>
      <c r="P53" s="26">
        <f t="shared" si="40"/>
        <v>0</v>
      </c>
      <c r="Q53" s="26">
        <f>SUM(N53:P53)</f>
        <v>0</v>
      </c>
      <c r="S53" s="72">
        <f t="shared" ref="S53:U55" si="41">ROUNDUP(N53,0)</f>
        <v>0</v>
      </c>
      <c r="T53" s="72">
        <f t="shared" si="41"/>
        <v>0</v>
      </c>
      <c r="U53" s="72">
        <f t="shared" si="41"/>
        <v>0</v>
      </c>
      <c r="V53" s="32">
        <f>SUM(S53:U53)</f>
        <v>0</v>
      </c>
    </row>
    <row r="54" spans="1:22">
      <c r="A54" s="3" t="s">
        <v>6</v>
      </c>
      <c r="C54" s="4" t="s">
        <v>92</v>
      </c>
      <c r="D54" s="68">
        <v>1</v>
      </c>
      <c r="E54" s="68"/>
      <c r="F54" s="68">
        <v>5</v>
      </c>
      <c r="G54" s="68">
        <v>15</v>
      </c>
      <c r="H54" s="106"/>
      <c r="I54" s="29">
        <f>IF(Questionnaire!$I$36&gt;0,Questionnaire!$I$36*E54/$D$54,0)</f>
        <v>0</v>
      </c>
      <c r="J54" s="29">
        <f>IF(Questionnaire!$I$36&gt;0,Questionnaire!$I$36*F54/$D$54,0)</f>
        <v>0</v>
      </c>
      <c r="K54" s="29">
        <f>IF(Questionnaire!$I$36&gt;0,Questionnaire!$I$36*G54/$D$54,0)</f>
        <v>0</v>
      </c>
      <c r="L54" s="29">
        <f>SUM(I54:K54)</f>
        <v>0</v>
      </c>
      <c r="N54" s="26">
        <f t="shared" si="40"/>
        <v>0</v>
      </c>
      <c r="O54" s="26">
        <f t="shared" si="40"/>
        <v>0</v>
      </c>
      <c r="P54" s="26">
        <f t="shared" si="40"/>
        <v>0</v>
      </c>
      <c r="Q54" s="26">
        <f>SUM(N54:P54)</f>
        <v>0</v>
      </c>
      <c r="S54" s="72">
        <f t="shared" si="41"/>
        <v>0</v>
      </c>
      <c r="T54" s="72">
        <f t="shared" si="41"/>
        <v>0</v>
      </c>
      <c r="U54" s="72">
        <f t="shared" si="41"/>
        <v>0</v>
      </c>
      <c r="V54" s="32">
        <f>SUM(S54:U54)</f>
        <v>0</v>
      </c>
    </row>
    <row r="55" spans="1:22">
      <c r="A55" s="3" t="s">
        <v>42</v>
      </c>
      <c r="C55" s="4" t="s">
        <v>93</v>
      </c>
      <c r="D55" s="68">
        <v>1</v>
      </c>
      <c r="E55" s="68"/>
      <c r="F55" s="68">
        <v>5</v>
      </c>
      <c r="G55" s="68">
        <v>10</v>
      </c>
      <c r="H55" s="106"/>
      <c r="I55" s="29">
        <f>IF(Questionnaire!$I$37+Questionnaire!$I$38&gt;0,(Questionnaire!$I$37*E55/$D$55)+(Questionnaire!$I$38*E55/$D$55*3),0)</f>
        <v>0</v>
      </c>
      <c r="J55" s="29">
        <f>IF(Questionnaire!$I$37+Questionnaire!$I$38&gt;0,(Questionnaire!$I$37*F55/$D$55)+(Questionnaire!$I$38*F55/$D$55*3),0)</f>
        <v>0</v>
      </c>
      <c r="K55" s="29">
        <f>IF(Questionnaire!$I$37+Questionnaire!$I$38&gt;0,(Questionnaire!$I$37*G55/$D$55)+(Questionnaire!$I$38*G55/$D$55*3),0)</f>
        <v>0</v>
      </c>
      <c r="L55" s="29">
        <f>SUM(I55:K55)</f>
        <v>0</v>
      </c>
      <c r="N55" s="26">
        <f t="shared" si="40"/>
        <v>0</v>
      </c>
      <c r="O55" s="26">
        <f t="shared" si="40"/>
        <v>0</v>
      </c>
      <c r="P55" s="26">
        <f t="shared" si="40"/>
        <v>0</v>
      </c>
      <c r="Q55" s="26">
        <f>SUM(N55:P55)</f>
        <v>0</v>
      </c>
      <c r="S55" s="72">
        <f t="shared" si="41"/>
        <v>0</v>
      </c>
      <c r="T55" s="72">
        <f t="shared" si="41"/>
        <v>0</v>
      </c>
      <c r="U55" s="72">
        <f t="shared" si="41"/>
        <v>0</v>
      </c>
      <c r="V55" s="32">
        <f>SUM(S55:U55)</f>
        <v>0</v>
      </c>
    </row>
    <row r="56" spans="1:22">
      <c r="D56" s="84"/>
      <c r="E56" s="84"/>
      <c r="F56" s="84"/>
      <c r="G56" s="84"/>
      <c r="S56" s="72"/>
      <c r="T56" s="72"/>
      <c r="U56" s="72"/>
    </row>
    <row r="58" spans="1:22" s="41" customFormat="1">
      <c r="A58" s="41" t="s">
        <v>7</v>
      </c>
      <c r="B58" s="41" t="s">
        <v>14</v>
      </c>
      <c r="C58" s="42" t="s">
        <v>20</v>
      </c>
      <c r="D58" s="42" t="s">
        <v>134</v>
      </c>
      <c r="E58" s="42" t="s">
        <v>11</v>
      </c>
      <c r="F58" s="42" t="s">
        <v>12</v>
      </c>
      <c r="G58" s="42" t="s">
        <v>13</v>
      </c>
      <c r="H58" s="104" t="s">
        <v>411</v>
      </c>
      <c r="I58" s="48"/>
      <c r="J58" s="48"/>
      <c r="K58" s="48"/>
      <c r="L58" s="48"/>
      <c r="M58" s="45"/>
      <c r="N58" s="49"/>
      <c r="O58" s="49"/>
      <c r="P58" s="49"/>
      <c r="Q58" s="49"/>
      <c r="R58" s="45"/>
      <c r="S58" s="50"/>
      <c r="T58" s="50"/>
      <c r="U58" s="50"/>
      <c r="V58" s="50"/>
    </row>
    <row r="59" spans="1:22">
      <c r="A59" s="3" t="s">
        <v>15</v>
      </c>
      <c r="B59" s="3" t="s">
        <v>273</v>
      </c>
      <c r="C59" s="4" t="s">
        <v>21</v>
      </c>
      <c r="D59" s="68">
        <v>1</v>
      </c>
      <c r="E59" s="68">
        <v>60</v>
      </c>
      <c r="F59" s="68">
        <v>60</v>
      </c>
      <c r="G59" s="68">
        <v>60</v>
      </c>
      <c r="H59" s="106"/>
      <c r="I59" s="29">
        <f>E59/$D$59</f>
        <v>60</v>
      </c>
      <c r="J59" s="29">
        <f>F59/$D$59</f>
        <v>60</v>
      </c>
      <c r="K59" s="29">
        <f>G59/$D$59</f>
        <v>60</v>
      </c>
      <c r="L59" s="29">
        <f t="shared" ref="L59:L68" si="42">SUM(I59:K59)</f>
        <v>180</v>
      </c>
      <c r="N59" s="26">
        <f t="shared" ref="N59:P64" si="43">I59/60</f>
        <v>1</v>
      </c>
      <c r="O59" s="26">
        <f t="shared" si="43"/>
        <v>1</v>
      </c>
      <c r="P59" s="26">
        <f t="shared" si="43"/>
        <v>1</v>
      </c>
      <c r="Q59" s="26">
        <f t="shared" ref="Q59:Q64" si="44">SUM(N59:P59)</f>
        <v>3</v>
      </c>
      <c r="S59" s="72">
        <f t="shared" ref="S59:U64" si="45">ROUNDUP(N59,0)</f>
        <v>1</v>
      </c>
      <c r="T59" s="72">
        <f t="shared" si="45"/>
        <v>1</v>
      </c>
      <c r="U59" s="72">
        <f t="shared" si="45"/>
        <v>1</v>
      </c>
      <c r="V59" s="32">
        <f t="shared" ref="V59:V64" si="46">SUM(S59:U59)</f>
        <v>3</v>
      </c>
    </row>
    <row r="60" spans="1:22">
      <c r="A60" s="3" t="s">
        <v>49</v>
      </c>
      <c r="C60" s="4" t="s">
        <v>94</v>
      </c>
      <c r="D60" s="68">
        <v>1</v>
      </c>
      <c r="E60" s="68"/>
      <c r="F60" s="68">
        <v>5</v>
      </c>
      <c r="G60" s="68">
        <v>5</v>
      </c>
      <c r="H60" s="106"/>
      <c r="I60" s="29">
        <f>IF(Questionnaire!$I$41&gt;0,Questionnaire!$I$41*E60/$D$60,0)</f>
        <v>0</v>
      </c>
      <c r="J60" s="29">
        <f>IF(Questionnaire!$I$41&gt;0,Questionnaire!$I$41*F60/$D$60,0)</f>
        <v>0</v>
      </c>
      <c r="K60" s="29">
        <f>IF(Questionnaire!$I$41&gt;0,Questionnaire!$I$41*G60/$D$60,0)</f>
        <v>0</v>
      </c>
      <c r="L60" s="29">
        <f t="shared" si="42"/>
        <v>0</v>
      </c>
      <c r="N60" s="26">
        <f t="shared" si="43"/>
        <v>0</v>
      </c>
      <c r="O60" s="26">
        <f t="shared" si="43"/>
        <v>0</v>
      </c>
      <c r="P60" s="26">
        <f t="shared" si="43"/>
        <v>0</v>
      </c>
      <c r="Q60" s="26">
        <f t="shared" si="44"/>
        <v>0</v>
      </c>
      <c r="S60" s="72">
        <f t="shared" si="45"/>
        <v>0</v>
      </c>
      <c r="T60" s="72">
        <f t="shared" si="45"/>
        <v>0</v>
      </c>
      <c r="U60" s="72">
        <f t="shared" si="45"/>
        <v>0</v>
      </c>
      <c r="V60" s="32">
        <f t="shared" si="46"/>
        <v>0</v>
      </c>
    </row>
    <row r="61" spans="1:22">
      <c r="A61" s="3" t="s">
        <v>51</v>
      </c>
      <c r="C61" s="4" t="s">
        <v>52</v>
      </c>
      <c r="D61" s="68">
        <v>1</v>
      </c>
      <c r="E61" s="68"/>
      <c r="F61" s="68"/>
      <c r="G61" s="68">
        <v>2</v>
      </c>
      <c r="H61" s="106"/>
      <c r="I61" s="29">
        <f>IF(Questionnaire!$I$42&gt;0,Questionnaire!$I$42*E61/$D$61,0)</f>
        <v>0</v>
      </c>
      <c r="J61" s="29">
        <f>IF(Questionnaire!$I$42&gt;0,Questionnaire!$I$42*F61/$D$61,0)</f>
        <v>0</v>
      </c>
      <c r="K61" s="29">
        <f>IF(Questionnaire!$I$42&gt;0,Questionnaire!$I$42*G61/$D$61,0)</f>
        <v>0</v>
      </c>
      <c r="L61" s="29">
        <f t="shared" si="42"/>
        <v>0</v>
      </c>
      <c r="N61" s="26">
        <f t="shared" si="43"/>
        <v>0</v>
      </c>
      <c r="O61" s="26">
        <f t="shared" si="43"/>
        <v>0</v>
      </c>
      <c r="P61" s="26">
        <f t="shared" si="43"/>
        <v>0</v>
      </c>
      <c r="Q61" s="26">
        <f t="shared" si="44"/>
        <v>0</v>
      </c>
      <c r="S61" s="72">
        <f t="shared" si="45"/>
        <v>0</v>
      </c>
      <c r="T61" s="72">
        <f t="shared" si="45"/>
        <v>0</v>
      </c>
      <c r="U61" s="72">
        <f t="shared" si="45"/>
        <v>0</v>
      </c>
      <c r="V61" s="32">
        <f t="shared" si="46"/>
        <v>0</v>
      </c>
    </row>
    <row r="62" spans="1:22">
      <c r="A62" s="3" t="s">
        <v>50</v>
      </c>
      <c r="C62" s="4" t="s">
        <v>52</v>
      </c>
      <c r="D62" s="68">
        <v>1</v>
      </c>
      <c r="E62" s="68"/>
      <c r="F62" s="68"/>
      <c r="G62" s="68">
        <v>3</v>
      </c>
      <c r="H62" s="106"/>
      <c r="I62" s="29">
        <f>IF(Questionnaire!$I$43&gt;0,Questionnaire!$I$43*E62/$D$62,0)</f>
        <v>0</v>
      </c>
      <c r="J62" s="29">
        <f>IF(Questionnaire!$I$43&gt;0,Questionnaire!$I$43*F62/$D$62,0)</f>
        <v>0</v>
      </c>
      <c r="K62" s="29">
        <f>IF(Questionnaire!$I$43&gt;0,Questionnaire!$I$43*G62/$D$62,0)</f>
        <v>0</v>
      </c>
      <c r="L62" s="29">
        <f t="shared" si="42"/>
        <v>0</v>
      </c>
      <c r="N62" s="26">
        <f t="shared" si="43"/>
        <v>0</v>
      </c>
      <c r="O62" s="26">
        <f t="shared" si="43"/>
        <v>0</v>
      </c>
      <c r="P62" s="26">
        <f t="shared" si="43"/>
        <v>0</v>
      </c>
      <c r="Q62" s="26">
        <f t="shared" si="44"/>
        <v>0</v>
      </c>
      <c r="S62" s="72">
        <f t="shared" si="45"/>
        <v>0</v>
      </c>
      <c r="T62" s="72">
        <f t="shared" si="45"/>
        <v>0</v>
      </c>
      <c r="U62" s="72">
        <f t="shared" si="45"/>
        <v>0</v>
      </c>
      <c r="V62" s="32">
        <f t="shared" si="46"/>
        <v>0</v>
      </c>
    </row>
    <row r="63" spans="1:22">
      <c r="A63" s="3" t="s">
        <v>53</v>
      </c>
      <c r="C63" s="4" t="s">
        <v>90</v>
      </c>
      <c r="D63" s="68">
        <v>1</v>
      </c>
      <c r="E63" s="68"/>
      <c r="F63" s="68">
        <v>10</v>
      </c>
      <c r="G63" s="68">
        <v>20</v>
      </c>
      <c r="H63" s="106"/>
      <c r="I63" s="29">
        <f>IF(Questionnaire!$I$44&gt;0,Questionnaire!$I$44*E63/$D$63,0)</f>
        <v>0</v>
      </c>
      <c r="J63" s="29">
        <f>IF(Questionnaire!$I$44&gt;0,Questionnaire!$I$44*F63/$D$63,0)</f>
        <v>0</v>
      </c>
      <c r="K63" s="29">
        <f>IF(Questionnaire!$I$44&gt;0,Questionnaire!$I$44*G63/$D$63,0)</f>
        <v>0</v>
      </c>
      <c r="L63" s="29">
        <f t="shared" si="42"/>
        <v>0</v>
      </c>
      <c r="N63" s="26">
        <f t="shared" si="43"/>
        <v>0</v>
      </c>
      <c r="O63" s="26">
        <f t="shared" si="43"/>
        <v>0</v>
      </c>
      <c r="P63" s="26">
        <f t="shared" si="43"/>
        <v>0</v>
      </c>
      <c r="Q63" s="26">
        <f t="shared" si="44"/>
        <v>0</v>
      </c>
      <c r="S63" s="72">
        <f t="shared" si="45"/>
        <v>0</v>
      </c>
      <c r="T63" s="72">
        <f t="shared" si="45"/>
        <v>0</v>
      </c>
      <c r="U63" s="72">
        <f t="shared" si="45"/>
        <v>0</v>
      </c>
      <c r="V63" s="32">
        <f t="shared" si="46"/>
        <v>0</v>
      </c>
    </row>
    <row r="64" spans="1:22">
      <c r="A64" s="3" t="s">
        <v>167</v>
      </c>
      <c r="C64" s="4" t="s">
        <v>168</v>
      </c>
      <c r="D64" s="68">
        <v>1</v>
      </c>
      <c r="E64" s="68"/>
      <c r="F64" s="68"/>
      <c r="G64" s="68">
        <v>10</v>
      </c>
      <c r="H64" s="106"/>
      <c r="I64" s="29">
        <f>IF(Questionnaire!$I$45&gt;0,Questionnaire!$I$45*E64/$D$64,0)</f>
        <v>0</v>
      </c>
      <c r="J64" s="29">
        <f>IF(Questionnaire!$I$45&gt;0,Questionnaire!$I$45*F64/$D$64,0)</f>
        <v>0</v>
      </c>
      <c r="K64" s="29">
        <f>IF(Questionnaire!$I$45&gt;0,Questionnaire!$I$45*G64/$D$64,0)</f>
        <v>0</v>
      </c>
      <c r="L64" s="29">
        <f t="shared" si="42"/>
        <v>0</v>
      </c>
      <c r="N64" s="26">
        <f t="shared" si="43"/>
        <v>0</v>
      </c>
      <c r="O64" s="26">
        <f t="shared" si="43"/>
        <v>0</v>
      </c>
      <c r="P64" s="26">
        <f t="shared" si="43"/>
        <v>0</v>
      </c>
      <c r="Q64" s="26">
        <f t="shared" si="44"/>
        <v>0</v>
      </c>
      <c r="S64" s="72">
        <f t="shared" si="45"/>
        <v>0</v>
      </c>
      <c r="T64" s="72">
        <f t="shared" si="45"/>
        <v>0</v>
      </c>
      <c r="U64" s="72">
        <f t="shared" si="45"/>
        <v>0</v>
      </c>
      <c r="V64" s="32">
        <f t="shared" si="46"/>
        <v>0</v>
      </c>
    </row>
    <row r="65" spans="1:22">
      <c r="A65" s="3" t="s">
        <v>384</v>
      </c>
      <c r="C65" s="4" t="s">
        <v>386</v>
      </c>
      <c r="D65" s="68">
        <v>1</v>
      </c>
      <c r="E65" s="68"/>
      <c r="F65" s="68"/>
      <c r="G65" s="68">
        <v>15</v>
      </c>
      <c r="H65" s="106"/>
      <c r="I65" s="29">
        <f>IF(Questionnaire!$I$46&gt;0, Questionnaire!$I$46*Details!E65,0)</f>
        <v>0</v>
      </c>
      <c r="J65" s="29">
        <f>IF(Questionnaire!$I$46&gt;0, Questionnaire!$I$46*Details!F65,0)</f>
        <v>0</v>
      </c>
      <c r="K65" s="29">
        <f>IF(Questionnaire!$I$46&gt;0, Questionnaire!$I$46*Details!G65,0)</f>
        <v>0</v>
      </c>
      <c r="L65" s="29">
        <f t="shared" si="42"/>
        <v>0</v>
      </c>
      <c r="N65" s="26">
        <f t="shared" ref="N65" si="47">I65/60</f>
        <v>0</v>
      </c>
      <c r="O65" s="26">
        <f t="shared" ref="O65" si="48">J65/60</f>
        <v>0</v>
      </c>
      <c r="P65" s="26">
        <f t="shared" ref="P65" si="49">K65/60</f>
        <v>0</v>
      </c>
      <c r="Q65" s="26">
        <f t="shared" ref="Q65" si="50">SUM(N65:P65)</f>
        <v>0</v>
      </c>
      <c r="S65" s="72">
        <f t="shared" ref="S65" si="51">ROUNDUP(N65,0)</f>
        <v>0</v>
      </c>
      <c r="T65" s="72">
        <f t="shared" ref="T65" si="52">ROUNDUP(O65,0)</f>
        <v>0</v>
      </c>
      <c r="U65" s="72">
        <f t="shared" ref="U65" si="53">ROUNDUP(P65,0)</f>
        <v>0</v>
      </c>
      <c r="V65" s="32">
        <f t="shared" ref="V65" si="54">SUM(S65:U65)</f>
        <v>0</v>
      </c>
    </row>
    <row r="66" spans="1:22">
      <c r="A66" s="3" t="s">
        <v>390</v>
      </c>
      <c r="C66" s="4" t="s">
        <v>391</v>
      </c>
      <c r="D66" s="68">
        <v>1</v>
      </c>
      <c r="E66" s="68"/>
      <c r="F66" s="68"/>
      <c r="G66" s="68">
        <v>15</v>
      </c>
      <c r="H66" s="106"/>
      <c r="I66" s="29">
        <f>IF(Questionnaire!$I$47&gt;0,Questionnaire!$I$47*Details!E66/Details!$D$66,0)</f>
        <v>0</v>
      </c>
      <c r="J66" s="29">
        <f>IF(Questionnaire!$I$47&gt;0,Questionnaire!$I$47*Details!F66/Details!$D$66,0)</f>
        <v>0</v>
      </c>
      <c r="K66" s="29">
        <f>IF(Questionnaire!$I$47&gt;0,Questionnaire!$I$47*Details!G66/Details!$D$66,0)</f>
        <v>0</v>
      </c>
      <c r="L66" s="29">
        <f t="shared" si="42"/>
        <v>0</v>
      </c>
      <c r="N66" s="26">
        <f t="shared" ref="N66:N67" si="55">I66/60</f>
        <v>0</v>
      </c>
      <c r="O66" s="26">
        <f t="shared" ref="O66:O67" si="56">J66/60</f>
        <v>0</v>
      </c>
      <c r="P66" s="26">
        <f t="shared" ref="P66:P67" si="57">K66/60</f>
        <v>0</v>
      </c>
      <c r="Q66" s="26">
        <f t="shared" ref="Q66:Q67" si="58">SUM(N66:P66)</f>
        <v>0</v>
      </c>
      <c r="S66" s="72">
        <f t="shared" ref="S66:S67" si="59">ROUNDUP(N66,0)</f>
        <v>0</v>
      </c>
      <c r="T66" s="72">
        <f t="shared" ref="T66:T67" si="60">ROUNDUP(O66,0)</f>
        <v>0</v>
      </c>
      <c r="U66" s="72">
        <f t="shared" ref="U66:U67" si="61">ROUNDUP(P66,0)</f>
        <v>0</v>
      </c>
      <c r="V66" s="32">
        <f t="shared" ref="V66:V67" si="62">SUM(S66:U66)</f>
        <v>0</v>
      </c>
    </row>
    <row r="67" spans="1:22">
      <c r="A67" s="3" t="s">
        <v>394</v>
      </c>
      <c r="C67" s="4" t="s">
        <v>38</v>
      </c>
      <c r="D67" s="68">
        <v>1</v>
      </c>
      <c r="E67" s="68"/>
      <c r="F67" s="68"/>
      <c r="G67" s="68">
        <v>30</v>
      </c>
      <c r="H67" s="106"/>
      <c r="I67" s="29">
        <f>IF(Questionnaire!$I$47&gt;0,E67/Details!$D$67,0)</f>
        <v>0</v>
      </c>
      <c r="J67" s="29">
        <f>IF(Questionnaire!$I$47&gt;0,F67/Details!$D$67,0)</f>
        <v>0</v>
      </c>
      <c r="K67" s="29">
        <f>IF(Questionnaire!$I$47&gt;0,G67/Details!$D$67,0)</f>
        <v>0</v>
      </c>
      <c r="L67" s="29">
        <f t="shared" si="42"/>
        <v>0</v>
      </c>
      <c r="N67" s="26">
        <f t="shared" si="55"/>
        <v>0</v>
      </c>
      <c r="O67" s="26">
        <f t="shared" si="56"/>
        <v>0</v>
      </c>
      <c r="P67" s="26">
        <f t="shared" si="57"/>
        <v>0</v>
      </c>
      <c r="Q67" s="26">
        <f t="shared" si="58"/>
        <v>0</v>
      </c>
      <c r="S67" s="72">
        <f t="shared" si="59"/>
        <v>0</v>
      </c>
      <c r="T67" s="72">
        <f t="shared" si="60"/>
        <v>0</v>
      </c>
      <c r="U67" s="72">
        <f t="shared" si="61"/>
        <v>0</v>
      </c>
      <c r="V67" s="32">
        <f t="shared" si="62"/>
        <v>0</v>
      </c>
    </row>
    <row r="68" spans="1:22">
      <c r="A68" s="3" t="s">
        <v>432</v>
      </c>
      <c r="C68" s="4" t="s">
        <v>431</v>
      </c>
      <c r="D68" s="68">
        <v>1</v>
      </c>
      <c r="E68" s="68"/>
      <c r="F68" s="68"/>
      <c r="G68" s="68">
        <v>30</v>
      </c>
      <c r="H68" s="106"/>
      <c r="I68" s="29">
        <f>IF(Questionnaire!$I$48&gt;0,E68*Questionnaire!$I$48/$D$68,0)</f>
        <v>0</v>
      </c>
      <c r="J68" s="29">
        <f>IF(Questionnaire!$I$48&gt;0,F68*Questionnaire!$I$48/$D$68,0)</f>
        <v>0</v>
      </c>
      <c r="K68" s="29">
        <f>IF(Questionnaire!$I$48&gt;0,G68*Questionnaire!$I$48/$D$68,0)</f>
        <v>0</v>
      </c>
      <c r="L68" s="29">
        <f t="shared" si="42"/>
        <v>0</v>
      </c>
      <c r="N68" s="26">
        <f t="shared" ref="N68" si="63">I68/60</f>
        <v>0</v>
      </c>
      <c r="O68" s="26">
        <f t="shared" ref="O68" si="64">J68/60</f>
        <v>0</v>
      </c>
      <c r="P68" s="26">
        <f t="shared" ref="P68" si="65">K68/60</f>
        <v>0</v>
      </c>
      <c r="Q68" s="26">
        <f t="shared" ref="Q68" si="66">SUM(N68:P68)</f>
        <v>0</v>
      </c>
      <c r="S68" s="72">
        <f t="shared" ref="S68" si="67">ROUNDUP(N68,0)</f>
        <v>0</v>
      </c>
      <c r="T68" s="72">
        <f t="shared" ref="T68" si="68">ROUNDUP(O68,0)</f>
        <v>0</v>
      </c>
      <c r="U68" s="72">
        <f t="shared" ref="U68" si="69">ROUNDUP(P68,0)</f>
        <v>0</v>
      </c>
      <c r="V68" s="32">
        <f t="shared" ref="V68" si="70">SUM(S68:U68)</f>
        <v>0</v>
      </c>
    </row>
    <row r="69" spans="1:22">
      <c r="E69" s="71"/>
      <c r="F69" s="71"/>
      <c r="G69" s="71"/>
      <c r="S69" s="72"/>
      <c r="T69" s="72"/>
      <c r="U69" s="72"/>
    </row>
    <row r="70" spans="1:22">
      <c r="E70" s="71"/>
      <c r="F70" s="71"/>
      <c r="G70" s="71"/>
    </row>
    <row r="71" spans="1:22" s="41" customFormat="1">
      <c r="A71" s="41" t="s">
        <v>107</v>
      </c>
      <c r="B71" s="41" t="s">
        <v>14</v>
      </c>
      <c r="C71" s="42" t="s">
        <v>20</v>
      </c>
      <c r="D71" s="42" t="s">
        <v>134</v>
      </c>
      <c r="E71" s="42" t="s">
        <v>11</v>
      </c>
      <c r="F71" s="42" t="s">
        <v>12</v>
      </c>
      <c r="G71" s="42" t="s">
        <v>13</v>
      </c>
      <c r="H71" s="104" t="s">
        <v>411</v>
      </c>
      <c r="I71" s="48"/>
      <c r="J71" s="48"/>
      <c r="K71" s="48"/>
      <c r="L71" s="48"/>
      <c r="M71" s="45"/>
      <c r="N71" s="49"/>
      <c r="O71" s="49"/>
      <c r="P71" s="49"/>
      <c r="Q71" s="49"/>
      <c r="R71" s="45"/>
      <c r="S71" s="50"/>
      <c r="T71" s="50"/>
      <c r="U71" s="50"/>
      <c r="V71" s="50"/>
    </row>
    <row r="72" spans="1:22" s="7" customFormat="1">
      <c r="A72" s="7" t="s">
        <v>15</v>
      </c>
      <c r="C72" s="8" t="s">
        <v>84</v>
      </c>
      <c r="D72" s="8">
        <v>1</v>
      </c>
      <c r="E72" s="70">
        <v>60</v>
      </c>
      <c r="F72" s="70">
        <v>60</v>
      </c>
      <c r="G72" s="70">
        <v>60</v>
      </c>
      <c r="H72" s="101"/>
      <c r="I72" s="29">
        <f t="shared" ref="I72:K86" si="71">I165+I182</f>
        <v>0</v>
      </c>
      <c r="J72" s="29">
        <f t="shared" si="71"/>
        <v>0</v>
      </c>
      <c r="K72" s="29">
        <f t="shared" si="71"/>
        <v>0</v>
      </c>
      <c r="L72" s="29">
        <f t="shared" ref="L72:L86" si="72">SUM(I72:K72)</f>
        <v>0</v>
      </c>
      <c r="M72" s="1"/>
      <c r="N72" s="26">
        <f t="shared" ref="N72:P79" si="73">I72/60</f>
        <v>0</v>
      </c>
      <c r="O72" s="26">
        <f t="shared" si="73"/>
        <v>0</v>
      </c>
      <c r="P72" s="26">
        <f t="shared" si="73"/>
        <v>0</v>
      </c>
      <c r="Q72" s="26">
        <f t="shared" ref="Q72:Q86" si="74">SUM(N72:P72)</f>
        <v>0</v>
      </c>
      <c r="R72" s="1"/>
      <c r="S72" s="72">
        <f t="shared" ref="S72:S86" si="75">ROUNDUP(N72,0)</f>
        <v>0</v>
      </c>
      <c r="T72" s="72">
        <f t="shared" ref="T72:T86" si="76">ROUNDUP(O72,0)</f>
        <v>0</v>
      </c>
      <c r="U72" s="72">
        <f t="shared" ref="U72:U86" si="77">ROUNDUP(P72,0)</f>
        <v>0</v>
      </c>
      <c r="V72" s="32">
        <f t="shared" ref="V72:V86" si="78">SUM(S72:U72)</f>
        <v>0</v>
      </c>
    </row>
    <row r="73" spans="1:22">
      <c r="A73" s="3" t="s">
        <v>124</v>
      </c>
      <c r="B73" s="3" t="s">
        <v>109</v>
      </c>
      <c r="C73" s="4" t="s">
        <v>84</v>
      </c>
      <c r="D73" s="4">
        <v>1</v>
      </c>
      <c r="E73" s="71"/>
      <c r="F73" s="71">
        <v>60</v>
      </c>
      <c r="G73" s="71">
        <v>60</v>
      </c>
      <c r="I73" s="29">
        <f t="shared" si="71"/>
        <v>0</v>
      </c>
      <c r="J73" s="29">
        <f t="shared" si="71"/>
        <v>0</v>
      </c>
      <c r="K73" s="29">
        <f t="shared" si="71"/>
        <v>0</v>
      </c>
      <c r="L73" s="29">
        <f t="shared" si="72"/>
        <v>0</v>
      </c>
      <c r="N73" s="26">
        <f t="shared" si="73"/>
        <v>0</v>
      </c>
      <c r="O73" s="26">
        <f t="shared" si="73"/>
        <v>0</v>
      </c>
      <c r="P73" s="26">
        <f t="shared" si="73"/>
        <v>0</v>
      </c>
      <c r="Q73" s="26">
        <f t="shared" si="74"/>
        <v>0</v>
      </c>
      <c r="S73" s="72">
        <f t="shared" si="75"/>
        <v>0</v>
      </c>
      <c r="T73" s="72">
        <f t="shared" si="76"/>
        <v>0</v>
      </c>
      <c r="U73" s="72">
        <f t="shared" si="77"/>
        <v>0</v>
      </c>
      <c r="V73" s="32">
        <f t="shared" si="78"/>
        <v>0</v>
      </c>
    </row>
    <row r="74" spans="1:22">
      <c r="A74" s="3" t="s">
        <v>123</v>
      </c>
      <c r="B74" s="3" t="s">
        <v>125</v>
      </c>
      <c r="C74" s="4" t="s">
        <v>113</v>
      </c>
      <c r="D74" s="4">
        <v>1</v>
      </c>
      <c r="E74" s="71"/>
      <c r="F74" s="71"/>
      <c r="G74" s="71">
        <v>15</v>
      </c>
      <c r="I74" s="29">
        <f t="shared" si="71"/>
        <v>0</v>
      </c>
      <c r="J74" s="29">
        <f t="shared" si="71"/>
        <v>0</v>
      </c>
      <c r="K74" s="29">
        <f t="shared" si="71"/>
        <v>0</v>
      </c>
      <c r="L74" s="29">
        <f t="shared" si="72"/>
        <v>0</v>
      </c>
      <c r="N74" s="26">
        <f t="shared" si="73"/>
        <v>0</v>
      </c>
      <c r="O74" s="26">
        <f t="shared" si="73"/>
        <v>0</v>
      </c>
      <c r="P74" s="26">
        <f t="shared" si="73"/>
        <v>0</v>
      </c>
      <c r="Q74" s="26">
        <f t="shared" si="74"/>
        <v>0</v>
      </c>
      <c r="S74" s="72">
        <f t="shared" si="75"/>
        <v>0</v>
      </c>
      <c r="T74" s="72">
        <f t="shared" si="76"/>
        <v>0</v>
      </c>
      <c r="U74" s="72">
        <f t="shared" si="77"/>
        <v>0</v>
      </c>
      <c r="V74" s="32">
        <f t="shared" si="78"/>
        <v>0</v>
      </c>
    </row>
    <row r="75" spans="1:22">
      <c r="A75" s="3" t="s">
        <v>126</v>
      </c>
      <c r="B75" s="3" t="s">
        <v>125</v>
      </c>
      <c r="C75" s="4" t="s">
        <v>113</v>
      </c>
      <c r="D75" s="4">
        <v>1</v>
      </c>
      <c r="E75" s="71"/>
      <c r="F75" s="71"/>
      <c r="G75" s="71">
        <v>15</v>
      </c>
      <c r="I75" s="29">
        <f t="shared" si="71"/>
        <v>0</v>
      </c>
      <c r="J75" s="29">
        <f t="shared" si="71"/>
        <v>0</v>
      </c>
      <c r="K75" s="29">
        <f t="shared" si="71"/>
        <v>0</v>
      </c>
      <c r="L75" s="29">
        <f t="shared" si="72"/>
        <v>0</v>
      </c>
      <c r="N75" s="26">
        <f t="shared" si="73"/>
        <v>0</v>
      </c>
      <c r="O75" s="26">
        <f t="shared" si="73"/>
        <v>0</v>
      </c>
      <c r="P75" s="26">
        <f t="shared" si="73"/>
        <v>0</v>
      </c>
      <c r="Q75" s="26">
        <f t="shared" si="74"/>
        <v>0</v>
      </c>
      <c r="S75" s="72">
        <f t="shared" si="75"/>
        <v>0</v>
      </c>
      <c r="T75" s="72">
        <f t="shared" si="76"/>
        <v>0</v>
      </c>
      <c r="U75" s="72">
        <f t="shared" si="77"/>
        <v>0</v>
      </c>
      <c r="V75" s="32">
        <f t="shared" si="78"/>
        <v>0</v>
      </c>
    </row>
    <row r="76" spans="1:22">
      <c r="A76" s="3" t="s">
        <v>127</v>
      </c>
      <c r="B76" s="3" t="s">
        <v>125</v>
      </c>
      <c r="C76" s="4" t="s">
        <v>113</v>
      </c>
      <c r="D76" s="4">
        <v>1</v>
      </c>
      <c r="E76" s="71"/>
      <c r="F76" s="71"/>
      <c r="G76" s="71">
        <v>5</v>
      </c>
      <c r="I76" s="29">
        <f t="shared" si="71"/>
        <v>0</v>
      </c>
      <c r="J76" s="29">
        <f t="shared" si="71"/>
        <v>0</v>
      </c>
      <c r="K76" s="29">
        <f t="shared" si="71"/>
        <v>0</v>
      </c>
      <c r="L76" s="29">
        <f t="shared" si="72"/>
        <v>0</v>
      </c>
      <c r="N76" s="26">
        <f t="shared" si="73"/>
        <v>0</v>
      </c>
      <c r="O76" s="26">
        <f t="shared" si="73"/>
        <v>0</v>
      </c>
      <c r="P76" s="26">
        <f t="shared" si="73"/>
        <v>0</v>
      </c>
      <c r="Q76" s="26">
        <f t="shared" si="74"/>
        <v>0</v>
      </c>
      <c r="S76" s="72">
        <f t="shared" si="75"/>
        <v>0</v>
      </c>
      <c r="T76" s="72">
        <f t="shared" si="76"/>
        <v>0</v>
      </c>
      <c r="U76" s="72">
        <f t="shared" si="77"/>
        <v>0</v>
      </c>
      <c r="V76" s="32">
        <f t="shared" si="78"/>
        <v>0</v>
      </c>
    </row>
    <row r="77" spans="1:22">
      <c r="A77" s="3" t="s">
        <v>108</v>
      </c>
      <c r="C77" s="4" t="s">
        <v>110</v>
      </c>
      <c r="D77" s="4">
        <v>1</v>
      </c>
      <c r="E77" s="71"/>
      <c r="F77" s="71"/>
      <c r="G77" s="71">
        <v>5</v>
      </c>
      <c r="I77" s="29">
        <f t="shared" si="71"/>
        <v>0</v>
      </c>
      <c r="J77" s="29">
        <f t="shared" si="71"/>
        <v>0</v>
      </c>
      <c r="K77" s="29">
        <f t="shared" si="71"/>
        <v>0</v>
      </c>
      <c r="L77" s="29">
        <f t="shared" si="72"/>
        <v>0</v>
      </c>
      <c r="N77" s="26">
        <f t="shared" si="73"/>
        <v>0</v>
      </c>
      <c r="O77" s="26">
        <f t="shared" si="73"/>
        <v>0</v>
      </c>
      <c r="P77" s="26">
        <f t="shared" si="73"/>
        <v>0</v>
      </c>
      <c r="Q77" s="26">
        <f t="shared" si="74"/>
        <v>0</v>
      </c>
      <c r="S77" s="72">
        <f t="shared" si="75"/>
        <v>0</v>
      </c>
      <c r="T77" s="72">
        <f t="shared" si="76"/>
        <v>0</v>
      </c>
      <c r="U77" s="72">
        <f t="shared" si="77"/>
        <v>0</v>
      </c>
      <c r="V77" s="32">
        <f t="shared" si="78"/>
        <v>0</v>
      </c>
    </row>
    <row r="78" spans="1:22">
      <c r="A78" s="3" t="s">
        <v>364</v>
      </c>
      <c r="C78" s="4" t="s">
        <v>111</v>
      </c>
      <c r="D78" s="4">
        <v>1</v>
      </c>
      <c r="E78" s="71"/>
      <c r="F78" s="71"/>
      <c r="G78" s="71">
        <v>30</v>
      </c>
      <c r="I78" s="29">
        <f t="shared" si="71"/>
        <v>0</v>
      </c>
      <c r="J78" s="29">
        <f t="shared" si="71"/>
        <v>0</v>
      </c>
      <c r="K78" s="29">
        <f t="shared" si="71"/>
        <v>0</v>
      </c>
      <c r="L78" s="29">
        <f t="shared" si="72"/>
        <v>0</v>
      </c>
      <c r="N78" s="26">
        <f t="shared" si="73"/>
        <v>0</v>
      </c>
      <c r="O78" s="26">
        <f t="shared" si="73"/>
        <v>0</v>
      </c>
      <c r="P78" s="26">
        <f t="shared" si="73"/>
        <v>0</v>
      </c>
      <c r="Q78" s="26">
        <f t="shared" si="74"/>
        <v>0</v>
      </c>
      <c r="S78" s="72">
        <f t="shared" si="75"/>
        <v>0</v>
      </c>
      <c r="T78" s="72">
        <f t="shared" si="76"/>
        <v>0</v>
      </c>
      <c r="U78" s="72">
        <f t="shared" si="77"/>
        <v>0</v>
      </c>
      <c r="V78" s="32">
        <f t="shared" si="78"/>
        <v>0</v>
      </c>
    </row>
    <row r="79" spans="1:22">
      <c r="A79" s="3" t="s">
        <v>112</v>
      </c>
      <c r="C79" s="4" t="s">
        <v>113</v>
      </c>
      <c r="D79" s="4">
        <v>1</v>
      </c>
      <c r="E79" s="71"/>
      <c r="F79" s="71"/>
      <c r="G79" s="71">
        <v>30</v>
      </c>
      <c r="I79" s="29">
        <f t="shared" si="71"/>
        <v>0</v>
      </c>
      <c r="J79" s="29">
        <f t="shared" si="71"/>
        <v>0</v>
      </c>
      <c r="K79" s="29">
        <f t="shared" si="71"/>
        <v>0</v>
      </c>
      <c r="L79" s="29">
        <f t="shared" si="72"/>
        <v>0</v>
      </c>
      <c r="N79" s="26">
        <f t="shared" si="73"/>
        <v>0</v>
      </c>
      <c r="O79" s="26">
        <f t="shared" si="73"/>
        <v>0</v>
      </c>
      <c r="P79" s="26">
        <f t="shared" si="73"/>
        <v>0</v>
      </c>
      <c r="Q79" s="26">
        <f t="shared" si="74"/>
        <v>0</v>
      </c>
      <c r="S79" s="72">
        <f t="shared" si="75"/>
        <v>0</v>
      </c>
      <c r="T79" s="72">
        <f t="shared" si="76"/>
        <v>0</v>
      </c>
      <c r="U79" s="72">
        <f t="shared" si="77"/>
        <v>0</v>
      </c>
      <c r="V79" s="32">
        <f t="shared" si="78"/>
        <v>0</v>
      </c>
    </row>
    <row r="80" spans="1:22">
      <c r="A80" s="3" t="s">
        <v>300</v>
      </c>
      <c r="B80" s="3" t="s">
        <v>301</v>
      </c>
      <c r="C80" s="4" t="s">
        <v>113</v>
      </c>
      <c r="D80" s="4">
        <v>1</v>
      </c>
      <c r="E80" s="71"/>
      <c r="F80" s="71"/>
      <c r="G80" s="71">
        <v>30</v>
      </c>
      <c r="I80" s="29">
        <f t="shared" si="71"/>
        <v>0</v>
      </c>
      <c r="J80" s="29">
        <f t="shared" si="71"/>
        <v>0</v>
      </c>
      <c r="K80" s="29">
        <f t="shared" si="71"/>
        <v>0</v>
      </c>
      <c r="L80" s="29">
        <f t="shared" si="72"/>
        <v>0</v>
      </c>
      <c r="Q80" s="26">
        <f t="shared" si="74"/>
        <v>0</v>
      </c>
      <c r="S80" s="72">
        <f t="shared" si="75"/>
        <v>0</v>
      </c>
      <c r="T80" s="72">
        <f t="shared" si="76"/>
        <v>0</v>
      </c>
      <c r="U80" s="72">
        <f t="shared" si="77"/>
        <v>0</v>
      </c>
      <c r="V80" s="32">
        <f t="shared" si="78"/>
        <v>0</v>
      </c>
    </row>
    <row r="81" spans="1:22">
      <c r="A81" s="3" t="s">
        <v>114</v>
      </c>
      <c r="B81" s="3" t="s">
        <v>116</v>
      </c>
      <c r="C81" s="4" t="s">
        <v>115</v>
      </c>
      <c r="D81" s="4">
        <v>1</v>
      </c>
      <c r="E81" s="71"/>
      <c r="F81" s="71"/>
      <c r="G81" s="71">
        <v>15</v>
      </c>
      <c r="I81" s="29">
        <f t="shared" si="71"/>
        <v>0</v>
      </c>
      <c r="J81" s="29">
        <f t="shared" si="71"/>
        <v>0</v>
      </c>
      <c r="K81" s="29">
        <f t="shared" si="71"/>
        <v>0</v>
      </c>
      <c r="L81" s="29">
        <f t="shared" si="72"/>
        <v>0</v>
      </c>
      <c r="N81" s="26">
        <f t="shared" ref="N81:P86" si="79">I81/60</f>
        <v>0</v>
      </c>
      <c r="O81" s="26">
        <f t="shared" si="79"/>
        <v>0</v>
      </c>
      <c r="P81" s="26">
        <f t="shared" si="79"/>
        <v>0</v>
      </c>
      <c r="Q81" s="26">
        <f t="shared" si="74"/>
        <v>0</v>
      </c>
      <c r="S81" s="72">
        <f t="shared" si="75"/>
        <v>0</v>
      </c>
      <c r="T81" s="72">
        <f t="shared" si="76"/>
        <v>0</v>
      </c>
      <c r="U81" s="72">
        <f t="shared" si="77"/>
        <v>0</v>
      </c>
      <c r="V81" s="32">
        <f t="shared" si="78"/>
        <v>0</v>
      </c>
    </row>
    <row r="82" spans="1:22">
      <c r="A82" s="3" t="s">
        <v>117</v>
      </c>
      <c r="C82" s="4" t="s">
        <v>68</v>
      </c>
      <c r="D82" s="4">
        <v>1</v>
      </c>
      <c r="E82" s="71"/>
      <c r="F82" s="71">
        <v>15</v>
      </c>
      <c r="G82" s="71">
        <v>60</v>
      </c>
      <c r="I82" s="29">
        <f t="shared" si="71"/>
        <v>0</v>
      </c>
      <c r="J82" s="29">
        <f t="shared" si="71"/>
        <v>0</v>
      </c>
      <c r="K82" s="29">
        <f t="shared" si="71"/>
        <v>0</v>
      </c>
      <c r="L82" s="29">
        <f t="shared" si="72"/>
        <v>0</v>
      </c>
      <c r="N82" s="26">
        <f t="shared" si="79"/>
        <v>0</v>
      </c>
      <c r="O82" s="26">
        <f t="shared" si="79"/>
        <v>0</v>
      </c>
      <c r="P82" s="26">
        <f t="shared" si="79"/>
        <v>0</v>
      </c>
      <c r="Q82" s="26">
        <f t="shared" si="74"/>
        <v>0</v>
      </c>
      <c r="S82" s="72">
        <f t="shared" si="75"/>
        <v>0</v>
      </c>
      <c r="T82" s="72">
        <f t="shared" si="76"/>
        <v>0</v>
      </c>
      <c r="U82" s="72">
        <f t="shared" si="77"/>
        <v>0</v>
      </c>
      <c r="V82" s="32">
        <f t="shared" si="78"/>
        <v>0</v>
      </c>
    </row>
    <row r="83" spans="1:22">
      <c r="A83" s="3" t="s">
        <v>118</v>
      </c>
      <c r="C83" s="4" t="s">
        <v>68</v>
      </c>
      <c r="D83" s="4">
        <v>1</v>
      </c>
      <c r="E83" s="71"/>
      <c r="F83" s="71">
        <v>15</v>
      </c>
      <c r="G83" s="71">
        <v>60</v>
      </c>
      <c r="I83" s="29">
        <f t="shared" si="71"/>
        <v>0</v>
      </c>
      <c r="J83" s="29">
        <f t="shared" si="71"/>
        <v>0</v>
      </c>
      <c r="K83" s="29">
        <f t="shared" si="71"/>
        <v>0</v>
      </c>
      <c r="L83" s="29">
        <f t="shared" si="72"/>
        <v>0</v>
      </c>
      <c r="N83" s="26">
        <f t="shared" si="79"/>
        <v>0</v>
      </c>
      <c r="O83" s="26">
        <f t="shared" si="79"/>
        <v>0</v>
      </c>
      <c r="P83" s="26">
        <f t="shared" si="79"/>
        <v>0</v>
      </c>
      <c r="Q83" s="26">
        <f t="shared" si="74"/>
        <v>0</v>
      </c>
      <c r="S83" s="72">
        <f t="shared" si="75"/>
        <v>0</v>
      </c>
      <c r="T83" s="72">
        <f t="shared" si="76"/>
        <v>0</v>
      </c>
      <c r="U83" s="72">
        <f t="shared" si="77"/>
        <v>0</v>
      </c>
      <c r="V83" s="32">
        <f t="shared" si="78"/>
        <v>0</v>
      </c>
    </row>
    <row r="84" spans="1:22">
      <c r="A84" s="3" t="s">
        <v>119</v>
      </c>
      <c r="C84" s="4" t="s">
        <v>121</v>
      </c>
      <c r="D84" s="4">
        <v>1</v>
      </c>
      <c r="E84" s="71"/>
      <c r="F84" s="71"/>
      <c r="G84" s="71">
        <v>60</v>
      </c>
      <c r="I84" s="29">
        <f t="shared" si="71"/>
        <v>0</v>
      </c>
      <c r="J84" s="29">
        <f t="shared" si="71"/>
        <v>0</v>
      </c>
      <c r="K84" s="29">
        <f t="shared" si="71"/>
        <v>0</v>
      </c>
      <c r="L84" s="29">
        <f t="shared" si="72"/>
        <v>0</v>
      </c>
      <c r="N84" s="26">
        <f t="shared" si="79"/>
        <v>0</v>
      </c>
      <c r="O84" s="26">
        <f t="shared" si="79"/>
        <v>0</v>
      </c>
      <c r="P84" s="26">
        <f t="shared" si="79"/>
        <v>0</v>
      </c>
      <c r="Q84" s="26">
        <f t="shared" si="74"/>
        <v>0</v>
      </c>
      <c r="S84" s="72">
        <f t="shared" si="75"/>
        <v>0</v>
      </c>
      <c r="T84" s="72">
        <f t="shared" si="76"/>
        <v>0</v>
      </c>
      <c r="U84" s="72">
        <f t="shared" si="77"/>
        <v>0</v>
      </c>
      <c r="V84" s="32">
        <f t="shared" si="78"/>
        <v>0</v>
      </c>
    </row>
    <row r="85" spans="1:22">
      <c r="A85" s="3" t="s">
        <v>120</v>
      </c>
      <c r="C85" s="4" t="s">
        <v>121</v>
      </c>
      <c r="D85" s="4">
        <v>1</v>
      </c>
      <c r="E85" s="71"/>
      <c r="F85" s="71"/>
      <c r="G85" s="71">
        <v>60</v>
      </c>
      <c r="I85" s="29">
        <f t="shared" si="71"/>
        <v>0</v>
      </c>
      <c r="J85" s="29">
        <f t="shared" si="71"/>
        <v>0</v>
      </c>
      <c r="K85" s="29">
        <f t="shared" si="71"/>
        <v>0</v>
      </c>
      <c r="L85" s="29">
        <f t="shared" si="72"/>
        <v>0</v>
      </c>
      <c r="N85" s="26">
        <f t="shared" si="79"/>
        <v>0</v>
      </c>
      <c r="O85" s="26">
        <f t="shared" si="79"/>
        <v>0</v>
      </c>
      <c r="P85" s="26">
        <f t="shared" si="79"/>
        <v>0</v>
      </c>
      <c r="Q85" s="26">
        <f t="shared" si="74"/>
        <v>0</v>
      </c>
      <c r="S85" s="72">
        <f t="shared" si="75"/>
        <v>0</v>
      </c>
      <c r="T85" s="72">
        <f t="shared" si="76"/>
        <v>0</v>
      </c>
      <c r="U85" s="72">
        <f t="shared" si="77"/>
        <v>0</v>
      </c>
      <c r="V85" s="32">
        <f t="shared" si="78"/>
        <v>0</v>
      </c>
    </row>
    <row r="86" spans="1:22">
      <c r="A86" s="3" t="s">
        <v>122</v>
      </c>
      <c r="C86" s="4" t="s">
        <v>111</v>
      </c>
      <c r="D86" s="4">
        <v>1</v>
      </c>
      <c r="E86" s="71"/>
      <c r="F86" s="71"/>
      <c r="G86" s="71">
        <v>30</v>
      </c>
      <c r="I86" s="29">
        <f t="shared" si="71"/>
        <v>0</v>
      </c>
      <c r="J86" s="29">
        <f t="shared" si="71"/>
        <v>0</v>
      </c>
      <c r="K86" s="29">
        <f t="shared" si="71"/>
        <v>0</v>
      </c>
      <c r="L86" s="29">
        <f t="shared" si="72"/>
        <v>0</v>
      </c>
      <c r="N86" s="26">
        <f t="shared" si="79"/>
        <v>0</v>
      </c>
      <c r="O86" s="26">
        <f t="shared" si="79"/>
        <v>0</v>
      </c>
      <c r="P86" s="26">
        <f t="shared" si="79"/>
        <v>0</v>
      </c>
      <c r="Q86" s="26">
        <f t="shared" si="74"/>
        <v>0</v>
      </c>
      <c r="S86" s="72">
        <f t="shared" si="75"/>
        <v>0</v>
      </c>
      <c r="T86" s="72">
        <f t="shared" si="76"/>
        <v>0</v>
      </c>
      <c r="U86" s="72">
        <f t="shared" si="77"/>
        <v>0</v>
      </c>
      <c r="V86" s="32">
        <f t="shared" si="78"/>
        <v>0</v>
      </c>
    </row>
    <row r="89" spans="1:22" s="41" customFormat="1">
      <c r="A89" s="41" t="s">
        <v>128</v>
      </c>
      <c r="B89" s="41" t="s">
        <v>14</v>
      </c>
      <c r="C89" s="42" t="s">
        <v>20</v>
      </c>
      <c r="D89" s="42" t="s">
        <v>134</v>
      </c>
      <c r="E89" s="42" t="s">
        <v>11</v>
      </c>
      <c r="F89" s="42" t="s">
        <v>12</v>
      </c>
      <c r="G89" s="42" t="s">
        <v>13</v>
      </c>
      <c r="H89" s="104" t="s">
        <v>411</v>
      </c>
      <c r="I89" s="48"/>
      <c r="J89" s="48"/>
      <c r="K89" s="48"/>
      <c r="L89" s="48"/>
      <c r="M89" s="45"/>
      <c r="N89" s="49"/>
      <c r="O89" s="49"/>
      <c r="P89" s="49"/>
      <c r="Q89" s="49"/>
      <c r="R89" s="45"/>
      <c r="S89" s="50"/>
      <c r="T89" s="50"/>
      <c r="U89" s="50"/>
      <c r="V89" s="50"/>
    </row>
    <row r="90" spans="1:22">
      <c r="A90" s="3" t="s">
        <v>129</v>
      </c>
      <c r="C90" s="4" t="s">
        <v>68</v>
      </c>
      <c r="D90" s="68">
        <v>1</v>
      </c>
      <c r="E90" s="68"/>
      <c r="F90" s="68"/>
      <c r="G90" s="68">
        <v>240</v>
      </c>
      <c r="H90" s="106"/>
      <c r="I90" s="29">
        <f>IF(Questionnaire!$I$83,E90/$D$90,0)</f>
        <v>0</v>
      </c>
      <c r="J90" s="29">
        <f>IF(Questionnaire!$I$83,F90/$D$90,0)</f>
        <v>0</v>
      </c>
      <c r="K90" s="29">
        <f>IF(Questionnaire!$I$83,G90/$D$90,0)</f>
        <v>0</v>
      </c>
      <c r="L90" s="29">
        <f>SUM(I90:K90)</f>
        <v>0</v>
      </c>
      <c r="N90" s="26">
        <f t="shared" ref="N90:P92" si="80">I90/60</f>
        <v>0</v>
      </c>
      <c r="O90" s="26">
        <f t="shared" si="80"/>
        <v>0</v>
      </c>
      <c r="P90" s="26">
        <f t="shared" si="80"/>
        <v>0</v>
      </c>
      <c r="Q90" s="26">
        <f>SUM(N90:P90)</f>
        <v>0</v>
      </c>
      <c r="S90" s="72">
        <f t="shared" ref="S90:U92" si="81">ROUNDUP(N90,0)</f>
        <v>0</v>
      </c>
      <c r="T90" s="72">
        <f t="shared" si="81"/>
        <v>0</v>
      </c>
      <c r="U90" s="72">
        <f t="shared" si="81"/>
        <v>0</v>
      </c>
      <c r="V90" s="32">
        <f>SUM(S90:U90)</f>
        <v>0</v>
      </c>
    </row>
    <row r="91" spans="1:22">
      <c r="A91" s="3" t="s">
        <v>130</v>
      </c>
      <c r="C91" s="4" t="s">
        <v>68</v>
      </c>
      <c r="D91" s="68">
        <v>1</v>
      </c>
      <c r="E91" s="68"/>
      <c r="F91" s="68"/>
      <c r="G91" s="68">
        <v>120</v>
      </c>
      <c r="H91" s="106"/>
      <c r="I91" s="29">
        <f>IF(Questionnaire!$I$84,E91/$D$91,0)</f>
        <v>0</v>
      </c>
      <c r="J91" s="29">
        <f>IF(Questionnaire!$I$84,F91/$D$91,0)</f>
        <v>0</v>
      </c>
      <c r="K91" s="29">
        <f>IF(Questionnaire!$I$84,G91/$D$91,0)</f>
        <v>0</v>
      </c>
      <c r="L91" s="29">
        <f>SUM(I91:K91)</f>
        <v>0</v>
      </c>
      <c r="N91" s="26">
        <f t="shared" si="80"/>
        <v>0</v>
      </c>
      <c r="O91" s="26">
        <f t="shared" si="80"/>
        <v>0</v>
      </c>
      <c r="P91" s="26">
        <f t="shared" si="80"/>
        <v>0</v>
      </c>
      <c r="Q91" s="26">
        <f>SUM(N91:P91)</f>
        <v>0</v>
      </c>
      <c r="S91" s="72">
        <f t="shared" si="81"/>
        <v>0</v>
      </c>
      <c r="T91" s="72">
        <f t="shared" si="81"/>
        <v>0</v>
      </c>
      <c r="U91" s="72">
        <f t="shared" si="81"/>
        <v>0</v>
      </c>
      <c r="V91" s="32">
        <f>SUM(S91:U91)</f>
        <v>0</v>
      </c>
    </row>
    <row r="92" spans="1:22">
      <c r="A92" s="3" t="s">
        <v>131</v>
      </c>
      <c r="B92" s="3" t="s">
        <v>132</v>
      </c>
      <c r="C92" s="4" t="s">
        <v>133</v>
      </c>
      <c r="D92" s="68">
        <v>1</v>
      </c>
      <c r="E92" s="68"/>
      <c r="F92" s="68"/>
      <c r="G92" s="68">
        <v>15</v>
      </c>
      <c r="H92" s="106"/>
      <c r="I92" s="29">
        <f>IF(Questionnaire!$I$85&gt;0,Questionnaire!$I$85*E92/$D$92,0)</f>
        <v>0</v>
      </c>
      <c r="J92" s="29">
        <f>IF(Questionnaire!$I$85&gt;0,Questionnaire!$I$85*F92/$D$92,0)</f>
        <v>0</v>
      </c>
      <c r="K92" s="29">
        <f>IF(Questionnaire!$I$85&gt;0,Questionnaire!$I$85*G92/$D$92,0)</f>
        <v>0</v>
      </c>
      <c r="L92" s="29">
        <f>SUM(I92:K92)</f>
        <v>0</v>
      </c>
      <c r="N92" s="26">
        <f t="shared" si="80"/>
        <v>0</v>
      </c>
      <c r="O92" s="26">
        <f t="shared" si="80"/>
        <v>0</v>
      </c>
      <c r="P92" s="26">
        <f t="shared" si="80"/>
        <v>0</v>
      </c>
      <c r="Q92" s="26">
        <f>SUM(N92:P92)</f>
        <v>0</v>
      </c>
      <c r="S92" s="72">
        <f t="shared" si="81"/>
        <v>0</v>
      </c>
      <c r="T92" s="72">
        <f t="shared" si="81"/>
        <v>0</v>
      </c>
      <c r="U92" s="72">
        <f t="shared" si="81"/>
        <v>0</v>
      </c>
      <c r="V92" s="32">
        <f>SUM(S92:U92)</f>
        <v>0</v>
      </c>
    </row>
    <row r="95" spans="1:22" s="41" customFormat="1">
      <c r="A95" s="41" t="s">
        <v>379</v>
      </c>
      <c r="B95" s="41" t="s">
        <v>14</v>
      </c>
      <c r="C95" s="42" t="s">
        <v>20</v>
      </c>
      <c r="D95" s="42" t="s">
        <v>134</v>
      </c>
      <c r="E95" s="42" t="s">
        <v>11</v>
      </c>
      <c r="F95" s="42" t="s">
        <v>12</v>
      </c>
      <c r="G95" s="42" t="s">
        <v>13</v>
      </c>
      <c r="H95" s="104" t="s">
        <v>411</v>
      </c>
      <c r="I95" s="48"/>
      <c r="J95" s="48"/>
      <c r="K95" s="48"/>
      <c r="L95" s="48"/>
      <c r="M95" s="45"/>
      <c r="N95" s="49"/>
      <c r="O95" s="49"/>
      <c r="P95" s="49"/>
      <c r="Q95" s="49"/>
      <c r="R95" s="45"/>
      <c r="S95" s="50"/>
      <c r="T95" s="50"/>
      <c r="U95" s="50"/>
      <c r="V95" s="50"/>
    </row>
    <row r="96" spans="1:22">
      <c r="A96" s="3" t="s">
        <v>15</v>
      </c>
      <c r="C96" s="4" t="s">
        <v>38</v>
      </c>
      <c r="D96" s="68">
        <v>1</v>
      </c>
      <c r="E96" s="68">
        <v>60</v>
      </c>
      <c r="F96" s="68">
        <v>60</v>
      </c>
      <c r="G96" s="68">
        <v>60</v>
      </c>
      <c r="H96" s="106"/>
      <c r="I96" s="29">
        <f>IF(Questionnaire!$I$90+Questionnaire!$I$91&gt;0,E96/$D$96,0)</f>
        <v>0</v>
      </c>
      <c r="J96" s="29">
        <f>IF(Questionnaire!$I$90+Questionnaire!$I$91&gt;0,F96/$D$96,0)</f>
        <v>0</v>
      </c>
      <c r="K96" s="29">
        <f>IF(Questionnaire!$I$90+Questionnaire!$I$91&gt;0,G96/$D$96,0)</f>
        <v>0</v>
      </c>
      <c r="L96" s="29">
        <f t="shared" ref="L96:L101" si="82">SUM(I96:K96)</f>
        <v>0</v>
      </c>
      <c r="N96" s="26">
        <f t="shared" ref="N96:P101" si="83">I96/60</f>
        <v>0</v>
      </c>
      <c r="O96" s="26">
        <f t="shared" si="83"/>
        <v>0</v>
      </c>
      <c r="P96" s="26">
        <f t="shared" si="83"/>
        <v>0</v>
      </c>
      <c r="Q96" s="26">
        <f t="shared" ref="Q96:Q101" si="84">SUM(N96:P96)</f>
        <v>0</v>
      </c>
      <c r="S96" s="72">
        <f t="shared" ref="S96:U101" si="85">ROUNDUP(N96,0)</f>
        <v>0</v>
      </c>
      <c r="T96" s="72">
        <f t="shared" si="85"/>
        <v>0</v>
      </c>
      <c r="U96" s="72">
        <f t="shared" si="85"/>
        <v>0</v>
      </c>
      <c r="V96" s="32">
        <f t="shared" ref="V96:V101" si="86">SUM(S96:U96)</f>
        <v>0</v>
      </c>
    </row>
    <row r="97" spans="1:22">
      <c r="A97" s="3" t="s">
        <v>54</v>
      </c>
      <c r="B97" s="3" t="s">
        <v>58</v>
      </c>
      <c r="C97" s="4" t="s">
        <v>68</v>
      </c>
      <c r="D97" s="68">
        <v>1</v>
      </c>
      <c r="E97" s="68"/>
      <c r="F97" s="68"/>
      <c r="G97" s="68">
        <v>60</v>
      </c>
      <c r="H97" s="106"/>
      <c r="I97" s="29">
        <f>IF(Questionnaire!$I$88,E97/$D$97,0)</f>
        <v>0</v>
      </c>
      <c r="J97" s="29">
        <f>IF(Questionnaire!$I$88,F97/$D$97,0)</f>
        <v>0</v>
      </c>
      <c r="K97" s="29">
        <f>IF(Questionnaire!$I$88,G97/$D$97,0)</f>
        <v>0</v>
      </c>
      <c r="L97" s="29">
        <f t="shared" si="82"/>
        <v>0</v>
      </c>
      <c r="N97" s="26">
        <f t="shared" si="83"/>
        <v>0</v>
      </c>
      <c r="O97" s="26">
        <f t="shared" si="83"/>
        <v>0</v>
      </c>
      <c r="P97" s="26">
        <f t="shared" si="83"/>
        <v>0</v>
      </c>
      <c r="Q97" s="26">
        <f t="shared" si="84"/>
        <v>0</v>
      </c>
      <c r="S97" s="72">
        <f t="shared" si="85"/>
        <v>0</v>
      </c>
      <c r="T97" s="72">
        <f t="shared" si="85"/>
        <v>0</v>
      </c>
      <c r="U97" s="72">
        <f t="shared" si="85"/>
        <v>0</v>
      </c>
      <c r="V97" s="32">
        <f t="shared" si="86"/>
        <v>0</v>
      </c>
    </row>
    <row r="98" spans="1:22">
      <c r="A98" s="3" t="s">
        <v>278</v>
      </c>
      <c r="B98" s="3" t="s">
        <v>58</v>
      </c>
      <c r="C98" s="4" t="s">
        <v>85</v>
      </c>
      <c r="D98" s="68">
        <v>1</v>
      </c>
      <c r="E98" s="68"/>
      <c r="F98" s="68"/>
      <c r="G98" s="68">
        <v>60</v>
      </c>
      <c r="H98" s="106"/>
      <c r="I98" s="29">
        <f>IF(Questionnaire!$I$89&gt;0,Questionnaire!$I$89*E98/$D$98,0)</f>
        <v>0</v>
      </c>
      <c r="J98" s="29">
        <f>IF(Questionnaire!$I$89&gt;0,Questionnaire!$I$89*F98/$D$98,0)</f>
        <v>0</v>
      </c>
      <c r="K98" s="29">
        <f>IF(Questionnaire!$I$89&gt;0,Questionnaire!$I$89*G98/$D$98,0)</f>
        <v>0</v>
      </c>
      <c r="L98" s="29">
        <f t="shared" si="82"/>
        <v>0</v>
      </c>
      <c r="N98" s="26">
        <f t="shared" si="83"/>
        <v>0</v>
      </c>
      <c r="O98" s="26">
        <f t="shared" si="83"/>
        <v>0</v>
      </c>
      <c r="P98" s="26">
        <f t="shared" si="83"/>
        <v>0</v>
      </c>
      <c r="Q98" s="26">
        <f t="shared" si="84"/>
        <v>0</v>
      </c>
      <c r="S98" s="72">
        <f t="shared" si="85"/>
        <v>0</v>
      </c>
      <c r="T98" s="72">
        <f t="shared" si="85"/>
        <v>0</v>
      </c>
      <c r="U98" s="72">
        <f t="shared" si="85"/>
        <v>0</v>
      </c>
      <c r="V98" s="32">
        <f t="shared" si="86"/>
        <v>0</v>
      </c>
    </row>
    <row r="99" spans="1:22">
      <c r="A99" s="3" t="s">
        <v>56</v>
      </c>
      <c r="B99" s="3" t="s">
        <v>57</v>
      </c>
      <c r="C99" s="4" t="s">
        <v>95</v>
      </c>
      <c r="D99" s="68">
        <v>1</v>
      </c>
      <c r="E99" s="68"/>
      <c r="F99" s="68"/>
      <c r="G99" s="68">
        <v>15</v>
      </c>
      <c r="H99" s="106"/>
      <c r="I99" s="29">
        <f>IF(Questionnaire!$I$90&gt;0,Questionnaire!$I$90*E99/$D$99,0)</f>
        <v>0</v>
      </c>
      <c r="J99" s="29">
        <f>IF(Questionnaire!$I$90&gt;0,Questionnaire!$I$90*F99/$D$99,0)</f>
        <v>0</v>
      </c>
      <c r="K99" s="29">
        <f>IF(Questionnaire!$I$90&gt;0,Questionnaire!$I$90*G99/$D$99,0)</f>
        <v>0</v>
      </c>
      <c r="L99" s="29">
        <f t="shared" si="82"/>
        <v>0</v>
      </c>
      <c r="N99" s="26">
        <f t="shared" si="83"/>
        <v>0</v>
      </c>
      <c r="O99" s="26">
        <f t="shared" si="83"/>
        <v>0</v>
      </c>
      <c r="P99" s="26">
        <f t="shared" si="83"/>
        <v>0</v>
      </c>
      <c r="Q99" s="26">
        <f t="shared" si="84"/>
        <v>0</v>
      </c>
      <c r="S99" s="72">
        <f t="shared" si="85"/>
        <v>0</v>
      </c>
      <c r="T99" s="72">
        <f t="shared" si="85"/>
        <v>0</v>
      </c>
      <c r="U99" s="72">
        <f t="shared" si="85"/>
        <v>0</v>
      </c>
      <c r="V99" s="32">
        <f t="shared" si="86"/>
        <v>0</v>
      </c>
    </row>
    <row r="100" spans="1:22">
      <c r="A100" s="3" t="s">
        <v>59</v>
      </c>
      <c r="B100" s="3" t="s">
        <v>60</v>
      </c>
      <c r="C100" s="4" t="s">
        <v>95</v>
      </c>
      <c r="D100" s="68">
        <v>1</v>
      </c>
      <c r="E100" s="68"/>
      <c r="F100" s="68">
        <v>15</v>
      </c>
      <c r="G100" s="68">
        <v>30</v>
      </c>
      <c r="H100" s="106"/>
      <c r="I100" s="29">
        <f>IF(Questionnaire!$I$91&gt;0,Questionnaire!$I$91*E100/$D$100,0)</f>
        <v>0</v>
      </c>
      <c r="J100" s="29">
        <f>IF(Questionnaire!$I$91&gt;0,Questionnaire!$I$91*F100/$D$100,0)</f>
        <v>0</v>
      </c>
      <c r="K100" s="29">
        <f>IF(Questionnaire!$I$91&gt;0,Questionnaire!$I$91*G100/$D$100,0)</f>
        <v>0</v>
      </c>
      <c r="L100" s="29">
        <f t="shared" si="82"/>
        <v>0</v>
      </c>
      <c r="N100" s="26">
        <f t="shared" si="83"/>
        <v>0</v>
      </c>
      <c r="O100" s="26">
        <f t="shared" si="83"/>
        <v>0</v>
      </c>
      <c r="P100" s="26">
        <f t="shared" si="83"/>
        <v>0</v>
      </c>
      <c r="Q100" s="26">
        <f t="shared" si="84"/>
        <v>0</v>
      </c>
      <c r="S100" s="72">
        <f t="shared" si="85"/>
        <v>0</v>
      </c>
      <c r="T100" s="72">
        <f t="shared" si="85"/>
        <v>0</v>
      </c>
      <c r="U100" s="72">
        <f t="shared" si="85"/>
        <v>0</v>
      </c>
      <c r="V100" s="32">
        <f t="shared" si="86"/>
        <v>0</v>
      </c>
    </row>
    <row r="101" spans="1:22">
      <c r="A101" s="3" t="s">
        <v>55</v>
      </c>
      <c r="B101" s="3" t="s">
        <v>66</v>
      </c>
      <c r="C101" s="4" t="s">
        <v>84</v>
      </c>
      <c r="D101" s="68">
        <v>1</v>
      </c>
      <c r="E101" s="68"/>
      <c r="F101" s="68"/>
      <c r="G101" s="68">
        <v>15</v>
      </c>
      <c r="H101" s="106"/>
      <c r="I101" s="29">
        <f>IF(Questionnaire!$I$92&gt;0,Questionnaire!$I$92*E101/$D$101,0)</f>
        <v>0</v>
      </c>
      <c r="J101" s="29">
        <f>IF(Questionnaire!$I$92&gt;0,Questionnaire!$I$92*F101/$D$101,0)</f>
        <v>0</v>
      </c>
      <c r="K101" s="29">
        <f>IF(Questionnaire!$I$92&gt;0,Questionnaire!$I$92*G101/$D$101,0)</f>
        <v>0</v>
      </c>
      <c r="L101" s="29">
        <f t="shared" si="82"/>
        <v>0</v>
      </c>
      <c r="N101" s="26">
        <f t="shared" si="83"/>
        <v>0</v>
      </c>
      <c r="O101" s="26">
        <f t="shared" si="83"/>
        <v>0</v>
      </c>
      <c r="P101" s="26">
        <f t="shared" si="83"/>
        <v>0</v>
      </c>
      <c r="Q101" s="26">
        <f t="shared" si="84"/>
        <v>0</v>
      </c>
      <c r="S101" s="72">
        <f t="shared" si="85"/>
        <v>0</v>
      </c>
      <c r="T101" s="72">
        <f t="shared" si="85"/>
        <v>0</v>
      </c>
      <c r="U101" s="72">
        <f t="shared" si="85"/>
        <v>0</v>
      </c>
      <c r="V101" s="32">
        <f t="shared" si="86"/>
        <v>0</v>
      </c>
    </row>
    <row r="104" spans="1:22" s="41" customFormat="1">
      <c r="A104" s="41" t="s">
        <v>61</v>
      </c>
      <c r="B104" s="41" t="s">
        <v>14</v>
      </c>
      <c r="C104" s="42" t="s">
        <v>20</v>
      </c>
      <c r="D104" s="42" t="s">
        <v>134</v>
      </c>
      <c r="E104" s="42" t="s">
        <v>11</v>
      </c>
      <c r="F104" s="42" t="s">
        <v>12</v>
      </c>
      <c r="G104" s="42" t="s">
        <v>13</v>
      </c>
      <c r="H104" s="104" t="s">
        <v>411</v>
      </c>
      <c r="I104" s="48"/>
      <c r="J104" s="48"/>
      <c r="K104" s="48"/>
      <c r="L104" s="48"/>
      <c r="M104" s="45"/>
      <c r="N104" s="49"/>
      <c r="O104" s="49"/>
      <c r="P104" s="49"/>
      <c r="Q104" s="49"/>
      <c r="R104" s="45"/>
      <c r="S104" s="50"/>
      <c r="T104" s="50"/>
      <c r="U104" s="50"/>
      <c r="V104" s="50"/>
    </row>
    <row r="105" spans="1:22">
      <c r="A105" s="3" t="s">
        <v>72</v>
      </c>
      <c r="C105" s="4" t="s">
        <v>38</v>
      </c>
      <c r="D105" s="68">
        <v>1</v>
      </c>
      <c r="E105" s="68">
        <v>240</v>
      </c>
      <c r="F105" s="68">
        <v>240</v>
      </c>
      <c r="G105" s="68">
        <v>240</v>
      </c>
      <c r="H105" s="106"/>
      <c r="I105" s="29">
        <f>IF(Questionnaire!$I$95&gt;0,E105/$D$105,0)</f>
        <v>0</v>
      </c>
      <c r="J105" s="29">
        <f>IF(Questionnaire!$I$95&gt;0,F105/$D$105,0)</f>
        <v>0</v>
      </c>
      <c r="K105" s="29">
        <f>IF(Questionnaire!$I$95&gt;0,G105/$D$105,0)</f>
        <v>0</v>
      </c>
      <c r="L105" s="29">
        <f t="shared" ref="L105:L110" si="87">SUM(I105:K105)</f>
        <v>0</v>
      </c>
      <c r="N105" s="26">
        <f t="shared" ref="N105:P110" si="88">I105/60</f>
        <v>0</v>
      </c>
      <c r="O105" s="26">
        <f t="shared" si="88"/>
        <v>0</v>
      </c>
      <c r="P105" s="26">
        <f t="shared" si="88"/>
        <v>0</v>
      </c>
      <c r="Q105" s="26">
        <f t="shared" ref="Q105:Q110" si="89">SUM(N105:P105)</f>
        <v>0</v>
      </c>
      <c r="S105" s="72">
        <f t="shared" ref="S105:U110" si="90">ROUNDUP(N105,0)</f>
        <v>0</v>
      </c>
      <c r="T105" s="72">
        <f t="shared" si="90"/>
        <v>0</v>
      </c>
      <c r="U105" s="72">
        <f t="shared" si="90"/>
        <v>0</v>
      </c>
      <c r="V105" s="32">
        <f t="shared" ref="V105:V110" si="91">SUM(S105:U105)</f>
        <v>0</v>
      </c>
    </row>
    <row r="106" spans="1:22">
      <c r="A106" s="3" t="s">
        <v>63</v>
      </c>
      <c r="C106" s="4" t="s">
        <v>90</v>
      </c>
      <c r="D106" s="68">
        <v>1</v>
      </c>
      <c r="E106" s="68"/>
      <c r="F106" s="68">
        <v>15</v>
      </c>
      <c r="G106" s="68">
        <v>15</v>
      </c>
      <c r="H106" s="106"/>
      <c r="I106" s="29">
        <f>IF(Questionnaire!$I$95&gt;0,Questionnaire!$I$95*E106/$D$106,0)</f>
        <v>0</v>
      </c>
      <c r="J106" s="29">
        <f>IF(Questionnaire!$I$95&gt;0,Questionnaire!$I$95*F106/$D$106,0)</f>
        <v>0</v>
      </c>
      <c r="K106" s="29">
        <f>IF(Questionnaire!$I$95&gt;0,Questionnaire!$I$95*G106/$D$106,0)</f>
        <v>0</v>
      </c>
      <c r="L106" s="29">
        <f t="shared" si="87"/>
        <v>0</v>
      </c>
      <c r="N106" s="26">
        <f t="shared" si="88"/>
        <v>0</v>
      </c>
      <c r="O106" s="26">
        <f t="shared" si="88"/>
        <v>0</v>
      </c>
      <c r="P106" s="26">
        <f t="shared" si="88"/>
        <v>0</v>
      </c>
      <c r="Q106" s="26">
        <f t="shared" si="89"/>
        <v>0</v>
      </c>
      <c r="S106" s="72">
        <f t="shared" si="90"/>
        <v>0</v>
      </c>
      <c r="T106" s="72">
        <f t="shared" si="90"/>
        <v>0</v>
      </c>
      <c r="U106" s="72">
        <f t="shared" si="90"/>
        <v>0</v>
      </c>
      <c r="V106" s="32">
        <f t="shared" si="91"/>
        <v>0</v>
      </c>
    </row>
    <row r="107" spans="1:22">
      <c r="A107" s="3" t="s">
        <v>62</v>
      </c>
      <c r="C107" s="4" t="s">
        <v>96</v>
      </c>
      <c r="D107" s="68">
        <v>1</v>
      </c>
      <c r="E107" s="68"/>
      <c r="F107" s="68">
        <v>30</v>
      </c>
      <c r="G107" s="68">
        <v>15</v>
      </c>
      <c r="H107" s="106"/>
      <c r="I107" s="29">
        <f>IF(Questionnaire!$I$96&gt;0,Questionnaire!$I$96*E107/$D$107,0)</f>
        <v>0</v>
      </c>
      <c r="J107" s="29">
        <f>IF(Questionnaire!$I$96&gt;0,Questionnaire!$I$96*F107/$D$107,0)</f>
        <v>0</v>
      </c>
      <c r="K107" s="29">
        <f>IF(Questionnaire!$I$96&gt;0,Questionnaire!$I$96*G107/$D$107,0)</f>
        <v>0</v>
      </c>
      <c r="L107" s="29">
        <f t="shared" si="87"/>
        <v>0</v>
      </c>
      <c r="N107" s="26">
        <f t="shared" si="88"/>
        <v>0</v>
      </c>
      <c r="O107" s="26">
        <f t="shared" si="88"/>
        <v>0</v>
      </c>
      <c r="P107" s="26">
        <f t="shared" si="88"/>
        <v>0</v>
      </c>
      <c r="Q107" s="26">
        <f t="shared" si="89"/>
        <v>0</v>
      </c>
      <c r="S107" s="72">
        <f t="shared" si="90"/>
        <v>0</v>
      </c>
      <c r="T107" s="72">
        <f t="shared" si="90"/>
        <v>0</v>
      </c>
      <c r="U107" s="72">
        <f t="shared" si="90"/>
        <v>0</v>
      </c>
      <c r="V107" s="32">
        <f t="shared" si="91"/>
        <v>0</v>
      </c>
    </row>
    <row r="108" spans="1:22">
      <c r="A108" s="3" t="s">
        <v>64</v>
      </c>
      <c r="C108" s="4" t="s">
        <v>97</v>
      </c>
      <c r="D108" s="68">
        <v>1</v>
      </c>
      <c r="E108" s="68"/>
      <c r="F108" s="68"/>
      <c r="G108" s="68">
        <v>15</v>
      </c>
      <c r="H108" s="106"/>
      <c r="I108" s="29">
        <f>IF(Questionnaire!$I$97&gt;0,Questionnaire!$I$97*E108/$D$108,0)</f>
        <v>0</v>
      </c>
      <c r="J108" s="29">
        <f>IF(Questionnaire!$I$97&gt;0,Questionnaire!$I$97*F108/$D$108,0)</f>
        <v>0</v>
      </c>
      <c r="K108" s="29">
        <f>IF(Questionnaire!$I$97&gt;0,Questionnaire!$I$97*G108/$D$108,0)</f>
        <v>0</v>
      </c>
      <c r="L108" s="29">
        <f t="shared" si="87"/>
        <v>0</v>
      </c>
      <c r="N108" s="26">
        <f t="shared" si="88"/>
        <v>0</v>
      </c>
      <c r="O108" s="26">
        <f t="shared" si="88"/>
        <v>0</v>
      </c>
      <c r="P108" s="26">
        <f t="shared" si="88"/>
        <v>0</v>
      </c>
      <c r="Q108" s="26">
        <f t="shared" si="89"/>
        <v>0</v>
      </c>
      <c r="S108" s="72">
        <f t="shared" si="90"/>
        <v>0</v>
      </c>
      <c r="T108" s="72">
        <f t="shared" si="90"/>
        <v>0</v>
      </c>
      <c r="U108" s="72">
        <f t="shared" si="90"/>
        <v>0</v>
      </c>
      <c r="V108" s="32">
        <f t="shared" si="91"/>
        <v>0</v>
      </c>
    </row>
    <row r="109" spans="1:22">
      <c r="A109" s="3" t="s">
        <v>65</v>
      </c>
      <c r="B109" s="3" t="s">
        <v>66</v>
      </c>
      <c r="C109" s="4" t="s">
        <v>84</v>
      </c>
      <c r="D109" s="68">
        <v>1</v>
      </c>
      <c r="E109" s="68"/>
      <c r="F109" s="68">
        <v>15</v>
      </c>
      <c r="G109" s="68">
        <v>60</v>
      </c>
      <c r="H109" s="106"/>
      <c r="I109" s="29">
        <f>IF(Questionnaire!$I$98&gt;0,Questionnaire!$I$98*E109/$D$109,0)</f>
        <v>0</v>
      </c>
      <c r="J109" s="29">
        <f>IF(Questionnaire!$I$98&gt;0,Questionnaire!$I$98*F109/$D$109,0)</f>
        <v>0</v>
      </c>
      <c r="K109" s="29">
        <f>IF(Questionnaire!$I$98&gt;0,Questionnaire!$I$98*G109/$D$109,0)</f>
        <v>0</v>
      </c>
      <c r="L109" s="29">
        <f t="shared" si="87"/>
        <v>0</v>
      </c>
      <c r="N109" s="26">
        <f t="shared" si="88"/>
        <v>0</v>
      </c>
      <c r="O109" s="26">
        <f t="shared" si="88"/>
        <v>0</v>
      </c>
      <c r="P109" s="26">
        <f t="shared" si="88"/>
        <v>0</v>
      </c>
      <c r="Q109" s="26">
        <f t="shared" si="89"/>
        <v>0</v>
      </c>
      <c r="S109" s="72">
        <f t="shared" si="90"/>
        <v>0</v>
      </c>
      <c r="T109" s="72">
        <f t="shared" si="90"/>
        <v>0</v>
      </c>
      <c r="U109" s="72">
        <f t="shared" si="90"/>
        <v>0</v>
      </c>
      <c r="V109" s="32">
        <f t="shared" si="91"/>
        <v>0</v>
      </c>
    </row>
    <row r="110" spans="1:22">
      <c r="A110" s="3" t="s">
        <v>67</v>
      </c>
      <c r="C110" s="4" t="s">
        <v>68</v>
      </c>
      <c r="D110" s="68">
        <v>1</v>
      </c>
      <c r="E110" s="68"/>
      <c r="F110" s="68">
        <v>15</v>
      </c>
      <c r="G110" s="68">
        <v>60</v>
      </c>
      <c r="H110" s="106"/>
      <c r="I110" s="29">
        <f>IF(Questionnaire!$I$99,E110/$D$110,0)</f>
        <v>0</v>
      </c>
      <c r="J110" s="29">
        <f>IF(Questionnaire!$I$99,F110/$D$110,0)</f>
        <v>0</v>
      </c>
      <c r="K110" s="29">
        <f>IF(Questionnaire!$I$99,G110/$D$110,0)</f>
        <v>0</v>
      </c>
      <c r="L110" s="29">
        <f t="shared" si="87"/>
        <v>0</v>
      </c>
      <c r="N110" s="26">
        <f t="shared" si="88"/>
        <v>0</v>
      </c>
      <c r="O110" s="26">
        <f t="shared" si="88"/>
        <v>0</v>
      </c>
      <c r="P110" s="26">
        <f t="shared" si="88"/>
        <v>0</v>
      </c>
      <c r="Q110" s="26">
        <f t="shared" si="89"/>
        <v>0</v>
      </c>
      <c r="S110" s="72">
        <f t="shared" si="90"/>
        <v>0</v>
      </c>
      <c r="T110" s="72">
        <f t="shared" si="90"/>
        <v>0</v>
      </c>
      <c r="U110" s="72">
        <f t="shared" si="90"/>
        <v>0</v>
      </c>
      <c r="V110" s="32">
        <f t="shared" si="91"/>
        <v>0</v>
      </c>
    </row>
    <row r="113" spans="1:22" s="41" customFormat="1">
      <c r="A113" s="41" t="s">
        <v>106</v>
      </c>
      <c r="B113" s="41" t="s">
        <v>14</v>
      </c>
      <c r="C113" s="42" t="s">
        <v>20</v>
      </c>
      <c r="D113" s="42" t="s">
        <v>134</v>
      </c>
      <c r="E113" s="42" t="s">
        <v>11</v>
      </c>
      <c r="F113" s="42" t="s">
        <v>12</v>
      </c>
      <c r="G113" s="42" t="s">
        <v>13</v>
      </c>
      <c r="H113" s="104" t="s">
        <v>411</v>
      </c>
      <c r="I113" s="48"/>
      <c r="J113" s="48"/>
      <c r="K113" s="48"/>
      <c r="L113" s="48"/>
      <c r="M113" s="45"/>
      <c r="N113" s="49"/>
      <c r="O113" s="49"/>
      <c r="P113" s="49"/>
      <c r="Q113" s="49"/>
      <c r="R113" s="45"/>
      <c r="S113" s="50"/>
      <c r="T113" s="50"/>
      <c r="U113" s="50"/>
      <c r="V113" s="50"/>
    </row>
    <row r="114" spans="1:22">
      <c r="A114" s="3" t="s">
        <v>105</v>
      </c>
      <c r="C114" s="4" t="s">
        <v>38</v>
      </c>
      <c r="D114" s="68">
        <v>1</v>
      </c>
      <c r="E114" s="68"/>
      <c r="F114" s="68"/>
      <c r="G114" s="68">
        <v>240</v>
      </c>
      <c r="H114" s="106"/>
      <c r="I114" s="29">
        <f>IF(Questionnaire!$I$102,E114/$D$114,0)</f>
        <v>0</v>
      </c>
      <c r="J114" s="29">
        <f>IF(Questionnaire!$I$102,F114/$D$114,0)</f>
        <v>0</v>
      </c>
      <c r="K114" s="29">
        <f>IF(Questionnaire!$I$102,G114/$D$114,0)</f>
        <v>0</v>
      </c>
      <c r="L114" s="29">
        <f>SUM(I114:K114)</f>
        <v>0</v>
      </c>
      <c r="N114" s="26">
        <f t="shared" ref="N114:P115" si="92">I114/60</f>
        <v>0</v>
      </c>
      <c r="O114" s="26">
        <f t="shared" si="92"/>
        <v>0</v>
      </c>
      <c r="P114" s="26">
        <f t="shared" si="92"/>
        <v>0</v>
      </c>
      <c r="Q114" s="26">
        <f>SUM(N114:P114)</f>
        <v>0</v>
      </c>
      <c r="S114" s="72">
        <f t="shared" ref="S114:U115" si="93">ROUNDUP(N114,0)</f>
        <v>0</v>
      </c>
      <c r="T114" s="72">
        <f t="shared" si="93"/>
        <v>0</v>
      </c>
      <c r="U114" s="72">
        <f t="shared" si="93"/>
        <v>0</v>
      </c>
      <c r="V114" s="32">
        <f>SUM(S114:U114)</f>
        <v>0</v>
      </c>
    </row>
    <row r="115" spans="1:22">
      <c r="A115" s="3" t="s">
        <v>395</v>
      </c>
      <c r="C115" s="4" t="s">
        <v>38</v>
      </c>
      <c r="D115" s="68">
        <v>1</v>
      </c>
      <c r="E115" s="68"/>
      <c r="F115" s="68"/>
      <c r="G115" s="68">
        <v>60</v>
      </c>
      <c r="H115" s="106"/>
      <c r="I115" s="29">
        <f>IF(Questionnaire!$I$103,E115/$D$114,0)</f>
        <v>0</v>
      </c>
      <c r="J115" s="29">
        <f>IF(Questionnaire!$I$103,F115/$D$114,0)</f>
        <v>0</v>
      </c>
      <c r="K115" s="29">
        <f>IF(Questionnaire!$I$103,G115/$D$114,0)</f>
        <v>0</v>
      </c>
      <c r="L115" s="29">
        <f>SUM(I115:K115)</f>
        <v>0</v>
      </c>
      <c r="N115" s="26">
        <f t="shared" si="92"/>
        <v>0</v>
      </c>
      <c r="O115" s="26">
        <f t="shared" si="92"/>
        <v>0</v>
      </c>
      <c r="P115" s="26">
        <f t="shared" si="92"/>
        <v>0</v>
      </c>
      <c r="Q115" s="26">
        <f>SUM(N115:P115)</f>
        <v>0</v>
      </c>
      <c r="S115" s="72">
        <f t="shared" si="93"/>
        <v>0</v>
      </c>
      <c r="T115" s="72">
        <f t="shared" si="93"/>
        <v>0</v>
      </c>
      <c r="U115" s="72">
        <f t="shared" si="93"/>
        <v>0</v>
      </c>
      <c r="V115" s="32">
        <f>SUM(S115:U115)</f>
        <v>0</v>
      </c>
    </row>
    <row r="116" spans="1:22">
      <c r="S116" s="72"/>
      <c r="T116" s="72"/>
      <c r="U116" s="72"/>
    </row>
    <row r="118" spans="1:22" s="41" customFormat="1">
      <c r="A118" s="41" t="s">
        <v>73</v>
      </c>
      <c r="B118" s="41" t="s">
        <v>14</v>
      </c>
      <c r="C118" s="42" t="s">
        <v>20</v>
      </c>
      <c r="D118" s="42" t="s">
        <v>134</v>
      </c>
      <c r="E118" s="42" t="s">
        <v>11</v>
      </c>
      <c r="F118" s="42" t="s">
        <v>12</v>
      </c>
      <c r="G118" s="42" t="s">
        <v>13</v>
      </c>
      <c r="H118" s="104" t="s">
        <v>411</v>
      </c>
      <c r="I118" s="48"/>
      <c r="J118" s="48"/>
      <c r="K118" s="48"/>
      <c r="L118" s="48"/>
      <c r="M118" s="45"/>
      <c r="N118" s="49"/>
      <c r="O118" s="49"/>
      <c r="P118" s="49"/>
      <c r="Q118" s="49"/>
      <c r="R118" s="45"/>
      <c r="S118" s="50"/>
      <c r="T118" s="50"/>
      <c r="U118" s="50"/>
      <c r="V118" s="50"/>
    </row>
    <row r="119" spans="1:22">
      <c r="A119" s="3" t="s">
        <v>74</v>
      </c>
      <c r="B119" s="3" t="s">
        <v>365</v>
      </c>
      <c r="C119" s="4" t="s">
        <v>31</v>
      </c>
      <c r="D119" s="68">
        <v>1</v>
      </c>
      <c r="E119" s="68">
        <v>150</v>
      </c>
      <c r="F119" s="68">
        <v>150</v>
      </c>
      <c r="G119" s="68">
        <v>150</v>
      </c>
      <c r="H119" s="106"/>
      <c r="I119" s="29">
        <f>Questionnaire!$I$6*E119/$D$119</f>
        <v>150</v>
      </c>
      <c r="J119" s="29">
        <f>Questionnaire!$I$6*F119/$D$119</f>
        <v>150</v>
      </c>
      <c r="K119" s="29">
        <f>Questionnaire!$I$6*G119/$D$119</f>
        <v>150</v>
      </c>
      <c r="L119" s="29">
        <f>SUM(I119:K119)</f>
        <v>450</v>
      </c>
      <c r="N119" s="26">
        <f t="shared" ref="N119:P121" si="94">I119/60</f>
        <v>2.5</v>
      </c>
      <c r="O119" s="26">
        <f t="shared" si="94"/>
        <v>2.5</v>
      </c>
      <c r="P119" s="26">
        <f t="shared" si="94"/>
        <v>2.5</v>
      </c>
      <c r="Q119" s="26">
        <f>SUM(N119:P119)</f>
        <v>7.5</v>
      </c>
      <c r="S119" s="72">
        <f t="shared" ref="S119:U121" si="95">ROUNDUP(N119,0)</f>
        <v>3</v>
      </c>
      <c r="T119" s="72">
        <f t="shared" si="95"/>
        <v>3</v>
      </c>
      <c r="U119" s="72">
        <f t="shared" si="95"/>
        <v>3</v>
      </c>
      <c r="V119" s="32">
        <f>SUM(S119:U119)</f>
        <v>9</v>
      </c>
    </row>
    <row r="120" spans="1:22">
      <c r="A120" s="3" t="s">
        <v>75</v>
      </c>
      <c r="B120" s="3" t="s">
        <v>76</v>
      </c>
      <c r="C120" s="4" t="s">
        <v>79</v>
      </c>
      <c r="D120" s="68">
        <v>1</v>
      </c>
      <c r="G120" s="98">
        <v>0.2</v>
      </c>
      <c r="H120" s="106"/>
      <c r="K120" s="29">
        <f>K149/$D$120*G120</f>
        <v>0</v>
      </c>
      <c r="L120" s="29">
        <f>SUM(I120:K120)</f>
        <v>0</v>
      </c>
      <c r="N120" s="26">
        <f t="shared" si="94"/>
        <v>0</v>
      </c>
      <c r="O120" s="26">
        <f t="shared" si="94"/>
        <v>0</v>
      </c>
      <c r="P120" s="26">
        <f t="shared" si="94"/>
        <v>0</v>
      </c>
      <c r="Q120" s="26">
        <f>SUM(N120:P120)</f>
        <v>0</v>
      </c>
      <c r="S120" s="72">
        <f t="shared" si="95"/>
        <v>0</v>
      </c>
      <c r="T120" s="72">
        <f t="shared" si="95"/>
        <v>0</v>
      </c>
      <c r="U120" s="72">
        <f t="shared" si="95"/>
        <v>0</v>
      </c>
      <c r="V120" s="32">
        <f>SUM(S120:U120)</f>
        <v>0</v>
      </c>
    </row>
    <row r="121" spans="1:22">
      <c r="A121" s="3" t="s">
        <v>77</v>
      </c>
      <c r="B121" s="3" t="s">
        <v>78</v>
      </c>
      <c r="C121" s="4" t="s">
        <v>79</v>
      </c>
      <c r="D121" s="68">
        <v>1</v>
      </c>
      <c r="F121" s="98">
        <v>0.1</v>
      </c>
      <c r="H121" s="106"/>
      <c r="J121" s="29">
        <f>SUM(J148:J149)/$D$121*F121</f>
        <v>9</v>
      </c>
      <c r="L121" s="29">
        <f>SUM(I121:K121)</f>
        <v>9</v>
      </c>
      <c r="N121" s="26">
        <f t="shared" si="94"/>
        <v>0</v>
      </c>
      <c r="O121" s="26">
        <f t="shared" si="94"/>
        <v>0.15</v>
      </c>
      <c r="P121" s="26">
        <f t="shared" si="94"/>
        <v>0</v>
      </c>
      <c r="Q121" s="26">
        <f>SUM(N121:P121)</f>
        <v>0.15</v>
      </c>
      <c r="S121" s="72">
        <f t="shared" si="95"/>
        <v>0</v>
      </c>
      <c r="T121" s="72">
        <f t="shared" si="95"/>
        <v>1</v>
      </c>
      <c r="U121" s="72">
        <f t="shared" si="95"/>
        <v>0</v>
      </c>
      <c r="V121" s="32">
        <f>SUM(S121:U121)</f>
        <v>1</v>
      </c>
    </row>
    <row r="124" spans="1:22" s="41" customFormat="1">
      <c r="A124" s="41" t="s">
        <v>81</v>
      </c>
      <c r="B124" s="41" t="s">
        <v>14</v>
      </c>
      <c r="C124" s="42" t="s">
        <v>20</v>
      </c>
      <c r="D124" s="42" t="s">
        <v>134</v>
      </c>
      <c r="E124" s="42" t="s">
        <v>11</v>
      </c>
      <c r="F124" s="42" t="s">
        <v>12</v>
      </c>
      <c r="G124" s="42" t="s">
        <v>13</v>
      </c>
      <c r="H124" s="104" t="s">
        <v>411</v>
      </c>
      <c r="I124" s="48"/>
      <c r="J124" s="48"/>
      <c r="K124" s="48"/>
      <c r="L124" s="48"/>
      <c r="M124" s="45"/>
      <c r="N124" s="49"/>
      <c r="O124" s="49"/>
      <c r="P124" s="49"/>
      <c r="Q124" s="49"/>
      <c r="R124" s="45"/>
      <c r="S124" s="50"/>
      <c r="T124" s="50"/>
      <c r="U124" s="50"/>
      <c r="V124" s="50"/>
    </row>
    <row r="125" spans="1:22">
      <c r="A125" s="3" t="s">
        <v>4</v>
      </c>
      <c r="B125" s="3" t="s">
        <v>283</v>
      </c>
      <c r="C125" s="4" t="s">
        <v>46</v>
      </c>
      <c r="D125" s="68">
        <v>1</v>
      </c>
      <c r="E125" s="68"/>
      <c r="F125" s="68"/>
      <c r="G125" s="68">
        <v>15</v>
      </c>
      <c r="H125" s="106"/>
      <c r="I125" s="29">
        <f>IF(Questionnaire!$I$21&gt;0,Questionnaire!$I$21*E125/$D$125,0)</f>
        <v>0</v>
      </c>
      <c r="J125" s="29">
        <f>IF(Questionnaire!$I$21&gt;0,Questionnaire!$I$21*F125/$D$125,0)</f>
        <v>0</v>
      </c>
      <c r="K125" s="29">
        <f>IF(Questionnaire!$I$21&gt;0,Questionnaire!$I$21*G125/$D$125,0)</f>
        <v>0</v>
      </c>
      <c r="L125" s="29">
        <f>SUM(I125:K125)</f>
        <v>0</v>
      </c>
      <c r="N125" s="26">
        <f t="shared" ref="N125:P129" si="96">I125/60</f>
        <v>0</v>
      </c>
      <c r="O125" s="26">
        <f t="shared" si="96"/>
        <v>0</v>
      </c>
      <c r="P125" s="26">
        <f t="shared" si="96"/>
        <v>0</v>
      </c>
      <c r="Q125" s="26">
        <f>SUM(N125:P125)</f>
        <v>0</v>
      </c>
      <c r="S125" s="72">
        <f t="shared" ref="S125:U129" si="97">ROUNDUP(N125,0)</f>
        <v>0</v>
      </c>
      <c r="T125" s="72">
        <f t="shared" si="97"/>
        <v>0</v>
      </c>
      <c r="U125" s="72">
        <f t="shared" si="97"/>
        <v>0</v>
      </c>
      <c r="V125" s="32">
        <f>SUM(S125:U125)</f>
        <v>0</v>
      </c>
    </row>
    <row r="126" spans="1:22">
      <c r="A126" s="3" t="s">
        <v>82</v>
      </c>
      <c r="C126" s="4" t="s">
        <v>53</v>
      </c>
      <c r="D126" s="68">
        <v>1</v>
      </c>
      <c r="E126" s="68"/>
      <c r="F126" s="68"/>
      <c r="G126" s="68">
        <v>5</v>
      </c>
      <c r="H126" s="106"/>
      <c r="I126" s="29">
        <f>IF(Questionnaire!$I$44&gt;0,Questionnaire!$I$44*E126/$D$126,0)</f>
        <v>0</v>
      </c>
      <c r="J126" s="29">
        <f>IF(Questionnaire!$I$44&gt;0,Questionnaire!$I$44*F126/$D$126,0)</f>
        <v>0</v>
      </c>
      <c r="K126" s="29">
        <f>IF(Questionnaire!$I$44&gt;0,Questionnaire!$I$44*G126/$D$126,0)</f>
        <v>0</v>
      </c>
      <c r="L126" s="29">
        <f>SUM(I126:K126)</f>
        <v>0</v>
      </c>
      <c r="N126" s="26">
        <f t="shared" si="96"/>
        <v>0</v>
      </c>
      <c r="O126" s="26">
        <f t="shared" si="96"/>
        <v>0</v>
      </c>
      <c r="P126" s="26">
        <f t="shared" si="96"/>
        <v>0</v>
      </c>
      <c r="Q126" s="26">
        <f>SUM(N126:P126)</f>
        <v>0</v>
      </c>
      <c r="S126" s="72">
        <f t="shared" si="97"/>
        <v>0</v>
      </c>
      <c r="T126" s="72">
        <f t="shared" si="97"/>
        <v>0</v>
      </c>
      <c r="U126" s="72">
        <f t="shared" si="97"/>
        <v>0</v>
      </c>
      <c r="V126" s="32">
        <f>SUM(S126:U126)</f>
        <v>0</v>
      </c>
    </row>
    <row r="127" spans="1:22">
      <c r="A127" s="3" t="s">
        <v>8</v>
      </c>
      <c r="C127" s="4" t="s">
        <v>85</v>
      </c>
      <c r="D127" s="68">
        <v>1</v>
      </c>
      <c r="E127" s="68"/>
      <c r="F127" s="68"/>
      <c r="G127" s="68">
        <v>30</v>
      </c>
      <c r="H127" s="106"/>
      <c r="I127" s="29">
        <f>IF(Questionnaire!$I$89&gt;0,Questionnaire!$I$89*E127/$D$127,0)</f>
        <v>0</v>
      </c>
      <c r="J127" s="29">
        <f>IF(Questionnaire!$I$89&gt;0,Questionnaire!$I$89*F127/$D$127,0)</f>
        <v>0</v>
      </c>
      <c r="K127" s="29">
        <f>IF(Questionnaire!$I$89&gt;0,Questionnaire!$I$89*G127/$D$127,0)</f>
        <v>0</v>
      </c>
      <c r="L127" s="29">
        <f>SUM(I127:K127)</f>
        <v>0</v>
      </c>
      <c r="N127" s="26">
        <f t="shared" si="96"/>
        <v>0</v>
      </c>
      <c r="O127" s="26">
        <f t="shared" si="96"/>
        <v>0</v>
      </c>
      <c r="P127" s="26">
        <f t="shared" si="96"/>
        <v>0</v>
      </c>
      <c r="Q127" s="26">
        <f>SUM(N127:P127)</f>
        <v>0</v>
      </c>
      <c r="S127" s="72">
        <f t="shared" si="97"/>
        <v>0</v>
      </c>
      <c r="T127" s="72">
        <f t="shared" si="97"/>
        <v>0</v>
      </c>
      <c r="U127" s="72">
        <f t="shared" si="97"/>
        <v>0</v>
      </c>
      <c r="V127" s="32">
        <f>SUM(S127:U127)</f>
        <v>0</v>
      </c>
    </row>
    <row r="128" spans="1:22">
      <c r="A128" s="3" t="s">
        <v>61</v>
      </c>
      <c r="C128" s="4" t="s">
        <v>38</v>
      </c>
      <c r="D128" s="68">
        <v>1</v>
      </c>
      <c r="E128" s="68"/>
      <c r="F128" s="68"/>
      <c r="G128" s="68">
        <v>120</v>
      </c>
      <c r="H128" s="106"/>
      <c r="I128" s="29">
        <f>IF(Questionnaire!$I$95&gt;0,E128/$D$128,0)</f>
        <v>0</v>
      </c>
      <c r="J128" s="29">
        <f>IF(Questionnaire!$I$95&gt;0,F128/$D$128,0)</f>
        <v>0</v>
      </c>
      <c r="K128" s="29">
        <f>IF(Questionnaire!$I$95&gt;0,G128/$D$128,0)</f>
        <v>0</v>
      </c>
      <c r="L128" s="29">
        <f>SUM(I128:K128)</f>
        <v>0</v>
      </c>
      <c r="N128" s="26">
        <f t="shared" si="96"/>
        <v>0</v>
      </c>
      <c r="O128" s="26">
        <f t="shared" si="96"/>
        <v>0</v>
      </c>
      <c r="P128" s="26">
        <f t="shared" si="96"/>
        <v>0</v>
      </c>
      <c r="Q128" s="26">
        <f>SUM(N128:P128)</f>
        <v>0</v>
      </c>
      <c r="S128" s="72">
        <f t="shared" si="97"/>
        <v>0</v>
      </c>
      <c r="T128" s="72">
        <f t="shared" si="97"/>
        <v>0</v>
      </c>
      <c r="U128" s="72">
        <f t="shared" si="97"/>
        <v>0</v>
      </c>
      <c r="V128" s="32">
        <f>SUM(S128:U128)</f>
        <v>0</v>
      </c>
    </row>
    <row r="129" spans="1:22">
      <c r="A129" s="3" t="s">
        <v>83</v>
      </c>
      <c r="C129" s="4" t="s">
        <v>84</v>
      </c>
      <c r="D129" s="68">
        <v>1</v>
      </c>
      <c r="E129" s="68"/>
      <c r="F129" s="68"/>
      <c r="G129" s="68">
        <v>60</v>
      </c>
      <c r="H129" s="106"/>
      <c r="I129" s="29">
        <f>IF(I161&gt;0,I161*E129/$D$129,0)</f>
        <v>0</v>
      </c>
      <c r="J129" s="29">
        <f>IF(J161&gt;0,J161*F129/$D$129,0)</f>
        <v>0</v>
      </c>
      <c r="K129" s="29">
        <f>IF(K161&gt;0,K161*G129/$D$129,0)</f>
        <v>0</v>
      </c>
      <c r="L129" s="29">
        <f>SUM(I129:K129)</f>
        <v>0</v>
      </c>
      <c r="N129" s="26">
        <f t="shared" si="96"/>
        <v>0</v>
      </c>
      <c r="O129" s="26">
        <f t="shared" si="96"/>
        <v>0</v>
      </c>
      <c r="P129" s="26">
        <f t="shared" si="96"/>
        <v>0</v>
      </c>
      <c r="Q129" s="26">
        <f>SUM(N129:P129)</f>
        <v>0</v>
      </c>
      <c r="S129" s="72">
        <f t="shared" si="97"/>
        <v>0</v>
      </c>
      <c r="T129" s="72">
        <f t="shared" si="97"/>
        <v>0</v>
      </c>
      <c r="U129" s="72">
        <f t="shared" si="97"/>
        <v>0</v>
      </c>
      <c r="V129" s="32">
        <f>SUM(S129:U129)</f>
        <v>0</v>
      </c>
    </row>
    <row r="132" spans="1:22" s="41" customFormat="1">
      <c r="A132" s="41" t="s">
        <v>80</v>
      </c>
      <c r="B132" s="41" t="s">
        <v>14</v>
      </c>
      <c r="C132" s="42" t="s">
        <v>20</v>
      </c>
      <c r="D132" s="42" t="s">
        <v>134</v>
      </c>
      <c r="E132" s="42" t="s">
        <v>11</v>
      </c>
      <c r="F132" s="42" t="s">
        <v>12</v>
      </c>
      <c r="G132" s="42" t="s">
        <v>13</v>
      </c>
      <c r="H132" s="104" t="s">
        <v>411</v>
      </c>
      <c r="I132" s="48"/>
      <c r="J132" s="48"/>
      <c r="K132" s="48"/>
      <c r="L132" s="48"/>
      <c r="M132" s="45"/>
      <c r="N132" s="49"/>
      <c r="O132" s="49"/>
      <c r="P132" s="49"/>
      <c r="Q132" s="49"/>
      <c r="R132" s="45"/>
      <c r="S132" s="50"/>
      <c r="T132" s="50"/>
      <c r="U132" s="50"/>
      <c r="V132" s="50"/>
    </row>
    <row r="133" spans="1:22" s="7" customFormat="1">
      <c r="A133" s="7" t="s">
        <v>99</v>
      </c>
      <c r="C133" s="8" t="s">
        <v>21</v>
      </c>
      <c r="D133" s="67">
        <v>1</v>
      </c>
      <c r="E133" s="67"/>
      <c r="F133" s="67"/>
      <c r="G133" s="67">
        <v>120</v>
      </c>
      <c r="H133" s="106"/>
      <c r="I133" s="29">
        <f>IF(Questionnaire!$I$106&lt;&gt;"None",E133/$D$133,0)</f>
        <v>0</v>
      </c>
      <c r="J133" s="29">
        <f>IF(Questionnaire!$I$106&lt;&gt;"None",F133/$D$133,0)</f>
        <v>0</v>
      </c>
      <c r="K133" s="29">
        <f>IF(Questionnaire!$I$106&lt;&gt;"None",G133/$D$133,0)</f>
        <v>0</v>
      </c>
      <c r="L133" s="29">
        <f>SUM(I133:K133)</f>
        <v>0</v>
      </c>
      <c r="M133" s="1"/>
      <c r="N133" s="26">
        <f t="shared" ref="N133:P136" si="98">I133/60</f>
        <v>0</v>
      </c>
      <c r="O133" s="26">
        <f t="shared" si="98"/>
        <v>0</v>
      </c>
      <c r="P133" s="26">
        <f t="shared" si="98"/>
        <v>0</v>
      </c>
      <c r="Q133" s="26">
        <f>SUM(N133:P133)</f>
        <v>0</v>
      </c>
      <c r="R133" s="1"/>
      <c r="S133" s="72">
        <f t="shared" ref="S133:U136" si="99">ROUNDUP(N133,0)</f>
        <v>0</v>
      </c>
      <c r="T133" s="72">
        <f t="shared" si="99"/>
        <v>0</v>
      </c>
      <c r="U133" s="72">
        <f t="shared" si="99"/>
        <v>0</v>
      </c>
      <c r="V133" s="32">
        <f>SUM(S133:U133)</f>
        <v>0</v>
      </c>
    </row>
    <row r="134" spans="1:22">
      <c r="A134" s="3" t="s">
        <v>100</v>
      </c>
      <c r="B134" s="3" t="s">
        <v>98</v>
      </c>
      <c r="C134" s="4" t="s">
        <v>21</v>
      </c>
      <c r="D134" s="68">
        <v>1</v>
      </c>
      <c r="E134" s="68"/>
      <c r="F134" s="68"/>
      <c r="G134" s="68">
        <v>240</v>
      </c>
      <c r="H134" s="106"/>
      <c r="I134" s="29">
        <f>IF(AND(Questionnaire!$I$106="Partial",Questionnaire!$I$107=FALSE),E134/$D$134,0)</f>
        <v>0</v>
      </c>
      <c r="J134" s="29">
        <f>IF(AND(Questionnaire!$I$106="Partial",Questionnaire!$I$107=FALSE),F134/$D$134,0)</f>
        <v>0</v>
      </c>
      <c r="K134" s="29">
        <f>IF(AND(Questionnaire!$I$106="Partial",Questionnaire!$I$107=FALSE),G134/$D$134,0)</f>
        <v>0</v>
      </c>
      <c r="L134" s="29">
        <f>SUM(I134:K134)</f>
        <v>0</v>
      </c>
      <c r="N134" s="26">
        <f t="shared" si="98"/>
        <v>0</v>
      </c>
      <c r="O134" s="26">
        <f t="shared" si="98"/>
        <v>0</v>
      </c>
      <c r="P134" s="26">
        <f t="shared" si="98"/>
        <v>0</v>
      </c>
      <c r="Q134" s="26">
        <f>SUM(N134:P134)</f>
        <v>0</v>
      </c>
      <c r="S134" s="72">
        <f t="shared" si="99"/>
        <v>0</v>
      </c>
      <c r="T134" s="72">
        <f t="shared" si="99"/>
        <v>0</v>
      </c>
      <c r="U134" s="72">
        <f t="shared" si="99"/>
        <v>0</v>
      </c>
      <c r="V134" s="32">
        <f>SUM(S134:U134)</f>
        <v>0</v>
      </c>
    </row>
    <row r="135" spans="1:22">
      <c r="A135" s="3" t="s">
        <v>101</v>
      </c>
      <c r="C135" s="4" t="s">
        <v>21</v>
      </c>
      <c r="D135" s="68">
        <v>1</v>
      </c>
      <c r="E135" s="68"/>
      <c r="F135" s="68"/>
      <c r="G135" s="68">
        <f>12*60</f>
        <v>720</v>
      </c>
      <c r="H135" s="106"/>
      <c r="I135" s="29">
        <f>IF(AND(Questionnaire!$I$106="Full",Questionnaire!$I$107=FALSE),E135/$D$135,0)</f>
        <v>0</v>
      </c>
      <c r="J135" s="29">
        <f>IF(AND(Questionnaire!$I$106="Full",Questionnaire!$I$107=FALSE),F135/$D$135,0)</f>
        <v>0</v>
      </c>
      <c r="K135" s="29">
        <f>IF(AND(Questionnaire!$I$106="Full",Questionnaire!$I$107=FALSE),G135/$D$135,0)</f>
        <v>0</v>
      </c>
      <c r="L135" s="29">
        <f>SUM(I135:K135)</f>
        <v>0</v>
      </c>
      <c r="N135" s="26">
        <f t="shared" si="98"/>
        <v>0</v>
      </c>
      <c r="O135" s="26">
        <f t="shared" si="98"/>
        <v>0</v>
      </c>
      <c r="P135" s="26">
        <f t="shared" si="98"/>
        <v>0</v>
      </c>
      <c r="Q135" s="26">
        <f>SUM(N135:P135)</f>
        <v>0</v>
      </c>
      <c r="S135" s="72">
        <f t="shared" si="99"/>
        <v>0</v>
      </c>
      <c r="T135" s="72">
        <f t="shared" si="99"/>
        <v>0</v>
      </c>
      <c r="U135" s="72">
        <f t="shared" si="99"/>
        <v>0</v>
      </c>
      <c r="V135" s="32">
        <f>SUM(S135:U135)</f>
        <v>0</v>
      </c>
    </row>
    <row r="136" spans="1:22">
      <c r="A136" s="3" t="s">
        <v>102</v>
      </c>
      <c r="C136" s="4" t="s">
        <v>21</v>
      </c>
      <c r="D136" s="68">
        <v>1</v>
      </c>
      <c r="E136" s="68"/>
      <c r="F136" s="68"/>
      <c r="G136" s="68">
        <v>120</v>
      </c>
      <c r="H136" s="106"/>
      <c r="I136" s="29">
        <f>IF(Questionnaire!$I$106&lt;&gt;"None",E136/$D$136,0)</f>
        <v>0</v>
      </c>
      <c r="J136" s="29">
        <f>IF(Questionnaire!$I$106&lt;&gt;"None",F136/$D$136,0)</f>
        <v>0</v>
      </c>
      <c r="K136" s="29">
        <f>IF(Questionnaire!$I$106&lt;&gt;"None",G136/$D$136,0)</f>
        <v>0</v>
      </c>
      <c r="L136" s="29">
        <f>SUM(I136:K136)</f>
        <v>0</v>
      </c>
      <c r="N136" s="26">
        <f t="shared" si="98"/>
        <v>0</v>
      </c>
      <c r="O136" s="26">
        <f t="shared" si="98"/>
        <v>0</v>
      </c>
      <c r="P136" s="26">
        <f t="shared" si="98"/>
        <v>0</v>
      </c>
      <c r="Q136" s="26">
        <f>SUM(N136:P136)</f>
        <v>0</v>
      </c>
      <c r="S136" s="72">
        <f t="shared" si="99"/>
        <v>0</v>
      </c>
      <c r="T136" s="72">
        <f t="shared" si="99"/>
        <v>0</v>
      </c>
      <c r="U136" s="72">
        <f t="shared" si="99"/>
        <v>0</v>
      </c>
      <c r="V136" s="32">
        <f>SUM(S136:U136)</f>
        <v>0</v>
      </c>
    </row>
    <row r="137" spans="1:22">
      <c r="A137" s="3" t="s">
        <v>410</v>
      </c>
      <c r="C137" s="4" t="s">
        <v>68</v>
      </c>
      <c r="D137" s="68">
        <v>1</v>
      </c>
      <c r="E137" s="68"/>
      <c r="F137" s="68"/>
      <c r="G137" s="68">
        <v>60</v>
      </c>
      <c r="H137" s="106"/>
      <c r="I137" s="29">
        <f>IF(AND(Questionnaire!$I$106&lt;&gt;"None",Questionnaire!$I$107=TRUE),E137/$D$137,0)</f>
        <v>0</v>
      </c>
      <c r="J137" s="29">
        <f>IF(AND(Questionnaire!$I$106&lt;&gt;"None",Questionnaire!$I$107=TRUE),F137/$D$137,0)</f>
        <v>0</v>
      </c>
      <c r="K137" s="29">
        <f>IF(AND(Questionnaire!$I$106&lt;&gt;"None",Questionnaire!$I$107=TRUE),G137/$D$137,0)</f>
        <v>0</v>
      </c>
      <c r="L137" s="29">
        <f>SUM(I137:K137)</f>
        <v>0</v>
      </c>
      <c r="N137" s="26">
        <f t="shared" ref="N137" si="100">I137/60</f>
        <v>0</v>
      </c>
      <c r="O137" s="26">
        <f t="shared" ref="O137" si="101">J137/60</f>
        <v>0</v>
      </c>
      <c r="P137" s="26">
        <f t="shared" ref="P137" si="102">K137/60</f>
        <v>0</v>
      </c>
      <c r="Q137" s="26">
        <f>SUM(N137:P137)</f>
        <v>0</v>
      </c>
      <c r="S137" s="72">
        <f t="shared" ref="S137" si="103">ROUNDUP(N137,0)</f>
        <v>0</v>
      </c>
      <c r="T137" s="72">
        <f t="shared" ref="T137" si="104">ROUNDUP(O137,0)</f>
        <v>0</v>
      </c>
      <c r="U137" s="72">
        <f t="shared" ref="U137" si="105">ROUNDUP(P137,0)</f>
        <v>0</v>
      </c>
      <c r="V137" s="32">
        <f>SUM(S137:U137)</f>
        <v>0</v>
      </c>
    </row>
    <row r="140" spans="1:22" s="41" customFormat="1">
      <c r="A140" s="41" t="s">
        <v>103</v>
      </c>
      <c r="B140" s="41" t="s">
        <v>14</v>
      </c>
      <c r="C140" s="42" t="s">
        <v>20</v>
      </c>
      <c r="D140" s="42" t="s">
        <v>134</v>
      </c>
      <c r="E140" s="42" t="s">
        <v>11</v>
      </c>
      <c r="F140" s="42" t="s">
        <v>12</v>
      </c>
      <c r="G140" s="42" t="s">
        <v>13</v>
      </c>
      <c r="H140" s="104" t="s">
        <v>411</v>
      </c>
      <c r="I140" s="48"/>
      <c r="J140" s="48"/>
      <c r="K140" s="48"/>
      <c r="L140" s="48"/>
      <c r="M140" s="45"/>
      <c r="N140" s="49"/>
      <c r="O140" s="49"/>
      <c r="P140" s="49"/>
      <c r="Q140" s="49"/>
      <c r="R140" s="45"/>
      <c r="S140" s="50"/>
      <c r="T140" s="50"/>
      <c r="U140" s="50"/>
      <c r="V140" s="50"/>
    </row>
    <row r="141" spans="1:22">
      <c r="A141" s="3" t="s">
        <v>104</v>
      </c>
      <c r="B141" s="3" t="s">
        <v>367</v>
      </c>
      <c r="C141" s="4" t="s">
        <v>79</v>
      </c>
      <c r="D141" s="68">
        <v>12.5</v>
      </c>
      <c r="E141" s="68">
        <v>30</v>
      </c>
      <c r="F141" s="68">
        <v>15</v>
      </c>
      <c r="G141" s="68">
        <v>60</v>
      </c>
      <c r="H141" s="106"/>
      <c r="I141" s="29">
        <f>$L$149/$D$141*E141/60</f>
        <v>0</v>
      </c>
      <c r="J141" s="29">
        <f>$L$149/$D$141*F141/60</f>
        <v>0</v>
      </c>
      <c r="K141" s="29">
        <f>$L$149/$D$141*G141/60</f>
        <v>0</v>
      </c>
      <c r="L141" s="29">
        <f>SUM(I141:K141)</f>
        <v>0</v>
      </c>
      <c r="N141" s="26">
        <f>I141/60</f>
        <v>0</v>
      </c>
      <c r="O141" s="26">
        <f>J141/60</f>
        <v>0</v>
      </c>
      <c r="P141" s="26">
        <f>K141/60</f>
        <v>0</v>
      </c>
      <c r="Q141" s="26">
        <f>SUM(N141:P141)</f>
        <v>0</v>
      </c>
      <c r="S141" s="72">
        <f>ROUNDUP(N141,0)</f>
        <v>0</v>
      </c>
      <c r="T141" s="72">
        <f>ROUNDUP(O141,0)</f>
        <v>0</v>
      </c>
      <c r="U141" s="72">
        <f>ROUNDUP(P141,0)</f>
        <v>0</v>
      </c>
      <c r="V141" s="32">
        <f>SUM(S141:U141)</f>
        <v>0</v>
      </c>
    </row>
    <row r="146" spans="1:22" s="56" customFormat="1">
      <c r="A146" s="51" t="s">
        <v>296</v>
      </c>
      <c r="B146" s="51"/>
      <c r="C146" s="51"/>
      <c r="D146" s="51"/>
      <c r="E146" s="51"/>
      <c r="F146" s="51"/>
      <c r="G146" s="51"/>
      <c r="H146" s="104"/>
      <c r="I146" s="52" t="s">
        <v>11</v>
      </c>
      <c r="J146" s="52" t="s">
        <v>12</v>
      </c>
      <c r="K146" s="52" t="s">
        <v>13</v>
      </c>
      <c r="L146" s="52" t="s">
        <v>135</v>
      </c>
      <c r="M146" s="53"/>
      <c r="N146" s="54" t="s">
        <v>11</v>
      </c>
      <c r="O146" s="54" t="s">
        <v>12</v>
      </c>
      <c r="P146" s="54" t="s">
        <v>13</v>
      </c>
      <c r="Q146" s="54" t="s">
        <v>135</v>
      </c>
      <c r="R146" s="53"/>
      <c r="S146" s="55" t="s">
        <v>11</v>
      </c>
      <c r="T146" s="55" t="s">
        <v>12</v>
      </c>
      <c r="U146" s="55" t="s">
        <v>13</v>
      </c>
      <c r="V146" s="55" t="s">
        <v>135</v>
      </c>
    </row>
    <row r="147" spans="1:22">
      <c r="A147" t="s">
        <v>304</v>
      </c>
      <c r="B147" t="s">
        <v>306</v>
      </c>
      <c r="C147"/>
      <c r="D147"/>
      <c r="E147"/>
      <c r="F147"/>
      <c r="G147"/>
      <c r="I147" s="29">
        <f>SUM(I7:I12,I17:I19,I23:I26)</f>
        <v>1140</v>
      </c>
      <c r="J147" s="29">
        <f>SUM(J7:J12,J17:J19,J23:J26)</f>
        <v>337.5</v>
      </c>
      <c r="K147" s="29">
        <f>SUM(K7:K12,K17:K19,K23:K26)</f>
        <v>645</v>
      </c>
      <c r="L147" s="29">
        <f t="shared" ref="L147:L152" si="106">SUM(I147:K147)</f>
        <v>2122.5</v>
      </c>
      <c r="N147" s="26">
        <f t="shared" ref="N147:P147" si="107">SUM(N7:N12,N17:N19,N23:N26)</f>
        <v>19</v>
      </c>
      <c r="O147" s="26">
        <f t="shared" si="107"/>
        <v>5.625</v>
      </c>
      <c r="P147" s="26">
        <f t="shared" si="107"/>
        <v>10.75</v>
      </c>
      <c r="Q147" s="26">
        <f t="shared" ref="Q147:Q152" si="108">SUM(N147:P147)</f>
        <v>35.375</v>
      </c>
      <c r="S147" s="32">
        <f t="shared" ref="S147:U147" si="109">SUM(S7:S12,S17:S19,S23:S26)</f>
        <v>19</v>
      </c>
      <c r="T147" s="32">
        <f t="shared" si="109"/>
        <v>7</v>
      </c>
      <c r="U147" s="32">
        <f t="shared" si="109"/>
        <v>12</v>
      </c>
      <c r="V147" s="32">
        <f t="shared" ref="V147:V151" si="110">SUM(S147:U147)</f>
        <v>38</v>
      </c>
    </row>
    <row r="148" spans="1:22">
      <c r="A148" t="s">
        <v>72</v>
      </c>
      <c r="B148"/>
      <c r="C148"/>
      <c r="D148"/>
      <c r="E148"/>
      <c r="F148"/>
      <c r="G148"/>
      <c r="I148" s="29">
        <f>SUM(I30,I36,I47,I53,I59,I72,I96,I105)</f>
        <v>90</v>
      </c>
      <c r="J148" s="29">
        <f>SUM(J30,J36,J47,J53,J59,J72,J96,J105)</f>
        <v>90</v>
      </c>
      <c r="K148" s="29">
        <f>SUM(K30,K36,K47,K53,K59,K72,K96,K105)</f>
        <v>90</v>
      </c>
      <c r="L148" s="29">
        <f t="shared" si="106"/>
        <v>270</v>
      </c>
      <c r="N148" s="26">
        <f t="shared" ref="N148:P148" si="111">SUM(N30,N36,N47,N53,N59,N72,N96,N105)</f>
        <v>1.5</v>
      </c>
      <c r="O148" s="26">
        <f t="shared" si="111"/>
        <v>1.5</v>
      </c>
      <c r="P148" s="26">
        <f t="shared" si="111"/>
        <v>1.5</v>
      </c>
      <c r="Q148" s="26">
        <f t="shared" si="108"/>
        <v>4.5</v>
      </c>
      <c r="S148" s="32">
        <f t="shared" ref="S148:U148" si="112">SUM(S30,S36,S47,S53,S59,S72,S96,S105)</f>
        <v>2</v>
      </c>
      <c r="T148" s="32">
        <f t="shared" si="112"/>
        <v>2</v>
      </c>
      <c r="U148" s="32">
        <f t="shared" si="112"/>
        <v>2</v>
      </c>
      <c r="V148" s="32">
        <f t="shared" si="110"/>
        <v>6</v>
      </c>
    </row>
    <row r="149" spans="1:22">
      <c r="A149" t="s">
        <v>303</v>
      </c>
      <c r="B149"/>
      <c r="C149"/>
      <c r="D149"/>
      <c r="E149"/>
      <c r="F149"/>
      <c r="G149"/>
      <c r="I149" s="29">
        <f>SUM(I31:I33,I37:I44,I48:I50,I54:I56,I60:I69,I73:I87,I90:I93,I97:I102,I106:I111,I114:I116)</f>
        <v>0</v>
      </c>
      <c r="J149" s="29">
        <f>SUM(J31:J33,J37:J44,J48:J50,J54:J56,J60:J69,J73:J87,J90:J93,J97:J102,J106:J111,J114:J116)</f>
        <v>0</v>
      </c>
      <c r="K149" s="29">
        <f>SUM(K31:K33,K37:K44,K48:K50,K54:K56,K60:K69,K73:K87,K90:K93,K97:K102,K106:K111,K114:K116)</f>
        <v>0</v>
      </c>
      <c r="L149" s="29">
        <f t="shared" si="106"/>
        <v>0</v>
      </c>
      <c r="N149" s="29">
        <f>SUM(N31:N33,N37:N44,N48:N50,N54:N56,N60:N69,N73:N87,N90:N93,N97:N102,N106:N111,N114:N116)</f>
        <v>0</v>
      </c>
      <c r="O149" s="29">
        <f>SUM(O31:O33,O37:O44,O48:O50,O54:O56,O60:O69,O73:O87,O90:O93,O97:O102,O106:O111,O114:O116)</f>
        <v>0</v>
      </c>
      <c r="P149" s="29">
        <f>SUM(P31:P33,P37:P44,P48:P50,P54:P56,P60:P69,P73:P87,P90:P93,P97:P102,P106:P111,P114:P116)</f>
        <v>0</v>
      </c>
      <c r="Q149" s="26">
        <f t="shared" si="108"/>
        <v>0</v>
      </c>
      <c r="S149" s="32">
        <f>SUM(S31:S33,S37:S44,S48:S50,S54:S56,S60:S69,S73:S87,S90:S93,S97:S102,S106:S111,S114:S116)</f>
        <v>0</v>
      </c>
      <c r="T149" s="32">
        <f>SUM(T31:T33,T37:T44,T48:T50,T54:T56,T60:T69,T73:T87,T90:T93,T97:T102,T106:T111,T114:T116)</f>
        <v>0</v>
      </c>
      <c r="U149" s="32">
        <f>SUM(U31:U33,U37:U44,U48:U50,U54:U56,U60:U69,U73:U87,U90:U93,U97:U102,U106:U111,U114:U116)</f>
        <v>0</v>
      </c>
      <c r="V149" s="32">
        <f t="shared" si="110"/>
        <v>0</v>
      </c>
    </row>
    <row r="150" spans="1:22">
      <c r="A150" t="s">
        <v>305</v>
      </c>
      <c r="B150"/>
      <c r="C150"/>
      <c r="D150"/>
      <c r="E150"/>
      <c r="F150"/>
      <c r="G150"/>
      <c r="I150" s="29">
        <f>SUM(I119:I121,I125:I129,I133:I136,I141)</f>
        <v>150</v>
      </c>
      <c r="J150" s="29">
        <f>SUM(J119:J121,J125:J129,J133:J136,J141)</f>
        <v>159</v>
      </c>
      <c r="K150" s="29">
        <f>SUM(K119:K121,K125:K129,K133:K136,K141)</f>
        <v>150</v>
      </c>
      <c r="L150" s="29">
        <f t="shared" si="106"/>
        <v>459</v>
      </c>
      <c r="N150" s="26">
        <f t="shared" ref="N150:P150" si="113">SUM(N119:N121,N125:N129,N133:N136,N141)</f>
        <v>2.5</v>
      </c>
      <c r="O150" s="26">
        <f t="shared" si="113"/>
        <v>2.65</v>
      </c>
      <c r="P150" s="26">
        <f t="shared" si="113"/>
        <v>2.5</v>
      </c>
      <c r="Q150" s="26">
        <f t="shared" si="108"/>
        <v>7.65</v>
      </c>
      <c r="S150" s="32">
        <f t="shared" ref="S150:U150" si="114">SUM(S119:S121,S125:S129,S133:S136,S141)</f>
        <v>3</v>
      </c>
      <c r="T150" s="32">
        <f t="shared" si="114"/>
        <v>4</v>
      </c>
      <c r="U150" s="32">
        <f t="shared" si="114"/>
        <v>3</v>
      </c>
      <c r="V150" s="32">
        <f t="shared" si="110"/>
        <v>10</v>
      </c>
    </row>
    <row r="151" spans="1:22">
      <c r="A151" t="s">
        <v>307</v>
      </c>
      <c r="B151"/>
      <c r="C151"/>
      <c r="D151"/>
      <c r="E151"/>
      <c r="F151"/>
      <c r="G151"/>
      <c r="I151" s="29">
        <f>SUM(I147:I150)</f>
        <v>1380</v>
      </c>
      <c r="J151" s="29">
        <f>SUM(J147:J150)</f>
        <v>586.5</v>
      </c>
      <c r="K151" s="29">
        <f>SUM(K147:K150)</f>
        <v>885</v>
      </c>
      <c r="L151" s="29">
        <f t="shared" si="106"/>
        <v>2851.5</v>
      </c>
      <c r="N151" s="26">
        <f t="shared" ref="N151:P151" si="115">SUM(N147:N150)</f>
        <v>23</v>
      </c>
      <c r="O151" s="26">
        <f t="shared" si="115"/>
        <v>9.7750000000000004</v>
      </c>
      <c r="P151" s="26">
        <f t="shared" si="115"/>
        <v>14.75</v>
      </c>
      <c r="Q151" s="26">
        <f t="shared" si="108"/>
        <v>47.524999999999999</v>
      </c>
      <c r="S151" s="32">
        <f t="shared" ref="S151:U151" si="116">SUM(S147:S150)</f>
        <v>24</v>
      </c>
      <c r="T151" s="32">
        <f t="shared" si="116"/>
        <v>13</v>
      </c>
      <c r="U151" s="32">
        <f t="shared" si="116"/>
        <v>17</v>
      </c>
      <c r="V151" s="32">
        <f t="shared" si="110"/>
        <v>54</v>
      </c>
    </row>
    <row r="152" spans="1:22">
      <c r="A152" t="s">
        <v>308</v>
      </c>
      <c r="B152"/>
      <c r="C152"/>
      <c r="D152"/>
      <c r="E152"/>
      <c r="F152"/>
      <c r="G152"/>
      <c r="I152" s="29">
        <f>SUM(I7:I141)</f>
        <v>1380</v>
      </c>
      <c r="J152" s="29">
        <f>SUM(J7:J141)</f>
        <v>586.5</v>
      </c>
      <c r="K152" s="29">
        <f>SUM(K7:K141)</f>
        <v>885</v>
      </c>
      <c r="L152" s="29">
        <f t="shared" si="106"/>
        <v>2851.5</v>
      </c>
      <c r="N152" s="26">
        <f t="shared" ref="N152:P152" si="117">SUM(N7:N141)</f>
        <v>23</v>
      </c>
      <c r="O152" s="26">
        <f t="shared" si="117"/>
        <v>9.7750000000000004</v>
      </c>
      <c r="P152" s="26">
        <f t="shared" si="117"/>
        <v>14.75</v>
      </c>
      <c r="Q152" s="26">
        <f t="shared" si="108"/>
        <v>47.524999999999999</v>
      </c>
      <c r="S152" s="32">
        <f t="shared" ref="S152:U152" si="118">SUM(S7:S141)</f>
        <v>24</v>
      </c>
      <c r="T152" s="32">
        <f t="shared" si="118"/>
        <v>13</v>
      </c>
      <c r="U152" s="32">
        <f t="shared" si="118"/>
        <v>17</v>
      </c>
      <c r="V152" s="32">
        <f>SUM(S152:U152)</f>
        <v>54</v>
      </c>
    </row>
    <row r="153" spans="1:22">
      <c r="A153" t="s">
        <v>317</v>
      </c>
      <c r="B153"/>
      <c r="C153"/>
      <c r="D153"/>
      <c r="E153"/>
      <c r="F153"/>
      <c r="G153"/>
      <c r="I153" s="29">
        <f>Questionnaire!$I$10+MAX($I$149:$K$149)/60/(Questionnaire!$I$8*Questionnaire!$I$9)</f>
        <v>0</v>
      </c>
      <c r="J153" s="29">
        <f>Questionnaire!$I$10+MAX($I$149:$K$149)/60/(Questionnaire!$I$8*Questionnaire!$I$9)</f>
        <v>0</v>
      </c>
      <c r="K153" s="29">
        <f>Questionnaire!$I$10+MAX($I$149:$K$149)/60/(Questionnaire!$I$8*Questionnaire!$I$9)</f>
        <v>0</v>
      </c>
      <c r="L153" s="29">
        <f>K153</f>
        <v>0</v>
      </c>
      <c r="N153" s="29">
        <f>Questionnaire!$I$10+MAX($I$149:$K$149)/60/(Questionnaire!$I$8*Questionnaire!$I$9)</f>
        <v>0</v>
      </c>
      <c r="O153" s="29">
        <f>Questionnaire!$I$10+MAX($I$149:$K$149)/60/(Questionnaire!$I$8*Questionnaire!$I$9)</f>
        <v>0</v>
      </c>
      <c r="P153" s="29">
        <f>Questionnaire!$I$10+MAX($I$149:$K$149)/60/(Questionnaire!$I$8*Questionnaire!$I$9)</f>
        <v>0</v>
      </c>
      <c r="Q153" s="26">
        <f>P153</f>
        <v>0</v>
      </c>
      <c r="S153" s="32">
        <f>ROUNDUP(Questionnaire!$I$10+MAX($I$149:$K$149)/60/(Questionnaire!$I$8*Questionnaire!$I$9),0)</f>
        <v>0</v>
      </c>
      <c r="T153" s="32">
        <f>ROUNDUP(Questionnaire!$I$10+MAX($I$149:$K$149)/60/(Questionnaire!$I$8*Questionnaire!$I$9),0)</f>
        <v>0</v>
      </c>
      <c r="U153" s="32">
        <f>ROUNDUP(Questionnaire!$I$10+MAX($I$149:$K$149)/60/(Questionnaire!$I$8*Questionnaire!$I$9),0)</f>
        <v>0</v>
      </c>
      <c r="V153" s="32">
        <f>U153</f>
        <v>0</v>
      </c>
    </row>
    <row r="154" spans="1:22">
      <c r="A154" t="s">
        <v>413</v>
      </c>
      <c r="B154"/>
      <c r="C154"/>
      <c r="D154"/>
      <c r="E154"/>
      <c r="F154"/>
      <c r="G154"/>
      <c r="I154" s="29">
        <f>IF(SUM(I133:I137)&gt;0,1,0)</f>
        <v>0</v>
      </c>
      <c r="J154" s="29">
        <f>IF(SUM(J133:J137)&gt;0,1,0)</f>
        <v>0</v>
      </c>
      <c r="K154" s="29">
        <f>IF(SUM(K133:K137)&gt;0,1,0)</f>
        <v>0</v>
      </c>
      <c r="L154" s="29">
        <f>K154</f>
        <v>0</v>
      </c>
      <c r="N154" s="29">
        <f>IF(SUM(N133:N137)&gt;0,1,0)</f>
        <v>0</v>
      </c>
      <c r="O154" s="29">
        <f>IF(SUM(O133:O137)&gt;0,1,0)</f>
        <v>0</v>
      </c>
      <c r="P154" s="29">
        <f>IF(SUM(P133:P137)&gt;0,1,0)</f>
        <v>0</v>
      </c>
      <c r="Q154" s="29">
        <f>P154</f>
        <v>0</v>
      </c>
      <c r="S154" s="32">
        <f>IF(SUM(S133:S137)&gt;0,1,0)</f>
        <v>0</v>
      </c>
      <c r="T154" s="32">
        <f>IF(SUM(T133:T137)&gt;0,1,0)</f>
        <v>0</v>
      </c>
      <c r="U154" s="32">
        <f>IF(SUM(U133:U137)&gt;0,1,0)</f>
        <v>0</v>
      </c>
      <c r="V154" s="32">
        <f>U154</f>
        <v>0</v>
      </c>
    </row>
    <row r="155" spans="1:22">
      <c r="A155" t="s">
        <v>318</v>
      </c>
      <c r="B155"/>
      <c r="C155"/>
      <c r="D155"/>
      <c r="E155"/>
      <c r="F155"/>
      <c r="G155"/>
      <c r="I155" s="29">
        <f>I153+I154+Questionnaire!$I$5+Questionnaire!$I$6+Questionnaire!$I$7</f>
        <v>3</v>
      </c>
      <c r="J155" s="29">
        <f>J153+J154+Questionnaire!$I$5+Questionnaire!$I$6+Questionnaire!$I$7</f>
        <v>3</v>
      </c>
      <c r="K155" s="29">
        <f>K153+K154+Questionnaire!$I$5+Questionnaire!$I$6+Questionnaire!$I$7</f>
        <v>3</v>
      </c>
      <c r="L155" s="29">
        <f>K155</f>
        <v>3</v>
      </c>
      <c r="N155" s="29">
        <f>N153+N154+Questionnaire!$I$5+Questionnaire!$I$6+Questionnaire!$I$7</f>
        <v>3</v>
      </c>
      <c r="O155" s="29">
        <f>O153+O154+Questionnaire!$I$5+Questionnaire!$I$6+Questionnaire!$I$7</f>
        <v>3</v>
      </c>
      <c r="P155" s="29">
        <f>P153+P154+Questionnaire!$I$5+Questionnaire!$I$6+Questionnaire!$I$7</f>
        <v>3</v>
      </c>
      <c r="Q155" s="26">
        <f>P155</f>
        <v>3</v>
      </c>
      <c r="S155" s="32">
        <f>S153+S154+Questionnaire!$I$5+Questionnaire!$I$6+Questionnaire!$I$7</f>
        <v>3</v>
      </c>
      <c r="T155" s="32">
        <f>T153+T154+Questionnaire!$I$5+Questionnaire!$I$6+Questionnaire!$I$7</f>
        <v>3</v>
      </c>
      <c r="U155" s="32">
        <f>U153+U154+Questionnaire!$I$5+Questionnaire!$I$6+Questionnaire!$I$7</f>
        <v>3</v>
      </c>
      <c r="V155" s="32">
        <f>U155</f>
        <v>3</v>
      </c>
    </row>
    <row r="156" spans="1:22">
      <c r="A156" t="s">
        <v>378</v>
      </c>
      <c r="B156"/>
      <c r="C156"/>
      <c r="D156"/>
      <c r="E156"/>
      <c r="F156"/>
      <c r="G156"/>
      <c r="I156" s="29">
        <f>SUM(I10:I12)</f>
        <v>900</v>
      </c>
      <c r="J156" s="29">
        <f>SUM(J10:J12)</f>
        <v>157.5</v>
      </c>
      <c r="K156" s="29">
        <f>SUM(K10:K12)</f>
        <v>135</v>
      </c>
      <c r="L156" s="29">
        <f t="shared" ref="L156" si="119">SUM(I156:K156)</f>
        <v>1192.5</v>
      </c>
      <c r="N156" s="29">
        <f>SUM(N10:N12)</f>
        <v>15</v>
      </c>
      <c r="O156" s="29">
        <f>SUM(O10:O12)</f>
        <v>2.625</v>
      </c>
      <c r="P156" s="29">
        <f>SUM(P10:P12)</f>
        <v>2.25</v>
      </c>
      <c r="Q156" s="26">
        <f t="shared" ref="Q156" si="120">SUM(N156:P156)</f>
        <v>19.875</v>
      </c>
      <c r="S156" s="32">
        <f>SUM(S10:S12)</f>
        <v>15</v>
      </c>
      <c r="T156" s="32">
        <f>SUM(T10:T12)</f>
        <v>4</v>
      </c>
      <c r="U156" s="32">
        <f>SUM(U10:U12)</f>
        <v>3</v>
      </c>
      <c r="V156" s="32">
        <f t="shared" ref="V156" si="121">SUM(S156:U156)</f>
        <v>22</v>
      </c>
    </row>
    <row r="157" spans="1:22">
      <c r="A157"/>
      <c r="B157"/>
      <c r="C157"/>
      <c r="D157"/>
      <c r="E157"/>
      <c r="F157"/>
      <c r="G157"/>
      <c r="N157" s="29"/>
      <c r="O157" s="29"/>
      <c r="P157" s="29"/>
    </row>
    <row r="158" spans="1:22">
      <c r="A158"/>
      <c r="B158"/>
      <c r="C158"/>
      <c r="D158"/>
      <c r="E158"/>
      <c r="F158"/>
      <c r="G158"/>
    </row>
    <row r="159" spans="1:22">
      <c r="A159"/>
      <c r="B159"/>
      <c r="C159"/>
      <c r="D159"/>
      <c r="E159"/>
      <c r="F159"/>
      <c r="G159"/>
    </row>
    <row r="160" spans="1:22" s="56" customFormat="1">
      <c r="A160" s="57" t="s">
        <v>302</v>
      </c>
      <c r="B160" s="57"/>
      <c r="C160" s="58"/>
      <c r="D160" s="58"/>
      <c r="E160" s="58"/>
      <c r="F160" s="58"/>
      <c r="G160" s="58"/>
      <c r="H160" s="107"/>
      <c r="I160" s="59"/>
      <c r="J160" s="59"/>
      <c r="K160" s="59"/>
      <c r="L160" s="59"/>
      <c r="M160" s="60"/>
      <c r="N160" s="61"/>
      <c r="O160" s="61"/>
      <c r="P160" s="61"/>
      <c r="Q160" s="61"/>
      <c r="R160" s="60"/>
      <c r="S160" s="62"/>
      <c r="T160" s="62"/>
      <c r="U160" s="62"/>
      <c r="V160" s="62"/>
    </row>
    <row r="161" spans="1:22">
      <c r="A161" s="18" t="s">
        <v>297</v>
      </c>
      <c r="B161" s="18"/>
      <c r="C161" s="19"/>
      <c r="D161" s="19"/>
      <c r="E161" s="19"/>
      <c r="F161" s="19"/>
      <c r="G161" s="19"/>
      <c r="H161" s="108"/>
      <c r="I161" s="31">
        <f>(Questionnaire!$I$51&gt;0)+(Questionnaire!$I$67&gt;0)</f>
        <v>0</v>
      </c>
      <c r="J161" s="31">
        <f>(Questionnaire!$I$51&gt;0)+(Questionnaire!$I$67&gt;0)</f>
        <v>0</v>
      </c>
      <c r="K161" s="31">
        <f>(Questionnaire!$I$51&gt;0)+(Questionnaire!$I$67&gt;0)</f>
        <v>0</v>
      </c>
      <c r="L161" s="31">
        <f>K161</f>
        <v>0</v>
      </c>
      <c r="M161" s="20"/>
      <c r="N161" s="31">
        <f>(Questionnaire!$I$51&gt;0)+(Questionnaire!$I$67&gt;0)</f>
        <v>0</v>
      </c>
      <c r="O161" s="31">
        <f>(Questionnaire!$I$51&gt;0)+(Questionnaire!$I$67&gt;0)</f>
        <v>0</v>
      </c>
      <c r="P161" s="31">
        <f>(Questionnaire!$I$51&gt;0)+(Questionnaire!$I$67&gt;0)</f>
        <v>0</v>
      </c>
      <c r="Q161" s="28">
        <f>P161</f>
        <v>0</v>
      </c>
      <c r="R161" s="20"/>
      <c r="S161" s="31">
        <f>(Questionnaire!$I$51&gt;0)+(Questionnaire!$I$67&gt;0)</f>
        <v>0</v>
      </c>
      <c r="T161" s="31">
        <f>(Questionnaire!$I$51&gt;0)+(Questionnaire!$I$67&gt;0)</f>
        <v>0</v>
      </c>
      <c r="U161" s="31">
        <f>(Questionnaire!$I$51&gt;0)+(Questionnaire!$I$67&gt;0)</f>
        <v>0</v>
      </c>
      <c r="V161" s="36">
        <f>U161</f>
        <v>0</v>
      </c>
    </row>
    <row r="162" spans="1:22">
      <c r="A162" s="18" t="s">
        <v>298</v>
      </c>
      <c r="B162" s="18"/>
      <c r="C162" s="19"/>
      <c r="D162" s="19"/>
      <c r="E162" s="19"/>
      <c r="F162" s="19"/>
      <c r="G162" s="19"/>
      <c r="H162" s="108"/>
      <c r="I162" s="31">
        <f>Questionnaire!$I$51+Questionnaire!$I$67</f>
        <v>0</v>
      </c>
      <c r="J162" s="31">
        <f>Questionnaire!$I$51+Questionnaire!$I$67</f>
        <v>0</v>
      </c>
      <c r="K162" s="31">
        <f>Questionnaire!$I$51+Questionnaire!$I$67</f>
        <v>0</v>
      </c>
      <c r="L162" s="31">
        <f>K162</f>
        <v>0</v>
      </c>
      <c r="M162" s="20"/>
      <c r="N162" s="31">
        <f>Questionnaire!$I$51+Questionnaire!$I$67</f>
        <v>0</v>
      </c>
      <c r="O162" s="31">
        <f>Questionnaire!$I$51+Questionnaire!$I$67</f>
        <v>0</v>
      </c>
      <c r="P162" s="31">
        <f>Questionnaire!$I$51+Questionnaire!$I$67</f>
        <v>0</v>
      </c>
      <c r="Q162" s="28">
        <f>P162</f>
        <v>0</v>
      </c>
      <c r="R162" s="20"/>
      <c r="S162" s="31">
        <f>Questionnaire!$I$51+Questionnaire!$I$67</f>
        <v>0</v>
      </c>
      <c r="T162" s="31">
        <f>Questionnaire!$I$51+Questionnaire!$I$67</f>
        <v>0</v>
      </c>
      <c r="U162" s="31">
        <f>Questionnaire!$I$51+Questionnaire!$I$67</f>
        <v>0</v>
      </c>
      <c r="V162" s="36">
        <f>U162</f>
        <v>0</v>
      </c>
    </row>
    <row r="163" spans="1:22">
      <c r="A163" s="18"/>
      <c r="B163" s="18"/>
      <c r="C163" s="19"/>
      <c r="D163" s="19"/>
      <c r="E163" s="19"/>
      <c r="F163" s="19"/>
      <c r="G163" s="19"/>
      <c r="H163" s="108"/>
      <c r="I163" s="31"/>
      <c r="J163" s="31"/>
      <c r="K163" s="31"/>
      <c r="L163" s="31"/>
      <c r="M163" s="20"/>
      <c r="N163" s="28"/>
      <c r="O163" s="28"/>
      <c r="P163" s="28"/>
      <c r="Q163" s="28"/>
      <c r="R163" s="20"/>
      <c r="S163" s="36"/>
      <c r="T163" s="36"/>
      <c r="U163" s="36"/>
      <c r="V163" s="36"/>
    </row>
    <row r="164" spans="1:22" s="56" customFormat="1">
      <c r="A164" s="57" t="s">
        <v>294</v>
      </c>
      <c r="B164" s="57" t="s">
        <v>14</v>
      </c>
      <c r="C164" s="58" t="s">
        <v>20</v>
      </c>
      <c r="D164" s="58" t="s">
        <v>134</v>
      </c>
      <c r="E164" s="58" t="s">
        <v>11</v>
      </c>
      <c r="F164" s="58" t="s">
        <v>12</v>
      </c>
      <c r="G164" s="58" t="s">
        <v>13</v>
      </c>
      <c r="H164" s="104" t="s">
        <v>411</v>
      </c>
      <c r="I164" s="59"/>
      <c r="J164" s="59"/>
      <c r="K164" s="59"/>
      <c r="L164" s="59"/>
      <c r="M164" s="60"/>
      <c r="N164" s="61"/>
      <c r="O164" s="61"/>
      <c r="P164" s="61"/>
      <c r="Q164" s="61"/>
      <c r="R164" s="60"/>
      <c r="S164" s="62"/>
      <c r="T164" s="62"/>
      <c r="U164" s="62"/>
      <c r="V164" s="62"/>
    </row>
    <row r="165" spans="1:22">
      <c r="A165" s="18" t="s">
        <v>15</v>
      </c>
      <c r="B165" s="18"/>
      <c r="C165" s="19" t="s">
        <v>84</v>
      </c>
      <c r="D165" s="69">
        <v>1</v>
      </c>
      <c r="E165" s="69">
        <v>60</v>
      </c>
      <c r="F165" s="69">
        <v>60</v>
      </c>
      <c r="G165" s="69">
        <v>60</v>
      </c>
      <c r="H165" s="109"/>
      <c r="I165" s="31">
        <f>IF(Questionnaire!$I$51&gt;0,Details!E165/Details!$D$165,0)</f>
        <v>0</v>
      </c>
      <c r="J165" s="31">
        <f>IF(Questionnaire!$I$51&gt;0,Details!F165/Details!$D$165,0)</f>
        <v>0</v>
      </c>
      <c r="K165" s="31">
        <f>IF(Questionnaire!$I$51&gt;0,Details!G165/Details!$D$165,0)</f>
        <v>0</v>
      </c>
      <c r="L165" s="31">
        <f t="shared" ref="L165:L179" si="122">SUM(I165:K165)</f>
        <v>0</v>
      </c>
      <c r="M165" s="20"/>
      <c r="N165" s="28">
        <f t="shared" ref="N165:N179" si="123">I165/60</f>
        <v>0</v>
      </c>
      <c r="O165" s="28">
        <f t="shared" ref="O165:O179" si="124">J165/60</f>
        <v>0</v>
      </c>
      <c r="P165" s="28">
        <f t="shared" ref="P165:P179" si="125">K165/60</f>
        <v>0</v>
      </c>
      <c r="Q165" s="28">
        <f t="shared" ref="Q165:Q179" si="126">SUM(N165:P165)</f>
        <v>0</v>
      </c>
      <c r="R165" s="20"/>
      <c r="S165" s="36">
        <f>ROUNDUP(N165,0)</f>
        <v>0</v>
      </c>
      <c r="T165" s="36">
        <f>ROUNDUP(O165,0)</f>
        <v>0</v>
      </c>
      <c r="U165" s="36">
        <f>ROUNDUP(P165,0)</f>
        <v>0</v>
      </c>
      <c r="V165" s="36">
        <f t="shared" ref="V165:V179" si="127">SUM(S165:U165)</f>
        <v>0</v>
      </c>
    </row>
    <row r="166" spans="1:22">
      <c r="A166" s="18" t="s">
        <v>124</v>
      </c>
      <c r="B166" s="18"/>
      <c r="C166" s="19" t="s">
        <v>84</v>
      </c>
      <c r="D166" s="69">
        <v>1</v>
      </c>
      <c r="E166" s="69"/>
      <c r="F166" s="69">
        <v>60</v>
      </c>
      <c r="G166" s="69">
        <v>60</v>
      </c>
      <c r="H166" s="109"/>
      <c r="I166" s="31">
        <f>IF(Questionnaire!$I$51&gt;0,Details!E166/Details!$D$166,0)</f>
        <v>0</v>
      </c>
      <c r="J166" s="31">
        <f>IF(Questionnaire!$I$51&gt;0,Details!F166/Details!$D$166,0)</f>
        <v>0</v>
      </c>
      <c r="K166" s="31">
        <f>IF(Questionnaire!$I$51&gt;0,Details!G166/Details!$D$166,0)</f>
        <v>0</v>
      </c>
      <c r="L166" s="31">
        <f t="shared" si="122"/>
        <v>0</v>
      </c>
      <c r="M166" s="20"/>
      <c r="N166" s="28">
        <f t="shared" si="123"/>
        <v>0</v>
      </c>
      <c r="O166" s="28">
        <f t="shared" si="124"/>
        <v>0</v>
      </c>
      <c r="P166" s="28">
        <f t="shared" si="125"/>
        <v>0</v>
      </c>
      <c r="Q166" s="28">
        <f t="shared" si="126"/>
        <v>0</v>
      </c>
      <c r="R166" s="20"/>
      <c r="S166" s="36">
        <f t="shared" ref="S166:S179" si="128">ROUNDUP(N166,0)</f>
        <v>0</v>
      </c>
      <c r="T166" s="36">
        <f t="shared" ref="T166:T179" si="129">ROUNDUP(O166,0)</f>
        <v>0</v>
      </c>
      <c r="U166" s="36">
        <f t="shared" ref="U166:U179" si="130">ROUNDUP(P166,0)</f>
        <v>0</v>
      </c>
      <c r="V166" s="36">
        <f t="shared" si="127"/>
        <v>0</v>
      </c>
    </row>
    <row r="167" spans="1:22">
      <c r="A167" s="18" t="s">
        <v>123</v>
      </c>
      <c r="B167" s="18"/>
      <c r="C167" s="19" t="s">
        <v>113</v>
      </c>
      <c r="D167" s="69">
        <v>1</v>
      </c>
      <c r="E167" s="69"/>
      <c r="F167" s="69"/>
      <c r="G167" s="69">
        <v>15</v>
      </c>
      <c r="H167" s="109"/>
      <c r="I167" s="31">
        <f>IF(Questionnaire!$I$51&gt;0,Questionnaire!$I$51*Details!E167/Details!$D$167,0)</f>
        <v>0</v>
      </c>
      <c r="J167" s="31">
        <f>IF(Questionnaire!$I$51&gt;0,Questionnaire!$I$51*Details!F167/Details!$D$167,0)</f>
        <v>0</v>
      </c>
      <c r="K167" s="31">
        <f>IF(Questionnaire!$I$51&gt;0,Questionnaire!$I$51*Details!G167/Details!$D$167,0)</f>
        <v>0</v>
      </c>
      <c r="L167" s="31">
        <f t="shared" si="122"/>
        <v>0</v>
      </c>
      <c r="M167" s="20"/>
      <c r="N167" s="28">
        <f t="shared" si="123"/>
        <v>0</v>
      </c>
      <c r="O167" s="28">
        <f t="shared" si="124"/>
        <v>0</v>
      </c>
      <c r="P167" s="28">
        <f t="shared" si="125"/>
        <v>0</v>
      </c>
      <c r="Q167" s="28">
        <f t="shared" si="126"/>
        <v>0</v>
      </c>
      <c r="R167" s="20"/>
      <c r="S167" s="36">
        <f t="shared" si="128"/>
        <v>0</v>
      </c>
      <c r="T167" s="36">
        <f t="shared" si="129"/>
        <v>0</v>
      </c>
      <c r="U167" s="36">
        <f t="shared" si="130"/>
        <v>0</v>
      </c>
      <c r="V167" s="36">
        <f t="shared" si="127"/>
        <v>0</v>
      </c>
    </row>
    <row r="168" spans="1:22">
      <c r="A168" s="18" t="s">
        <v>126</v>
      </c>
      <c r="B168" s="18"/>
      <c r="C168" s="19" t="s">
        <v>113</v>
      </c>
      <c r="D168" s="69">
        <v>1</v>
      </c>
      <c r="E168" s="69"/>
      <c r="F168" s="69"/>
      <c r="G168" s="69">
        <v>15</v>
      </c>
      <c r="H168" s="109"/>
      <c r="I168" s="31">
        <f>IF(Questionnaire!$I$63,Questionnaire!$I$51*Details!E168/Details!$D$168,0)</f>
        <v>0</v>
      </c>
      <c r="J168" s="31">
        <f>IF(Questionnaire!$I$63,Questionnaire!$I$51*Details!F168/Details!$D$168,0)</f>
        <v>0</v>
      </c>
      <c r="K168" s="31">
        <f>IF(Questionnaire!$I$63,Questionnaire!$I$51*Details!G168/Details!$D$168,0)</f>
        <v>0</v>
      </c>
      <c r="L168" s="31">
        <f t="shared" si="122"/>
        <v>0</v>
      </c>
      <c r="M168" s="20"/>
      <c r="N168" s="28">
        <f t="shared" si="123"/>
        <v>0</v>
      </c>
      <c r="O168" s="28">
        <f t="shared" si="124"/>
        <v>0</v>
      </c>
      <c r="P168" s="28">
        <f t="shared" si="125"/>
        <v>0</v>
      </c>
      <c r="Q168" s="28">
        <f t="shared" si="126"/>
        <v>0</v>
      </c>
      <c r="R168" s="20"/>
      <c r="S168" s="36">
        <f t="shared" si="128"/>
        <v>0</v>
      </c>
      <c r="T168" s="36">
        <f t="shared" si="129"/>
        <v>0</v>
      </c>
      <c r="U168" s="36">
        <f t="shared" si="130"/>
        <v>0</v>
      </c>
      <c r="V168" s="36">
        <f t="shared" si="127"/>
        <v>0</v>
      </c>
    </row>
    <row r="169" spans="1:22">
      <c r="A169" s="18" t="s">
        <v>127</v>
      </c>
      <c r="B169" s="18"/>
      <c r="C169" s="19" t="s">
        <v>113</v>
      </c>
      <c r="D169" s="69">
        <v>1</v>
      </c>
      <c r="E169" s="69"/>
      <c r="F169" s="69"/>
      <c r="G169" s="69">
        <v>5</v>
      </c>
      <c r="H169" s="109"/>
      <c r="I169" s="31">
        <f>IF(Questionnaire!$I$64,Questionnaire!$I$51*Details!E169/Details!$D$169,0)</f>
        <v>0</v>
      </c>
      <c r="J169" s="31">
        <f>IF(Questionnaire!$I$64,Questionnaire!$I$51*Details!F169/Details!$D$169,0)</f>
        <v>0</v>
      </c>
      <c r="K169" s="31">
        <f>IF(Questionnaire!$I$64,Questionnaire!$I$51*Details!G169/Details!$D$169,0)</f>
        <v>0</v>
      </c>
      <c r="L169" s="31">
        <f t="shared" si="122"/>
        <v>0</v>
      </c>
      <c r="M169" s="20"/>
      <c r="N169" s="28">
        <f t="shared" si="123"/>
        <v>0</v>
      </c>
      <c r="O169" s="28">
        <f t="shared" si="124"/>
        <v>0</v>
      </c>
      <c r="P169" s="28">
        <f t="shared" si="125"/>
        <v>0</v>
      </c>
      <c r="Q169" s="28">
        <f t="shared" si="126"/>
        <v>0</v>
      </c>
      <c r="R169" s="20"/>
      <c r="S169" s="36">
        <f t="shared" si="128"/>
        <v>0</v>
      </c>
      <c r="T169" s="36">
        <f t="shared" si="129"/>
        <v>0</v>
      </c>
      <c r="U169" s="36">
        <f t="shared" si="130"/>
        <v>0</v>
      </c>
      <c r="V169" s="36">
        <f t="shared" si="127"/>
        <v>0</v>
      </c>
    </row>
    <row r="170" spans="1:22">
      <c r="A170" s="18" t="s">
        <v>108</v>
      </c>
      <c r="B170" s="18"/>
      <c r="C170" s="19" t="s">
        <v>110</v>
      </c>
      <c r="D170" s="69">
        <v>1</v>
      </c>
      <c r="E170" s="69"/>
      <c r="F170" s="69"/>
      <c r="G170" s="69">
        <v>5</v>
      </c>
      <c r="H170" s="109"/>
      <c r="I170" s="31">
        <f>IF(Questionnaire!$I$53&gt;0,Questionnaire!$I$53*Details!E170/Details!$D$170,0)</f>
        <v>0</v>
      </c>
      <c r="J170" s="31">
        <f>IF(Questionnaire!$I$53&gt;0,Questionnaire!$I$53*Details!F170/Details!$D$170,0)</f>
        <v>0</v>
      </c>
      <c r="K170" s="31">
        <f>IF(Questionnaire!$I$53&gt;0,Questionnaire!$I$53*Details!G170/Details!$D$170,0)</f>
        <v>0</v>
      </c>
      <c r="L170" s="31">
        <f t="shared" si="122"/>
        <v>0</v>
      </c>
      <c r="M170" s="20"/>
      <c r="N170" s="28">
        <f t="shared" si="123"/>
        <v>0</v>
      </c>
      <c r="O170" s="28">
        <f t="shared" si="124"/>
        <v>0</v>
      </c>
      <c r="P170" s="28">
        <f t="shared" si="125"/>
        <v>0</v>
      </c>
      <c r="Q170" s="28">
        <f t="shared" si="126"/>
        <v>0</v>
      </c>
      <c r="R170" s="20"/>
      <c r="S170" s="36">
        <f t="shared" si="128"/>
        <v>0</v>
      </c>
      <c r="T170" s="36">
        <f t="shared" si="129"/>
        <v>0</v>
      </c>
      <c r="U170" s="36">
        <f t="shared" si="130"/>
        <v>0</v>
      </c>
      <c r="V170" s="36">
        <f t="shared" si="127"/>
        <v>0</v>
      </c>
    </row>
    <row r="171" spans="1:22">
      <c r="A171" s="18" t="s">
        <v>364</v>
      </c>
      <c r="B171" s="18"/>
      <c r="C171" s="19" t="s">
        <v>111</v>
      </c>
      <c r="D171" s="69">
        <v>1</v>
      </c>
      <c r="E171" s="69"/>
      <c r="F171" s="69"/>
      <c r="G171" s="69">
        <v>30</v>
      </c>
      <c r="H171" s="109"/>
      <c r="I171" s="31">
        <f>IF(Questionnaire!$I$52&gt;0,Questionnaire!$I$52*Details!E171/Details!$D$171,0)</f>
        <v>0</v>
      </c>
      <c r="J171" s="31">
        <f>IF(Questionnaire!$I$52&gt;0,Questionnaire!$I$52*Details!F171/Details!$D$171,0)</f>
        <v>0</v>
      </c>
      <c r="K171" s="31">
        <f>IF(Questionnaire!$I$52&gt;0,Questionnaire!$I$52*Details!G171/Details!$D$171,0)</f>
        <v>0</v>
      </c>
      <c r="L171" s="31">
        <f t="shared" si="122"/>
        <v>0</v>
      </c>
      <c r="M171" s="20"/>
      <c r="N171" s="28">
        <f t="shared" si="123"/>
        <v>0</v>
      </c>
      <c r="O171" s="28">
        <f t="shared" si="124"/>
        <v>0</v>
      </c>
      <c r="P171" s="28">
        <f t="shared" si="125"/>
        <v>0</v>
      </c>
      <c r="Q171" s="28">
        <f t="shared" si="126"/>
        <v>0</v>
      </c>
      <c r="R171" s="20"/>
      <c r="S171" s="36">
        <f t="shared" si="128"/>
        <v>0</v>
      </c>
      <c r="T171" s="36">
        <f t="shared" si="129"/>
        <v>0</v>
      </c>
      <c r="U171" s="36">
        <f t="shared" si="130"/>
        <v>0</v>
      </c>
      <c r="V171" s="36">
        <f t="shared" si="127"/>
        <v>0</v>
      </c>
    </row>
    <row r="172" spans="1:22">
      <c r="A172" s="18" t="s">
        <v>112</v>
      </c>
      <c r="B172" s="18"/>
      <c r="C172" s="19" t="s">
        <v>113</v>
      </c>
      <c r="D172" s="69">
        <v>1</v>
      </c>
      <c r="E172" s="69"/>
      <c r="F172" s="69"/>
      <c r="G172" s="69">
        <v>30</v>
      </c>
      <c r="H172" s="109"/>
      <c r="I172" s="31">
        <f>IF(Questionnaire!$I$55&gt;0,Questionnaire!$I$55*Details!E172/Details!$D$172,0)</f>
        <v>0</v>
      </c>
      <c r="J172" s="31">
        <f>IF(Questionnaire!$I$55&gt;0,Questionnaire!$I$55*Details!F172/Details!$D$172,0)</f>
        <v>0</v>
      </c>
      <c r="K172" s="31">
        <f>IF(Questionnaire!$I$55&gt;0,Questionnaire!$I$55*Details!G172/Details!$D$172,0)</f>
        <v>0</v>
      </c>
      <c r="L172" s="31">
        <f t="shared" si="122"/>
        <v>0</v>
      </c>
      <c r="M172" s="20"/>
      <c r="N172" s="28">
        <f t="shared" si="123"/>
        <v>0</v>
      </c>
      <c r="O172" s="28">
        <f t="shared" si="124"/>
        <v>0</v>
      </c>
      <c r="P172" s="28">
        <f t="shared" si="125"/>
        <v>0</v>
      </c>
      <c r="Q172" s="28">
        <f t="shared" si="126"/>
        <v>0</v>
      </c>
      <c r="R172" s="20"/>
      <c r="S172" s="36">
        <f t="shared" si="128"/>
        <v>0</v>
      </c>
      <c r="T172" s="36">
        <f t="shared" si="129"/>
        <v>0</v>
      </c>
      <c r="U172" s="36">
        <f t="shared" si="130"/>
        <v>0</v>
      </c>
      <c r="V172" s="36">
        <f t="shared" si="127"/>
        <v>0</v>
      </c>
    </row>
    <row r="173" spans="1:22">
      <c r="A173" s="18" t="s">
        <v>300</v>
      </c>
      <c r="B173" s="18" t="s">
        <v>301</v>
      </c>
      <c r="C173" s="19" t="s">
        <v>113</v>
      </c>
      <c r="D173" s="69">
        <v>1</v>
      </c>
      <c r="E173" s="69"/>
      <c r="F173" s="69"/>
      <c r="G173" s="69">
        <v>30</v>
      </c>
      <c r="H173" s="109"/>
      <c r="I173" s="31">
        <f>IF(Questionnaire!$I$56&gt;0,Questionnaire!$I$55*Questionnaire!$I$56*Details!E173/Details!$D$173,0)</f>
        <v>0</v>
      </c>
      <c r="J173" s="31">
        <f>IF(Questionnaire!$I$56&gt;0,Questionnaire!$I$55*Questionnaire!$I$56*Details!F173/Details!$D$173,0)</f>
        <v>0</v>
      </c>
      <c r="K173" s="31">
        <f>IF(Questionnaire!$I$56&gt;0,Questionnaire!$I$55*Questionnaire!$I$56*Details!G173/Details!$D$173,0)</f>
        <v>0</v>
      </c>
      <c r="L173" s="31">
        <f t="shared" si="122"/>
        <v>0</v>
      </c>
      <c r="M173" s="20"/>
      <c r="N173" s="28">
        <f t="shared" si="123"/>
        <v>0</v>
      </c>
      <c r="O173" s="28">
        <f t="shared" si="124"/>
        <v>0</v>
      </c>
      <c r="P173" s="28">
        <f t="shared" si="125"/>
        <v>0</v>
      </c>
      <c r="Q173" s="28">
        <f t="shared" si="126"/>
        <v>0</v>
      </c>
      <c r="R173" s="20"/>
      <c r="S173" s="36">
        <f t="shared" si="128"/>
        <v>0</v>
      </c>
      <c r="T173" s="36">
        <f t="shared" si="129"/>
        <v>0</v>
      </c>
      <c r="U173" s="36">
        <f t="shared" si="130"/>
        <v>0</v>
      </c>
      <c r="V173" s="36">
        <f t="shared" si="127"/>
        <v>0</v>
      </c>
    </row>
    <row r="174" spans="1:22">
      <c r="A174" s="18" t="s">
        <v>114</v>
      </c>
      <c r="B174" s="18"/>
      <c r="C174" s="19" t="s">
        <v>115</v>
      </c>
      <c r="D174" s="69">
        <v>1</v>
      </c>
      <c r="E174" s="69"/>
      <c r="F174" s="69"/>
      <c r="G174" s="69">
        <v>15</v>
      </c>
      <c r="H174" s="109"/>
      <c r="I174" s="31">
        <f>IF(Questionnaire!$I$57&gt;0,Questionnaire!$I$57*Details!E174/Details!$D$174,0)</f>
        <v>0</v>
      </c>
      <c r="J174" s="31">
        <f>IF(Questionnaire!$I$57&gt;0,Questionnaire!$I$57*Details!F174/Details!$D$174,0)</f>
        <v>0</v>
      </c>
      <c r="K174" s="31">
        <f>IF(Questionnaire!$I$57&gt;0,Questionnaire!$I$57*Details!G174/Details!$D$174,0)</f>
        <v>0</v>
      </c>
      <c r="L174" s="31">
        <f t="shared" si="122"/>
        <v>0</v>
      </c>
      <c r="M174" s="20"/>
      <c r="N174" s="28">
        <f t="shared" si="123"/>
        <v>0</v>
      </c>
      <c r="O174" s="28">
        <f t="shared" si="124"/>
        <v>0</v>
      </c>
      <c r="P174" s="28">
        <f t="shared" si="125"/>
        <v>0</v>
      </c>
      <c r="Q174" s="28">
        <f t="shared" si="126"/>
        <v>0</v>
      </c>
      <c r="R174" s="20"/>
      <c r="S174" s="36">
        <f t="shared" si="128"/>
        <v>0</v>
      </c>
      <c r="T174" s="36">
        <f t="shared" si="129"/>
        <v>0</v>
      </c>
      <c r="U174" s="36">
        <f t="shared" si="130"/>
        <v>0</v>
      </c>
      <c r="V174" s="36">
        <f t="shared" si="127"/>
        <v>0</v>
      </c>
    </row>
    <row r="175" spans="1:22">
      <c r="A175" s="18" t="s">
        <v>117</v>
      </c>
      <c r="B175" s="18"/>
      <c r="C175" s="19" t="s">
        <v>68</v>
      </c>
      <c r="D175" s="69">
        <v>1</v>
      </c>
      <c r="E175" s="69"/>
      <c r="F175" s="69">
        <v>15</v>
      </c>
      <c r="G175" s="69">
        <v>60</v>
      </c>
      <c r="H175" s="109"/>
      <c r="I175" s="31">
        <f>IF(Questionnaire!$I$58,Details!E175/Details!$D$175,0)</f>
        <v>0</v>
      </c>
      <c r="J175" s="31">
        <f>IF(Questionnaire!$I$58,Details!F175/Details!$D$175,0)</f>
        <v>0</v>
      </c>
      <c r="K175" s="31">
        <f>IF(Questionnaire!$I$58,Details!G175/Details!$D$175,0)</f>
        <v>0</v>
      </c>
      <c r="L175" s="31">
        <f t="shared" si="122"/>
        <v>0</v>
      </c>
      <c r="M175" s="20"/>
      <c r="N175" s="28">
        <f t="shared" si="123"/>
        <v>0</v>
      </c>
      <c r="O175" s="28">
        <f t="shared" si="124"/>
        <v>0</v>
      </c>
      <c r="P175" s="28">
        <f t="shared" si="125"/>
        <v>0</v>
      </c>
      <c r="Q175" s="28">
        <f t="shared" si="126"/>
        <v>0</v>
      </c>
      <c r="R175" s="20"/>
      <c r="S175" s="36">
        <f t="shared" si="128"/>
        <v>0</v>
      </c>
      <c r="T175" s="36">
        <f t="shared" si="129"/>
        <v>0</v>
      </c>
      <c r="U175" s="36">
        <f t="shared" si="130"/>
        <v>0</v>
      </c>
      <c r="V175" s="36">
        <f t="shared" si="127"/>
        <v>0</v>
      </c>
    </row>
    <row r="176" spans="1:22">
      <c r="A176" s="18" t="s">
        <v>118</v>
      </c>
      <c r="B176" s="18"/>
      <c r="C176" s="19" t="s">
        <v>68</v>
      </c>
      <c r="D176" s="69">
        <v>1</v>
      </c>
      <c r="E176" s="69"/>
      <c r="F176" s="69">
        <v>15</v>
      </c>
      <c r="G176" s="69">
        <v>60</v>
      </c>
      <c r="H176" s="109"/>
      <c r="I176" s="31">
        <f>IF(Questionnaire!$I$59,Details!E176/Details!$D$176,0)</f>
        <v>0</v>
      </c>
      <c r="J176" s="31">
        <f>IF(Questionnaire!$I$59,Details!F176/Details!$D$176,0)</f>
        <v>0</v>
      </c>
      <c r="K176" s="31">
        <f>IF(Questionnaire!$I$59,Details!G176/Details!$D$176,0)</f>
        <v>0</v>
      </c>
      <c r="L176" s="31">
        <f t="shared" si="122"/>
        <v>0</v>
      </c>
      <c r="M176" s="20"/>
      <c r="N176" s="28">
        <f t="shared" si="123"/>
        <v>0</v>
      </c>
      <c r="O176" s="28">
        <f t="shared" si="124"/>
        <v>0</v>
      </c>
      <c r="P176" s="28">
        <f t="shared" si="125"/>
        <v>0</v>
      </c>
      <c r="Q176" s="28">
        <f t="shared" si="126"/>
        <v>0</v>
      </c>
      <c r="R176" s="20"/>
      <c r="S176" s="36">
        <f t="shared" si="128"/>
        <v>0</v>
      </c>
      <c r="T176" s="36">
        <f t="shared" si="129"/>
        <v>0</v>
      </c>
      <c r="U176" s="36">
        <f t="shared" si="130"/>
        <v>0</v>
      </c>
      <c r="V176" s="36">
        <f t="shared" si="127"/>
        <v>0</v>
      </c>
    </row>
    <row r="177" spans="1:22">
      <c r="A177" s="18" t="s">
        <v>119</v>
      </c>
      <c r="B177" s="18"/>
      <c r="C177" s="19" t="s">
        <v>121</v>
      </c>
      <c r="D177" s="69">
        <v>1</v>
      </c>
      <c r="E177" s="69"/>
      <c r="F177" s="69"/>
      <c r="G177" s="69">
        <v>60</v>
      </c>
      <c r="H177" s="109"/>
      <c r="I177" s="31">
        <f>IF(Questionnaire!$I$60&gt;0,Questionnaire!$I$60*Details!E177/Details!$D$177,0)</f>
        <v>0</v>
      </c>
      <c r="J177" s="31">
        <f>IF(Questionnaire!$I$60&gt;0,Questionnaire!$I$60*Details!F177/Details!$D$177,0)</f>
        <v>0</v>
      </c>
      <c r="K177" s="31">
        <f>IF(Questionnaire!$I$60&gt;0,Questionnaire!$I$60*Details!G177/Details!$D$177,0)</f>
        <v>0</v>
      </c>
      <c r="L177" s="31">
        <f t="shared" si="122"/>
        <v>0</v>
      </c>
      <c r="M177" s="20"/>
      <c r="N177" s="28">
        <f t="shared" si="123"/>
        <v>0</v>
      </c>
      <c r="O177" s="28">
        <f t="shared" si="124"/>
        <v>0</v>
      </c>
      <c r="P177" s="28">
        <f t="shared" si="125"/>
        <v>0</v>
      </c>
      <c r="Q177" s="28">
        <f t="shared" si="126"/>
        <v>0</v>
      </c>
      <c r="R177" s="20"/>
      <c r="S177" s="36">
        <f t="shared" si="128"/>
        <v>0</v>
      </c>
      <c r="T177" s="36">
        <f t="shared" si="129"/>
        <v>0</v>
      </c>
      <c r="U177" s="36">
        <f t="shared" si="130"/>
        <v>0</v>
      </c>
      <c r="V177" s="36">
        <f t="shared" si="127"/>
        <v>0</v>
      </c>
    </row>
    <row r="178" spans="1:22">
      <c r="A178" s="18" t="s">
        <v>120</v>
      </c>
      <c r="B178" s="18"/>
      <c r="C178" s="19" t="s">
        <v>121</v>
      </c>
      <c r="D178" s="69">
        <v>1</v>
      </c>
      <c r="E178" s="69"/>
      <c r="F178" s="69"/>
      <c r="G178" s="69">
        <v>60</v>
      </c>
      <c r="H178" s="109"/>
      <c r="I178" s="31">
        <f>IF(Questionnaire!$I$61&gt;0,Questionnaire!$I$61*Details!E178/Details!$D$178,0)</f>
        <v>0</v>
      </c>
      <c r="J178" s="31">
        <f>IF(Questionnaire!$I$61&gt;0,Questionnaire!$I$61*Details!F178/Details!$D$178,0)</f>
        <v>0</v>
      </c>
      <c r="K178" s="31">
        <f>IF(Questionnaire!$I$61&gt;0,Questionnaire!$I$61*Details!G178/Details!$D$178,0)</f>
        <v>0</v>
      </c>
      <c r="L178" s="31">
        <f t="shared" si="122"/>
        <v>0</v>
      </c>
      <c r="M178" s="20"/>
      <c r="N178" s="28">
        <f t="shared" si="123"/>
        <v>0</v>
      </c>
      <c r="O178" s="28">
        <f t="shared" si="124"/>
        <v>0</v>
      </c>
      <c r="P178" s="28">
        <f t="shared" si="125"/>
        <v>0</v>
      </c>
      <c r="Q178" s="28">
        <f t="shared" si="126"/>
        <v>0</v>
      </c>
      <c r="R178" s="20"/>
      <c r="S178" s="36">
        <f t="shared" si="128"/>
        <v>0</v>
      </c>
      <c r="T178" s="36">
        <f t="shared" si="129"/>
        <v>0</v>
      </c>
      <c r="U178" s="36">
        <f t="shared" si="130"/>
        <v>0</v>
      </c>
      <c r="V178" s="36">
        <f t="shared" si="127"/>
        <v>0</v>
      </c>
    </row>
    <row r="179" spans="1:22">
      <c r="A179" s="18" t="s">
        <v>122</v>
      </c>
      <c r="B179" s="18"/>
      <c r="C179" s="19" t="s">
        <v>111</v>
      </c>
      <c r="D179" s="69">
        <v>1</v>
      </c>
      <c r="E179" s="69"/>
      <c r="F179" s="69"/>
      <c r="G179" s="69">
        <v>30</v>
      </c>
      <c r="H179" s="109"/>
      <c r="I179" s="31">
        <f>IF(Questionnaire!$I$62&gt;0,Questionnaire!$I$62*Details!E179/Details!$D$179,0)</f>
        <v>0</v>
      </c>
      <c r="J179" s="31">
        <f>IF(Questionnaire!$I$62&gt;0,Questionnaire!$I$62*Details!F179/Details!$D$179,0)</f>
        <v>0</v>
      </c>
      <c r="K179" s="31">
        <f>IF(Questionnaire!$I$62&gt;0,Questionnaire!$I$62*Details!G179/Details!$D$179,0)</f>
        <v>0</v>
      </c>
      <c r="L179" s="31">
        <f t="shared" si="122"/>
        <v>0</v>
      </c>
      <c r="M179" s="20"/>
      <c r="N179" s="28">
        <f t="shared" si="123"/>
        <v>0</v>
      </c>
      <c r="O179" s="28">
        <f t="shared" si="124"/>
        <v>0</v>
      </c>
      <c r="P179" s="28">
        <f t="shared" si="125"/>
        <v>0</v>
      </c>
      <c r="Q179" s="28">
        <f t="shared" si="126"/>
        <v>0</v>
      </c>
      <c r="R179" s="20"/>
      <c r="S179" s="36">
        <f t="shared" si="128"/>
        <v>0</v>
      </c>
      <c r="T179" s="36">
        <f t="shared" si="129"/>
        <v>0</v>
      </c>
      <c r="U179" s="36">
        <f t="shared" si="130"/>
        <v>0</v>
      </c>
      <c r="V179" s="36">
        <f t="shared" si="127"/>
        <v>0</v>
      </c>
    </row>
    <row r="180" spans="1:22">
      <c r="A180" s="18"/>
      <c r="B180" s="18"/>
      <c r="C180" s="19"/>
      <c r="D180" s="19"/>
      <c r="E180" s="19"/>
      <c r="F180" s="19"/>
      <c r="G180" s="19"/>
      <c r="H180" s="108"/>
      <c r="I180" s="31"/>
      <c r="J180" s="31"/>
      <c r="K180" s="31"/>
      <c r="L180" s="31"/>
      <c r="M180" s="20"/>
      <c r="N180" s="28"/>
      <c r="O180" s="28"/>
      <c r="P180" s="28"/>
      <c r="Q180" s="28"/>
      <c r="R180" s="20"/>
      <c r="S180" s="36"/>
      <c r="T180" s="36"/>
      <c r="U180" s="36"/>
      <c r="V180" s="36"/>
    </row>
    <row r="181" spans="1:22" s="56" customFormat="1">
      <c r="A181" s="57" t="s">
        <v>295</v>
      </c>
      <c r="B181" s="57" t="s">
        <v>14</v>
      </c>
      <c r="C181" s="58" t="s">
        <v>20</v>
      </c>
      <c r="D181" s="58" t="s">
        <v>134</v>
      </c>
      <c r="E181" s="58" t="s">
        <v>11</v>
      </c>
      <c r="F181" s="58" t="s">
        <v>12</v>
      </c>
      <c r="G181" s="58" t="s">
        <v>13</v>
      </c>
      <c r="H181" s="104" t="s">
        <v>411</v>
      </c>
      <c r="I181" s="59"/>
      <c r="J181" s="59"/>
      <c r="K181" s="59"/>
      <c r="L181" s="59"/>
      <c r="M181" s="60"/>
      <c r="N181" s="61"/>
      <c r="O181" s="61"/>
      <c r="P181" s="61"/>
      <c r="Q181" s="61"/>
      <c r="R181" s="60"/>
      <c r="S181" s="62"/>
      <c r="T181" s="62"/>
      <c r="U181" s="62"/>
      <c r="V181" s="62"/>
    </row>
    <row r="182" spans="1:22">
      <c r="A182" s="18" t="s">
        <v>15</v>
      </c>
      <c r="B182" s="18"/>
      <c r="C182" s="19" t="s">
        <v>84</v>
      </c>
      <c r="D182" s="69">
        <v>1</v>
      </c>
      <c r="E182" s="69">
        <v>60</v>
      </c>
      <c r="F182" s="69">
        <v>60</v>
      </c>
      <c r="G182" s="69">
        <v>60</v>
      </c>
      <c r="H182" s="109"/>
      <c r="I182" s="31">
        <f>IF(Questionnaire!$I$67&gt;0,Details!E182/Details!$D$182,0)</f>
        <v>0</v>
      </c>
      <c r="J182" s="31">
        <f>IF(Questionnaire!$I$67&gt;0,Details!F182/Details!$D$182,0)</f>
        <v>0</v>
      </c>
      <c r="K182" s="31">
        <f>IF(Questionnaire!$I$67&gt;0,Details!G182/Details!$D$182,0)</f>
        <v>0</v>
      </c>
      <c r="L182" s="31">
        <f t="shared" ref="L182:L196" si="131">SUM(I182:K182)</f>
        <v>0</v>
      </c>
      <c r="M182" s="20"/>
      <c r="N182" s="28">
        <f>I182/60</f>
        <v>0</v>
      </c>
      <c r="O182" s="28">
        <f>J182/60</f>
        <v>0</v>
      </c>
      <c r="P182" s="28">
        <f>K182/60</f>
        <v>0</v>
      </c>
      <c r="Q182" s="28">
        <f t="shared" ref="Q182:Q196" si="132">SUM(N182:P182)</f>
        <v>0</v>
      </c>
      <c r="R182" s="20"/>
      <c r="S182" s="36">
        <f t="shared" ref="S182:S196" si="133">ROUNDUP(N182,0)</f>
        <v>0</v>
      </c>
      <c r="T182" s="36">
        <f t="shared" ref="T182:T196" si="134">ROUNDUP(O182,0)</f>
        <v>0</v>
      </c>
      <c r="U182" s="36">
        <f t="shared" ref="U182:U196" si="135">ROUNDUP(P182,0)</f>
        <v>0</v>
      </c>
      <c r="V182" s="36">
        <f t="shared" ref="V182:V196" si="136">SUM(S182:U182)</f>
        <v>0</v>
      </c>
    </row>
    <row r="183" spans="1:22">
      <c r="A183" s="18" t="s">
        <v>124</v>
      </c>
      <c r="B183" s="18"/>
      <c r="C183" s="19" t="s">
        <v>84</v>
      </c>
      <c r="D183" s="69">
        <v>1</v>
      </c>
      <c r="E183" s="69"/>
      <c r="F183" s="69">
        <v>60</v>
      </c>
      <c r="G183" s="69">
        <v>60</v>
      </c>
      <c r="H183" s="109"/>
      <c r="I183" s="31">
        <f>IF(Questionnaire!$I$67&gt;0,Details!E183/Details!$D$183,0)</f>
        <v>0</v>
      </c>
      <c r="J183" s="31">
        <f>IF(Questionnaire!$I$67&gt;0,Details!F183/Details!$D$183,0)</f>
        <v>0</v>
      </c>
      <c r="K183" s="31">
        <f>IF(Questionnaire!$I$67&gt;0,Details!G183/Details!$D$183,0)</f>
        <v>0</v>
      </c>
      <c r="L183" s="31">
        <f t="shared" si="131"/>
        <v>0</v>
      </c>
      <c r="M183" s="20"/>
      <c r="N183" s="28">
        <f t="shared" ref="N183:N196" si="137">I183/60</f>
        <v>0</v>
      </c>
      <c r="O183" s="28">
        <f t="shared" ref="O183:O196" si="138">J183/60</f>
        <v>0</v>
      </c>
      <c r="P183" s="28">
        <f t="shared" ref="P183:P196" si="139">K183/60</f>
        <v>0</v>
      </c>
      <c r="Q183" s="28">
        <f t="shared" si="132"/>
        <v>0</v>
      </c>
      <c r="R183" s="20"/>
      <c r="S183" s="36">
        <f t="shared" si="133"/>
        <v>0</v>
      </c>
      <c r="T183" s="36">
        <f t="shared" si="134"/>
        <v>0</v>
      </c>
      <c r="U183" s="36">
        <f t="shared" si="135"/>
        <v>0</v>
      </c>
      <c r="V183" s="36">
        <f t="shared" si="136"/>
        <v>0</v>
      </c>
    </row>
    <row r="184" spans="1:22">
      <c r="A184" s="18" t="s">
        <v>123</v>
      </c>
      <c r="B184" s="18"/>
      <c r="C184" s="19" t="s">
        <v>113</v>
      </c>
      <c r="D184" s="69">
        <v>1</v>
      </c>
      <c r="E184" s="69"/>
      <c r="F184" s="69"/>
      <c r="G184" s="69">
        <v>15</v>
      </c>
      <c r="H184" s="109"/>
      <c r="I184" s="31">
        <f>IF(Questionnaire!$I$67&gt;0,Questionnaire!$I$67*Details!E184/Details!$D$184,0)</f>
        <v>0</v>
      </c>
      <c r="J184" s="31">
        <f>IF(Questionnaire!$I$67&gt;0,Questionnaire!$I$67*Details!F184/Details!$D$184,0)</f>
        <v>0</v>
      </c>
      <c r="K184" s="31">
        <f>IF(Questionnaire!$I$67&gt;0,Questionnaire!$I$67*Details!G184/Details!$D$184,0)</f>
        <v>0</v>
      </c>
      <c r="L184" s="31">
        <f t="shared" si="131"/>
        <v>0</v>
      </c>
      <c r="M184" s="20"/>
      <c r="N184" s="28">
        <f t="shared" si="137"/>
        <v>0</v>
      </c>
      <c r="O184" s="28">
        <f t="shared" si="138"/>
        <v>0</v>
      </c>
      <c r="P184" s="28">
        <f t="shared" si="139"/>
        <v>0</v>
      </c>
      <c r="Q184" s="28">
        <f t="shared" si="132"/>
        <v>0</v>
      </c>
      <c r="R184" s="20"/>
      <c r="S184" s="36">
        <f t="shared" si="133"/>
        <v>0</v>
      </c>
      <c r="T184" s="36">
        <f t="shared" si="134"/>
        <v>0</v>
      </c>
      <c r="U184" s="36">
        <f t="shared" si="135"/>
        <v>0</v>
      </c>
      <c r="V184" s="36">
        <f t="shared" si="136"/>
        <v>0</v>
      </c>
    </row>
    <row r="185" spans="1:22">
      <c r="A185" s="18" t="s">
        <v>126</v>
      </c>
      <c r="B185" s="18"/>
      <c r="C185" s="19" t="s">
        <v>113</v>
      </c>
      <c r="D185" s="69">
        <v>1</v>
      </c>
      <c r="E185" s="69"/>
      <c r="F185" s="69"/>
      <c r="G185" s="69">
        <v>15</v>
      </c>
      <c r="H185" s="109"/>
      <c r="I185" s="31">
        <f>IF(Questionnaire!$I$79,Questionnaire!$I$67*Details!E185/Details!$D$185,0)</f>
        <v>0</v>
      </c>
      <c r="J185" s="31">
        <f>IF(Questionnaire!$I$79,Questionnaire!$I$67*Details!F185/Details!$D$185,0)</f>
        <v>0</v>
      </c>
      <c r="K185" s="31">
        <f>IF(Questionnaire!$I$79,Questionnaire!$I$67*Details!G185/Details!$D$185,0)</f>
        <v>0</v>
      </c>
      <c r="L185" s="31">
        <f t="shared" si="131"/>
        <v>0</v>
      </c>
      <c r="M185" s="20"/>
      <c r="N185" s="28">
        <f t="shared" si="137"/>
        <v>0</v>
      </c>
      <c r="O185" s="28">
        <f t="shared" si="138"/>
        <v>0</v>
      </c>
      <c r="P185" s="28">
        <f t="shared" si="139"/>
        <v>0</v>
      </c>
      <c r="Q185" s="28">
        <f t="shared" si="132"/>
        <v>0</v>
      </c>
      <c r="R185" s="20"/>
      <c r="S185" s="36">
        <f t="shared" si="133"/>
        <v>0</v>
      </c>
      <c r="T185" s="36">
        <f t="shared" si="134"/>
        <v>0</v>
      </c>
      <c r="U185" s="36">
        <f t="shared" si="135"/>
        <v>0</v>
      </c>
      <c r="V185" s="36">
        <f t="shared" si="136"/>
        <v>0</v>
      </c>
    </row>
    <row r="186" spans="1:22">
      <c r="A186" s="18" t="s">
        <v>127</v>
      </c>
      <c r="B186" s="18"/>
      <c r="C186" s="19" t="s">
        <v>113</v>
      </c>
      <c r="D186" s="69">
        <v>1</v>
      </c>
      <c r="E186" s="69"/>
      <c r="F186" s="69"/>
      <c r="G186" s="69">
        <v>5</v>
      </c>
      <c r="H186" s="109"/>
      <c r="I186" s="31">
        <f>IF(Questionnaire!$I$80,Questionnaire!$I$67*Details!E186/Details!$D$186,0)</f>
        <v>0</v>
      </c>
      <c r="J186" s="31">
        <f>IF(Questionnaire!$I$80,Questionnaire!$I$67*Details!F186/Details!$D$186,0)</f>
        <v>0</v>
      </c>
      <c r="K186" s="31">
        <f>IF(Questionnaire!$I$80,Questionnaire!$I$67*Details!G186/Details!$D$186,0)</f>
        <v>0</v>
      </c>
      <c r="L186" s="31">
        <f t="shared" si="131"/>
        <v>0</v>
      </c>
      <c r="M186" s="20"/>
      <c r="N186" s="28">
        <f t="shared" si="137"/>
        <v>0</v>
      </c>
      <c r="O186" s="28">
        <f t="shared" si="138"/>
        <v>0</v>
      </c>
      <c r="P186" s="28">
        <f t="shared" si="139"/>
        <v>0</v>
      </c>
      <c r="Q186" s="28">
        <f t="shared" si="132"/>
        <v>0</v>
      </c>
      <c r="R186" s="20"/>
      <c r="S186" s="36">
        <f t="shared" si="133"/>
        <v>0</v>
      </c>
      <c r="T186" s="36">
        <f t="shared" si="134"/>
        <v>0</v>
      </c>
      <c r="U186" s="36">
        <f t="shared" si="135"/>
        <v>0</v>
      </c>
      <c r="V186" s="36">
        <f t="shared" si="136"/>
        <v>0</v>
      </c>
    </row>
    <row r="187" spans="1:22">
      <c r="A187" s="18" t="s">
        <v>108</v>
      </c>
      <c r="B187" s="18"/>
      <c r="C187" s="19" t="s">
        <v>110</v>
      </c>
      <c r="D187" s="69">
        <v>1</v>
      </c>
      <c r="E187" s="69"/>
      <c r="F187" s="69"/>
      <c r="G187" s="69">
        <v>5</v>
      </c>
      <c r="H187" s="109"/>
      <c r="I187" s="31">
        <f>IF(Questionnaire!$I$69&gt;0,Questionnaire!$I$69*Details!E187/Details!$D$187,0)</f>
        <v>0</v>
      </c>
      <c r="J187" s="31">
        <f>IF(Questionnaire!$I$69&gt;0,Questionnaire!$I$69*Details!F187/Details!$D$187,0)</f>
        <v>0</v>
      </c>
      <c r="K187" s="31">
        <f>IF(Questionnaire!$I$69&gt;0,Questionnaire!$I$69*Details!G187/Details!$D$187,0)</f>
        <v>0</v>
      </c>
      <c r="L187" s="31">
        <f t="shared" si="131"/>
        <v>0</v>
      </c>
      <c r="M187" s="20"/>
      <c r="N187" s="28">
        <f t="shared" si="137"/>
        <v>0</v>
      </c>
      <c r="O187" s="28">
        <f t="shared" si="138"/>
        <v>0</v>
      </c>
      <c r="P187" s="28">
        <f t="shared" si="139"/>
        <v>0</v>
      </c>
      <c r="Q187" s="28">
        <f t="shared" si="132"/>
        <v>0</v>
      </c>
      <c r="R187" s="20"/>
      <c r="S187" s="36">
        <f t="shared" si="133"/>
        <v>0</v>
      </c>
      <c r="T187" s="36">
        <f t="shared" si="134"/>
        <v>0</v>
      </c>
      <c r="U187" s="36">
        <f t="shared" si="135"/>
        <v>0</v>
      </c>
      <c r="V187" s="36">
        <f t="shared" si="136"/>
        <v>0</v>
      </c>
    </row>
    <row r="188" spans="1:22">
      <c r="A188" s="18" t="s">
        <v>364</v>
      </c>
      <c r="B188" s="18"/>
      <c r="C188" s="19" t="s">
        <v>111</v>
      </c>
      <c r="D188" s="69">
        <v>1</v>
      </c>
      <c r="E188" s="69"/>
      <c r="F188" s="69"/>
      <c r="G188" s="69">
        <v>30</v>
      </c>
      <c r="H188" s="109"/>
      <c r="I188" s="31">
        <f>IF(Questionnaire!$I$68&gt;0,Questionnaire!$I$68*Details!E188/Details!$D$188,0)</f>
        <v>0</v>
      </c>
      <c r="J188" s="31">
        <f>IF(Questionnaire!$I$68&gt;0,Questionnaire!$I$68*Details!F188/Details!$D$188,0)</f>
        <v>0</v>
      </c>
      <c r="K188" s="31">
        <f>IF(Questionnaire!$I$68&gt;0,Questionnaire!$I$68*Details!G188/Details!$D$188,0)</f>
        <v>0</v>
      </c>
      <c r="L188" s="31">
        <f t="shared" si="131"/>
        <v>0</v>
      </c>
      <c r="M188" s="20"/>
      <c r="N188" s="28">
        <f t="shared" si="137"/>
        <v>0</v>
      </c>
      <c r="O188" s="28">
        <f t="shared" si="138"/>
        <v>0</v>
      </c>
      <c r="P188" s="28">
        <f t="shared" si="139"/>
        <v>0</v>
      </c>
      <c r="Q188" s="28">
        <f t="shared" si="132"/>
        <v>0</v>
      </c>
      <c r="R188" s="20"/>
      <c r="S188" s="36">
        <f t="shared" si="133"/>
        <v>0</v>
      </c>
      <c r="T188" s="36">
        <f t="shared" si="134"/>
        <v>0</v>
      </c>
      <c r="U188" s="36">
        <f t="shared" si="135"/>
        <v>0</v>
      </c>
      <c r="V188" s="36">
        <f t="shared" si="136"/>
        <v>0</v>
      </c>
    </row>
    <row r="189" spans="1:22">
      <c r="A189" s="18" t="s">
        <v>112</v>
      </c>
      <c r="B189" s="18"/>
      <c r="C189" s="19" t="s">
        <v>113</v>
      </c>
      <c r="D189" s="69">
        <v>1</v>
      </c>
      <c r="E189" s="69"/>
      <c r="F189" s="69"/>
      <c r="G189" s="69">
        <v>30</v>
      </c>
      <c r="H189" s="109"/>
      <c r="I189" s="31">
        <f>IF(Questionnaire!$I$71&gt;0,Questionnaire!$I$71*Details!E189/Details!$D$189,0)</f>
        <v>0</v>
      </c>
      <c r="J189" s="31">
        <f>IF(Questionnaire!$I$71&gt;0,Questionnaire!$I$71*Details!F189/Details!$D$189,0)</f>
        <v>0</v>
      </c>
      <c r="K189" s="31">
        <f>IF(Questionnaire!$I$71&gt;0,Questionnaire!$I$71*Details!G189/Details!$D$189,0)</f>
        <v>0</v>
      </c>
      <c r="L189" s="31">
        <f t="shared" si="131"/>
        <v>0</v>
      </c>
      <c r="M189" s="20"/>
      <c r="N189" s="28">
        <f t="shared" si="137"/>
        <v>0</v>
      </c>
      <c r="O189" s="28">
        <f t="shared" si="138"/>
        <v>0</v>
      </c>
      <c r="P189" s="28">
        <f t="shared" si="139"/>
        <v>0</v>
      </c>
      <c r="Q189" s="28">
        <f t="shared" si="132"/>
        <v>0</v>
      </c>
      <c r="R189" s="20"/>
      <c r="S189" s="36">
        <f t="shared" si="133"/>
        <v>0</v>
      </c>
      <c r="T189" s="36">
        <f t="shared" si="134"/>
        <v>0</v>
      </c>
      <c r="U189" s="36">
        <f t="shared" si="135"/>
        <v>0</v>
      </c>
      <c r="V189" s="36">
        <f t="shared" si="136"/>
        <v>0</v>
      </c>
    </row>
    <row r="190" spans="1:22">
      <c r="A190" s="18" t="s">
        <v>300</v>
      </c>
      <c r="B190" s="18" t="s">
        <v>301</v>
      </c>
      <c r="C190" s="19" t="s">
        <v>113</v>
      </c>
      <c r="D190" s="69">
        <v>1</v>
      </c>
      <c r="E190" s="69"/>
      <c r="F190" s="69"/>
      <c r="G190" s="69">
        <v>30</v>
      </c>
      <c r="H190" s="109"/>
      <c r="I190" s="31">
        <f>IF(Questionnaire!$I$72&gt;0,Questionnaire!$I$72*Questionnaire!$I$71*Details!E190/Details!$D$190,0)</f>
        <v>0</v>
      </c>
      <c r="J190" s="31">
        <f>IF(Questionnaire!$I$72&gt;0,Questionnaire!$I$72*Questionnaire!$I$71*Details!F190/Details!$D$190,0)</f>
        <v>0</v>
      </c>
      <c r="K190" s="31">
        <f>IF(Questionnaire!$I$72&gt;0,Questionnaire!$I$72*Questionnaire!$I$71*Details!G190/Details!$D$190,0)</f>
        <v>0</v>
      </c>
      <c r="L190" s="31">
        <f t="shared" si="131"/>
        <v>0</v>
      </c>
      <c r="M190" s="20"/>
      <c r="N190" s="28">
        <f t="shared" si="137"/>
        <v>0</v>
      </c>
      <c r="O190" s="28">
        <f t="shared" si="138"/>
        <v>0</v>
      </c>
      <c r="P190" s="28">
        <f t="shared" si="139"/>
        <v>0</v>
      </c>
      <c r="Q190" s="28">
        <f t="shared" si="132"/>
        <v>0</v>
      </c>
      <c r="R190" s="20"/>
      <c r="S190" s="36">
        <f t="shared" si="133"/>
        <v>0</v>
      </c>
      <c r="T190" s="36">
        <f t="shared" si="134"/>
        <v>0</v>
      </c>
      <c r="U190" s="36">
        <f t="shared" si="135"/>
        <v>0</v>
      </c>
      <c r="V190" s="36">
        <f t="shared" si="136"/>
        <v>0</v>
      </c>
    </row>
    <row r="191" spans="1:22">
      <c r="A191" s="18" t="s">
        <v>114</v>
      </c>
      <c r="B191" s="18"/>
      <c r="C191" s="19" t="s">
        <v>115</v>
      </c>
      <c r="D191" s="69">
        <v>1</v>
      </c>
      <c r="E191" s="69"/>
      <c r="F191" s="69"/>
      <c r="G191" s="69">
        <v>15</v>
      </c>
      <c r="H191" s="109"/>
      <c r="I191" s="31">
        <f>IF(Questionnaire!$I$73&gt;0,Questionnaire!$I$73*Details!E191/Details!$D$191,0)</f>
        <v>0</v>
      </c>
      <c r="J191" s="31">
        <f>IF(Questionnaire!$I$73&gt;0,Questionnaire!$I$73*Details!F191/Details!$D$191,0)</f>
        <v>0</v>
      </c>
      <c r="K191" s="31">
        <f>IF(Questionnaire!$I$73&gt;0,Questionnaire!$I$73*Details!G191/Details!$D$191,0)</f>
        <v>0</v>
      </c>
      <c r="L191" s="31">
        <f t="shared" si="131"/>
        <v>0</v>
      </c>
      <c r="M191" s="20"/>
      <c r="N191" s="28">
        <f t="shared" si="137"/>
        <v>0</v>
      </c>
      <c r="O191" s="28">
        <f t="shared" si="138"/>
        <v>0</v>
      </c>
      <c r="P191" s="28">
        <f t="shared" si="139"/>
        <v>0</v>
      </c>
      <c r="Q191" s="28">
        <f t="shared" si="132"/>
        <v>0</v>
      </c>
      <c r="R191" s="20"/>
      <c r="S191" s="36">
        <f t="shared" si="133"/>
        <v>0</v>
      </c>
      <c r="T191" s="36">
        <f t="shared" si="134"/>
        <v>0</v>
      </c>
      <c r="U191" s="36">
        <f t="shared" si="135"/>
        <v>0</v>
      </c>
      <c r="V191" s="36">
        <f t="shared" si="136"/>
        <v>0</v>
      </c>
    </row>
    <row r="192" spans="1:22">
      <c r="A192" s="18" t="s">
        <v>117</v>
      </c>
      <c r="B192" s="18"/>
      <c r="C192" s="19" t="s">
        <v>68</v>
      </c>
      <c r="D192" s="69">
        <v>1</v>
      </c>
      <c r="E192" s="69"/>
      <c r="F192" s="69">
        <v>15</v>
      </c>
      <c r="G192" s="69">
        <v>60</v>
      </c>
      <c r="H192" s="109"/>
      <c r="I192" s="31">
        <f>IF(Questionnaire!$I$74,Details!E192/Details!$D$192,0)</f>
        <v>0</v>
      </c>
      <c r="J192" s="31">
        <f>IF(Questionnaire!$I$74,Details!F192/Details!$D$192,0)</f>
        <v>0</v>
      </c>
      <c r="K192" s="31">
        <f>IF(Questionnaire!$I$74,Details!G192/Details!$D$192,0)</f>
        <v>0</v>
      </c>
      <c r="L192" s="31">
        <f t="shared" si="131"/>
        <v>0</v>
      </c>
      <c r="M192" s="20"/>
      <c r="N192" s="28">
        <f t="shared" si="137"/>
        <v>0</v>
      </c>
      <c r="O192" s="28">
        <f t="shared" si="138"/>
        <v>0</v>
      </c>
      <c r="P192" s="28">
        <f t="shared" si="139"/>
        <v>0</v>
      </c>
      <c r="Q192" s="28">
        <f t="shared" si="132"/>
        <v>0</v>
      </c>
      <c r="R192" s="20"/>
      <c r="S192" s="36">
        <f t="shared" si="133"/>
        <v>0</v>
      </c>
      <c r="T192" s="36">
        <f t="shared" si="134"/>
        <v>0</v>
      </c>
      <c r="U192" s="36">
        <f t="shared" si="135"/>
        <v>0</v>
      </c>
      <c r="V192" s="36">
        <f t="shared" si="136"/>
        <v>0</v>
      </c>
    </row>
    <row r="193" spans="1:22">
      <c r="A193" s="18" t="s">
        <v>118</v>
      </c>
      <c r="B193" s="18"/>
      <c r="C193" s="19" t="s">
        <v>68</v>
      </c>
      <c r="D193" s="69">
        <v>1</v>
      </c>
      <c r="E193" s="69"/>
      <c r="F193" s="69">
        <v>15</v>
      </c>
      <c r="G193" s="69">
        <v>60</v>
      </c>
      <c r="H193" s="109"/>
      <c r="I193" s="31">
        <f>IF(Questionnaire!$I$75,Details!E193/Details!$D$193,0)</f>
        <v>0</v>
      </c>
      <c r="J193" s="31">
        <f>IF(Questionnaire!$I$75,Details!F193/Details!$D$193,0)</f>
        <v>0</v>
      </c>
      <c r="K193" s="31">
        <f>IF(Questionnaire!$I$75,Details!G193/Details!$D$193,0)</f>
        <v>0</v>
      </c>
      <c r="L193" s="31">
        <f t="shared" si="131"/>
        <v>0</v>
      </c>
      <c r="M193" s="20"/>
      <c r="N193" s="28">
        <f t="shared" si="137"/>
        <v>0</v>
      </c>
      <c r="O193" s="28">
        <f t="shared" si="138"/>
        <v>0</v>
      </c>
      <c r="P193" s="28">
        <f t="shared" si="139"/>
        <v>0</v>
      </c>
      <c r="Q193" s="28">
        <f t="shared" si="132"/>
        <v>0</v>
      </c>
      <c r="R193" s="20"/>
      <c r="S193" s="36">
        <f t="shared" si="133"/>
        <v>0</v>
      </c>
      <c r="T193" s="36">
        <f t="shared" si="134"/>
        <v>0</v>
      </c>
      <c r="U193" s="36">
        <f t="shared" si="135"/>
        <v>0</v>
      </c>
      <c r="V193" s="36">
        <f t="shared" si="136"/>
        <v>0</v>
      </c>
    </row>
    <row r="194" spans="1:22">
      <c r="A194" s="18" t="s">
        <v>119</v>
      </c>
      <c r="B194" s="18"/>
      <c r="C194" s="19" t="s">
        <v>121</v>
      </c>
      <c r="D194" s="69">
        <v>1</v>
      </c>
      <c r="E194" s="69"/>
      <c r="F194" s="69"/>
      <c r="G194" s="69">
        <v>60</v>
      </c>
      <c r="H194" s="109"/>
      <c r="I194" s="31">
        <f>IF(Questionnaire!$I$76&gt;0,Questionnaire!$I$76*Details!E194/Details!$D$194,0)</f>
        <v>0</v>
      </c>
      <c r="J194" s="31">
        <f>IF(Questionnaire!$I$76&gt;0,Questionnaire!$I$76*Details!F194/Details!$D$194,0)</f>
        <v>0</v>
      </c>
      <c r="K194" s="31">
        <f>IF(Questionnaire!$I$76&gt;0,Questionnaire!$I$76*Details!G194/Details!$D$194,0)</f>
        <v>0</v>
      </c>
      <c r="L194" s="31">
        <f t="shared" si="131"/>
        <v>0</v>
      </c>
      <c r="M194" s="20"/>
      <c r="N194" s="28">
        <f t="shared" si="137"/>
        <v>0</v>
      </c>
      <c r="O194" s="28">
        <f t="shared" si="138"/>
        <v>0</v>
      </c>
      <c r="P194" s="28">
        <f t="shared" si="139"/>
        <v>0</v>
      </c>
      <c r="Q194" s="28">
        <f t="shared" si="132"/>
        <v>0</v>
      </c>
      <c r="R194" s="20"/>
      <c r="S194" s="36">
        <f t="shared" si="133"/>
        <v>0</v>
      </c>
      <c r="T194" s="36">
        <f t="shared" si="134"/>
        <v>0</v>
      </c>
      <c r="U194" s="36">
        <f t="shared" si="135"/>
        <v>0</v>
      </c>
      <c r="V194" s="36">
        <f t="shared" si="136"/>
        <v>0</v>
      </c>
    </row>
    <row r="195" spans="1:22">
      <c r="A195" s="18" t="s">
        <v>120</v>
      </c>
      <c r="B195" s="18"/>
      <c r="C195" s="19" t="s">
        <v>121</v>
      </c>
      <c r="D195" s="69">
        <v>1</v>
      </c>
      <c r="E195" s="69"/>
      <c r="F195" s="69"/>
      <c r="G195" s="69">
        <v>60</v>
      </c>
      <c r="H195" s="109"/>
      <c r="I195" s="31">
        <f>IF(Questionnaire!$I$77&gt;0,Questionnaire!$I$77*Details!E195/Details!$D$195,0)</f>
        <v>0</v>
      </c>
      <c r="J195" s="31">
        <f>IF(Questionnaire!$I$77&gt;0,Questionnaire!$I$77*Details!F195/Details!$D$195,0)</f>
        <v>0</v>
      </c>
      <c r="K195" s="31">
        <f>IF(Questionnaire!$I$77&gt;0,Questionnaire!$I$77*Details!G195/Details!$D$195,0)</f>
        <v>0</v>
      </c>
      <c r="L195" s="31">
        <f t="shared" si="131"/>
        <v>0</v>
      </c>
      <c r="M195" s="20"/>
      <c r="N195" s="28">
        <f t="shared" si="137"/>
        <v>0</v>
      </c>
      <c r="O195" s="28">
        <f t="shared" si="138"/>
        <v>0</v>
      </c>
      <c r="P195" s="28">
        <f t="shared" si="139"/>
        <v>0</v>
      </c>
      <c r="Q195" s="28">
        <f t="shared" si="132"/>
        <v>0</v>
      </c>
      <c r="R195" s="20"/>
      <c r="S195" s="36">
        <f t="shared" si="133"/>
        <v>0</v>
      </c>
      <c r="T195" s="36">
        <f t="shared" si="134"/>
        <v>0</v>
      </c>
      <c r="U195" s="36">
        <f t="shared" si="135"/>
        <v>0</v>
      </c>
      <c r="V195" s="36">
        <f t="shared" si="136"/>
        <v>0</v>
      </c>
    </row>
    <row r="196" spans="1:22">
      <c r="A196" s="18" t="s">
        <v>122</v>
      </c>
      <c r="B196" s="18"/>
      <c r="C196" s="19" t="s">
        <v>111</v>
      </c>
      <c r="D196" s="69">
        <v>1</v>
      </c>
      <c r="E196" s="69"/>
      <c r="F196" s="69"/>
      <c r="G196" s="69">
        <v>30</v>
      </c>
      <c r="H196" s="109"/>
      <c r="I196" s="31">
        <f>IF(Questionnaire!$I$78&gt;0,Questionnaire!$I$78*Details!E196/Details!$D$196,0)</f>
        <v>0</v>
      </c>
      <c r="J196" s="31">
        <f>IF(Questionnaire!$I$78&gt;0,Questionnaire!$I$78*Details!F196/Details!$D$196,0)</f>
        <v>0</v>
      </c>
      <c r="K196" s="31">
        <f>IF(Questionnaire!$I$78&gt;0,Questionnaire!$I$78*Details!G196/Details!$D$196,0)</f>
        <v>0</v>
      </c>
      <c r="L196" s="31">
        <f t="shared" si="131"/>
        <v>0</v>
      </c>
      <c r="M196" s="20"/>
      <c r="N196" s="28">
        <f t="shared" si="137"/>
        <v>0</v>
      </c>
      <c r="O196" s="28">
        <f t="shared" si="138"/>
        <v>0</v>
      </c>
      <c r="P196" s="28">
        <f t="shared" si="139"/>
        <v>0</v>
      </c>
      <c r="Q196" s="28">
        <f t="shared" si="132"/>
        <v>0</v>
      </c>
      <c r="R196" s="20"/>
      <c r="S196" s="36">
        <f t="shared" si="133"/>
        <v>0</v>
      </c>
      <c r="T196" s="36">
        <f t="shared" si="134"/>
        <v>0</v>
      </c>
      <c r="U196" s="36">
        <f t="shared" si="135"/>
        <v>0</v>
      </c>
      <c r="V196" s="36">
        <f t="shared" si="136"/>
        <v>0</v>
      </c>
    </row>
  </sheetData>
  <mergeCells count="1">
    <mergeCell ref="E3:G3"/>
  </mergeCell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workbookViewId="0">
      <selection activeCell="B3" sqref="B3"/>
    </sheetView>
  </sheetViews>
  <sheetFormatPr baseColWidth="10" defaultColWidth="8.83203125" defaultRowHeight="14" x14ac:dyDescent="0"/>
  <cols>
    <col min="1" max="1" width="50.1640625" style="3" bestFit="1" customWidth="1"/>
    <col min="2" max="6" width="16.6640625" style="4" customWidth="1"/>
    <col min="7" max="7" width="55" style="12" customWidth="1"/>
    <col min="8" max="16384" width="8.83203125" style="3"/>
  </cols>
  <sheetData>
    <row r="1" spans="1:7" ht="24" thickBot="1">
      <c r="A1" s="2" t="s">
        <v>145</v>
      </c>
    </row>
    <row r="2" spans="1:7" ht="15" thickBot="1">
      <c r="G2" s="90" t="s">
        <v>407</v>
      </c>
    </row>
    <row r="3" spans="1:7">
      <c r="A3" s="3" t="s">
        <v>252</v>
      </c>
      <c r="B3" s="120" t="s">
        <v>374</v>
      </c>
      <c r="C3" s="13"/>
      <c r="F3" s="91">
        <v>225</v>
      </c>
      <c r="G3" s="92" t="s">
        <v>404</v>
      </c>
    </row>
    <row r="4" spans="1:7">
      <c r="A4" s="3" t="s">
        <v>309</v>
      </c>
      <c r="B4" s="75" t="s">
        <v>311</v>
      </c>
      <c r="C4" s="13"/>
      <c r="F4" s="93">
        <v>225</v>
      </c>
      <c r="G4" s="94" t="s">
        <v>405</v>
      </c>
    </row>
    <row r="5" spans="1:7">
      <c r="A5" s="3" t="s">
        <v>251</v>
      </c>
      <c r="B5" s="75" t="s">
        <v>310</v>
      </c>
      <c r="C5" s="13"/>
      <c r="F5" s="93">
        <v>225</v>
      </c>
      <c r="G5" s="94" t="s">
        <v>406</v>
      </c>
    </row>
    <row r="6" spans="1:7" ht="15" thickBot="1">
      <c r="A6" s="3" t="s">
        <v>249</v>
      </c>
      <c r="B6" s="82">
        <v>10</v>
      </c>
      <c r="F6" s="95">
        <v>225</v>
      </c>
      <c r="G6" s="96" t="s">
        <v>409</v>
      </c>
    </row>
    <row r="7" spans="1:7" ht="15" thickBot="1">
      <c r="A7" s="3" t="s">
        <v>250</v>
      </c>
      <c r="B7" s="83">
        <v>10000</v>
      </c>
      <c r="C7" s="23"/>
    </row>
    <row r="8" spans="1:7" ht="15" thickBot="1">
      <c r="A8" s="3" t="s">
        <v>253</v>
      </c>
      <c r="B8" s="24">
        <f>F59</f>
        <v>12375</v>
      </c>
      <c r="C8" s="24"/>
      <c r="G8" s="90" t="s">
        <v>408</v>
      </c>
    </row>
    <row r="9" spans="1:7">
      <c r="A9" s="3" t="s">
        <v>254</v>
      </c>
      <c r="B9" s="22">
        <f>IF(B7&lt;&gt;0,B8/B7,0)</f>
        <v>1.2375</v>
      </c>
      <c r="C9" s="22"/>
      <c r="F9" s="91">
        <v>250</v>
      </c>
      <c r="G9" s="92" t="s">
        <v>404</v>
      </c>
    </row>
    <row r="10" spans="1:7">
      <c r="B10" s="22"/>
      <c r="C10" s="22"/>
      <c r="F10" s="93">
        <v>250</v>
      </c>
      <c r="G10" s="94" t="s">
        <v>405</v>
      </c>
    </row>
    <row r="11" spans="1:7">
      <c r="B11" s="22"/>
      <c r="C11" s="22"/>
      <c r="F11" s="93">
        <v>250</v>
      </c>
      <c r="G11" s="94" t="s">
        <v>406</v>
      </c>
    </row>
    <row r="12" spans="1:7" ht="15" thickBot="1">
      <c r="A12" s="3" t="s">
        <v>440</v>
      </c>
      <c r="B12" s="114">
        <f>Details!V6</f>
        <v>3</v>
      </c>
      <c r="F12" s="95">
        <v>250</v>
      </c>
      <c r="G12" s="96" t="s">
        <v>409</v>
      </c>
    </row>
    <row r="13" spans="1:7">
      <c r="A13" s="3" t="s">
        <v>444</v>
      </c>
      <c r="B13" s="114">
        <f>LOOKUP(F44,ProjectHoursRange,MinimumWeeks)</f>
        <v>1</v>
      </c>
      <c r="C13" s="114">
        <f>LOOKUP(F44,ProjectHoursRange,MaximumWeeks)</f>
        <v>5</v>
      </c>
      <c r="F13" s="3"/>
      <c r="G13" s="3"/>
    </row>
    <row r="14" spans="1:7">
      <c r="A14" s="3" t="s">
        <v>441</v>
      </c>
      <c r="B14" s="122"/>
      <c r="C14" s="122"/>
      <c r="D14" s="122"/>
      <c r="F14" s="3"/>
      <c r="G14" s="3"/>
    </row>
    <row r="15" spans="1:7">
      <c r="B15" s="115" t="str">
        <f>IF(AND(OR(B12&lt;B13,B12&gt;C13),TRIM(B14)=""),"Justify why project duration is out of range","")</f>
        <v/>
      </c>
      <c r="G15" s="97"/>
    </row>
    <row r="16" spans="1:7">
      <c r="B16" s="115"/>
      <c r="G16" s="97"/>
    </row>
    <row r="17" spans="1:7">
      <c r="A17" s="3" t="s">
        <v>460</v>
      </c>
      <c r="B17" s="116">
        <f>B46</f>
        <v>8</v>
      </c>
      <c r="G17" s="97"/>
    </row>
    <row r="18" spans="1:7">
      <c r="A18" s="3" t="s">
        <v>446</v>
      </c>
      <c r="B18" s="117">
        <f>LOOKUP(SUM(C25:E43)+SUM(C52:E55),NonPMHoursRange,MinimumPMHours)</f>
        <v>2</v>
      </c>
      <c r="G18" s="97"/>
    </row>
    <row r="19" spans="1:7">
      <c r="A19" s="3" t="s">
        <v>445</v>
      </c>
      <c r="B19" s="122"/>
      <c r="C19" s="122"/>
      <c r="D19" s="122"/>
      <c r="G19" s="97"/>
    </row>
    <row r="20" spans="1:7">
      <c r="B20" s="115" t="str">
        <f>IF(AND(B17&lt;B18,TRIM(B19)=""),"Justify why PM Hours do not meet minimum requirement","")</f>
        <v/>
      </c>
      <c r="G20" s="97"/>
    </row>
    <row r="21" spans="1:7">
      <c r="B21" s="115"/>
      <c r="G21" s="97"/>
    </row>
    <row r="22" spans="1:7" s="6" customFormat="1">
      <c r="A22" s="3"/>
      <c r="B22" s="4"/>
      <c r="C22" s="4"/>
      <c r="D22" s="4"/>
      <c r="E22" s="4"/>
      <c r="F22" s="4"/>
      <c r="G22" s="12"/>
    </row>
    <row r="23" spans="1:7">
      <c r="A23" s="42" t="s">
        <v>255</v>
      </c>
      <c r="B23" s="42" t="s">
        <v>11</v>
      </c>
      <c r="C23" s="42" t="s">
        <v>12</v>
      </c>
      <c r="D23" s="42" t="s">
        <v>13</v>
      </c>
      <c r="E23" s="42" t="s">
        <v>369</v>
      </c>
      <c r="F23" s="42" t="s">
        <v>135</v>
      </c>
      <c r="G23" s="78" t="s">
        <v>261</v>
      </c>
    </row>
    <row r="24" spans="1:7">
      <c r="A24" s="3" t="s">
        <v>2</v>
      </c>
      <c r="B24" s="63">
        <f>SUM(Details!S7:S15)</f>
        <v>19</v>
      </c>
      <c r="C24" s="63">
        <f>SUM(Details!T7:T15)</f>
        <v>7</v>
      </c>
      <c r="D24" s="63">
        <f>SUM(Details!U7:U15)</f>
        <v>6</v>
      </c>
      <c r="E24" s="82"/>
      <c r="F24" s="14">
        <f>SUM(B24:E24)</f>
        <v>32</v>
      </c>
      <c r="G24" s="99"/>
    </row>
    <row r="25" spans="1:7">
      <c r="A25" s="3" t="s">
        <v>26</v>
      </c>
      <c r="B25" s="63">
        <f>SUM(Details!S17:S21)</f>
        <v>0</v>
      </c>
      <c r="C25" s="63">
        <f>SUM(Details!T17:T21)</f>
        <v>0</v>
      </c>
      <c r="D25" s="63">
        <f>SUM(Details!U17:U21)</f>
        <v>2</v>
      </c>
      <c r="E25" s="82"/>
      <c r="F25" s="14">
        <f t="shared" ref="F25:F43" si="0">SUM(B25:E25)</f>
        <v>2</v>
      </c>
      <c r="G25" s="99"/>
    </row>
    <row r="26" spans="1:7">
      <c r="A26" s="3" t="s">
        <v>3</v>
      </c>
      <c r="B26" s="63">
        <f>SUM(Details!S23:S28)+SUM(Details!S30:S34)</f>
        <v>1</v>
      </c>
      <c r="C26" s="63">
        <f>SUM(Details!T23:T28)+SUM(Details!T30:T34)</f>
        <v>1</v>
      </c>
      <c r="D26" s="63">
        <f>SUM(Details!U23:U28)+SUM(Details!U30:U34)</f>
        <v>5</v>
      </c>
      <c r="E26" s="82"/>
      <c r="F26" s="14">
        <f t="shared" si="0"/>
        <v>7</v>
      </c>
      <c r="G26" s="99"/>
    </row>
    <row r="27" spans="1:7">
      <c r="A27" s="3" t="s">
        <v>4</v>
      </c>
      <c r="B27" s="63">
        <f>SUM(Details!S36:S45)</f>
        <v>0</v>
      </c>
      <c r="C27" s="63">
        <f>SUM(Details!T36:T45)</f>
        <v>0</v>
      </c>
      <c r="D27" s="63">
        <f>SUM(Details!U36:U45)</f>
        <v>0</v>
      </c>
      <c r="E27" s="82"/>
      <c r="F27" s="14">
        <f t="shared" si="0"/>
        <v>0</v>
      </c>
      <c r="G27" s="99"/>
    </row>
    <row r="28" spans="1:7">
      <c r="A28" s="3" t="s">
        <v>256</v>
      </c>
      <c r="B28" s="63">
        <f>SUM(Details!S47:S51)+SUM(Details!S53:S57)</f>
        <v>0</v>
      </c>
      <c r="C28" s="63">
        <f>SUM(Details!T47:T51)+SUM(Details!T53:T57)</f>
        <v>0</v>
      </c>
      <c r="D28" s="63">
        <f>SUM(Details!U47:U51)+SUM(Details!U53:U57)</f>
        <v>0</v>
      </c>
      <c r="E28" s="82"/>
      <c r="F28" s="14">
        <f t="shared" si="0"/>
        <v>0</v>
      </c>
      <c r="G28" s="99"/>
    </row>
    <row r="29" spans="1:7">
      <c r="A29" s="3" t="s">
        <v>257</v>
      </c>
      <c r="B29" s="63">
        <f>Details!S26+SUM(Details!S59:S70)</f>
        <v>1</v>
      </c>
      <c r="C29" s="63">
        <f>Details!T26+SUM(Details!T59:T70)</f>
        <v>1</v>
      </c>
      <c r="D29" s="63">
        <f>Details!U26+SUM(Details!U59:U70)</f>
        <v>2</v>
      </c>
      <c r="E29" s="82"/>
      <c r="F29" s="14">
        <f t="shared" si="0"/>
        <v>4</v>
      </c>
      <c r="G29" s="99"/>
    </row>
    <row r="30" spans="1:7">
      <c r="A30" s="3" t="s">
        <v>107</v>
      </c>
      <c r="B30" s="63">
        <f>SUM(Details!S72:S88)</f>
        <v>0</v>
      </c>
      <c r="C30" s="63">
        <f>SUM(Details!T72:T88)</f>
        <v>0</v>
      </c>
      <c r="D30" s="63">
        <f>SUM(Details!U72:U88)</f>
        <v>0</v>
      </c>
      <c r="E30" s="82"/>
      <c r="F30" s="14">
        <f t="shared" si="0"/>
        <v>0</v>
      </c>
      <c r="G30" s="99"/>
    </row>
    <row r="31" spans="1:7">
      <c r="A31" s="3" t="s">
        <v>362</v>
      </c>
      <c r="B31" s="63">
        <f>SUM(Details!S90:S94)</f>
        <v>0</v>
      </c>
      <c r="C31" s="63">
        <f>SUM(Details!T90:T94)</f>
        <v>0</v>
      </c>
      <c r="D31" s="63">
        <f>SUM(Details!U90:U94)</f>
        <v>0</v>
      </c>
      <c r="E31" s="82"/>
      <c r="F31" s="14">
        <f t="shared" si="0"/>
        <v>0</v>
      </c>
      <c r="G31" s="99"/>
    </row>
    <row r="32" spans="1:7">
      <c r="A32" s="3" t="s">
        <v>8</v>
      </c>
      <c r="B32" s="63">
        <f>SUM(Details!S96:S103)+SUM(Details!S105:S112)</f>
        <v>0</v>
      </c>
      <c r="C32" s="63">
        <f>SUM(Details!T96:T103)+SUM(Details!T105:T112)</f>
        <v>0</v>
      </c>
      <c r="D32" s="63">
        <f>SUM(Details!U96:U103)+SUM(Details!U105:U112)</f>
        <v>0</v>
      </c>
      <c r="E32" s="82"/>
      <c r="F32" s="14">
        <f t="shared" si="0"/>
        <v>0</v>
      </c>
      <c r="G32" s="99"/>
    </row>
    <row r="33" spans="1:7">
      <c r="A33" s="3" t="s">
        <v>106</v>
      </c>
      <c r="B33" s="63">
        <f>SUM(Details!S114:S117)</f>
        <v>0</v>
      </c>
      <c r="C33" s="63">
        <f>SUM(Details!T114:T117)</f>
        <v>0</v>
      </c>
      <c r="D33" s="63">
        <f>SUM(Details!U114:U117)</f>
        <v>0</v>
      </c>
      <c r="E33" s="82"/>
      <c r="F33" s="14">
        <f t="shared" si="0"/>
        <v>0</v>
      </c>
      <c r="G33" s="99"/>
    </row>
    <row r="34" spans="1:7">
      <c r="A34" s="3" t="s">
        <v>258</v>
      </c>
      <c r="B34" s="63">
        <f>SUM(Details!S119:S123)</f>
        <v>3</v>
      </c>
      <c r="C34" s="63">
        <f>SUM(Details!T119:T123)</f>
        <v>4</v>
      </c>
      <c r="D34" s="63">
        <f>SUM(Details!U119:U123)</f>
        <v>3</v>
      </c>
      <c r="E34" s="82"/>
      <c r="F34" s="14">
        <f t="shared" si="0"/>
        <v>10</v>
      </c>
      <c r="G34" s="99"/>
    </row>
    <row r="35" spans="1:7">
      <c r="A35" s="3" t="s">
        <v>81</v>
      </c>
      <c r="B35" s="63">
        <f>SUM(Details!S125:S131)</f>
        <v>0</v>
      </c>
      <c r="C35" s="63">
        <f>SUM(Details!T125:T131)</f>
        <v>0</v>
      </c>
      <c r="D35" s="63">
        <f>SUM(Details!U125:U131)</f>
        <v>0</v>
      </c>
      <c r="E35" s="82"/>
      <c r="F35" s="14">
        <f t="shared" si="0"/>
        <v>0</v>
      </c>
      <c r="G35" s="99"/>
    </row>
    <row r="36" spans="1:7">
      <c r="A36" s="3" t="s">
        <v>80</v>
      </c>
      <c r="B36" s="63">
        <f>SUM(Details!S133:S139)</f>
        <v>0</v>
      </c>
      <c r="C36" s="63">
        <f>SUM(Details!T133:T139)</f>
        <v>0</v>
      </c>
      <c r="D36" s="63">
        <f>SUM(Details!U133:U139)</f>
        <v>0</v>
      </c>
      <c r="E36" s="82"/>
      <c r="F36" s="14">
        <f t="shared" si="0"/>
        <v>0</v>
      </c>
      <c r="G36" s="99"/>
    </row>
    <row r="37" spans="1:7">
      <c r="A37" s="3" t="s">
        <v>259</v>
      </c>
      <c r="B37" s="63">
        <f>SUM(Details!S141)</f>
        <v>0</v>
      </c>
      <c r="C37" s="63">
        <f>SUM(Details!T141)</f>
        <v>0</v>
      </c>
      <c r="D37" s="63">
        <f>SUM(Details!U141)</f>
        <v>0</v>
      </c>
      <c r="E37" s="82"/>
      <c r="F37" s="14">
        <f t="shared" si="0"/>
        <v>0</v>
      </c>
      <c r="G37" s="99"/>
    </row>
    <row r="38" spans="1:7">
      <c r="A38" s="3" t="s">
        <v>418</v>
      </c>
      <c r="E38" s="82"/>
      <c r="F38" s="14">
        <f t="shared" si="0"/>
        <v>0</v>
      </c>
      <c r="G38" s="99"/>
    </row>
    <row r="39" spans="1:7">
      <c r="A39" s="100"/>
      <c r="B39" s="82"/>
      <c r="C39" s="82"/>
      <c r="D39" s="82"/>
      <c r="E39" s="82"/>
      <c r="F39" s="14">
        <f t="shared" si="0"/>
        <v>0</v>
      </c>
      <c r="G39" s="99"/>
    </row>
    <row r="40" spans="1:7">
      <c r="A40" s="100"/>
      <c r="B40" s="82"/>
      <c r="C40" s="82"/>
      <c r="D40" s="82"/>
      <c r="E40" s="82"/>
      <c r="F40" s="14">
        <f t="shared" si="0"/>
        <v>0</v>
      </c>
      <c r="G40" s="99"/>
    </row>
    <row r="41" spans="1:7">
      <c r="A41" s="100"/>
      <c r="B41" s="82"/>
      <c r="C41" s="82"/>
      <c r="D41" s="82"/>
      <c r="E41" s="82"/>
      <c r="F41" s="14">
        <f t="shared" si="0"/>
        <v>0</v>
      </c>
      <c r="G41" s="99"/>
    </row>
    <row r="42" spans="1:7">
      <c r="A42" s="100"/>
      <c r="B42" s="82"/>
      <c r="C42" s="82"/>
      <c r="D42" s="82"/>
      <c r="E42" s="82"/>
      <c r="F42" s="14">
        <f t="shared" si="0"/>
        <v>0</v>
      </c>
      <c r="G42" s="99"/>
    </row>
    <row r="43" spans="1:7" s="5" customFormat="1">
      <c r="A43" s="100"/>
      <c r="B43" s="82"/>
      <c r="C43" s="82"/>
      <c r="D43" s="82"/>
      <c r="E43" s="82"/>
      <c r="F43" s="14">
        <f t="shared" si="0"/>
        <v>0</v>
      </c>
      <c r="G43" s="99"/>
    </row>
    <row r="44" spans="1:7" s="5" customFormat="1">
      <c r="A44" s="5" t="s">
        <v>262</v>
      </c>
      <c r="B44" s="34">
        <f>SUM(B24:B43)</f>
        <v>24</v>
      </c>
      <c r="C44" s="34">
        <f>SUM(C24:C43)</f>
        <v>13</v>
      </c>
      <c r="D44" s="34">
        <f>SUM(D24:D43)</f>
        <v>18</v>
      </c>
      <c r="E44" s="34">
        <f>SUM(E24:E43)</f>
        <v>0</v>
      </c>
      <c r="F44" s="34">
        <f>SUM(F24:F43)</f>
        <v>55</v>
      </c>
      <c r="G44" s="65"/>
    </row>
    <row r="45" spans="1:7" s="76" customFormat="1">
      <c r="A45" s="5" t="s">
        <v>263</v>
      </c>
      <c r="B45" s="66">
        <f>$F$3*B44</f>
        <v>5400</v>
      </c>
      <c r="C45" s="66">
        <f>$F$4*C44</f>
        <v>2925</v>
      </c>
      <c r="D45" s="66">
        <f>$F$5*D44</f>
        <v>4050</v>
      </c>
      <c r="E45" s="66">
        <f>$F$6*E44</f>
        <v>0</v>
      </c>
      <c r="F45" s="66">
        <f>SUM(B45:E45)</f>
        <v>12375</v>
      </c>
      <c r="G45" s="65"/>
    </row>
    <row r="46" spans="1:7" s="76" customFormat="1">
      <c r="A46" s="76" t="s">
        <v>375</v>
      </c>
      <c r="B46" s="81">
        <f>B44/Details!$S$6</f>
        <v>8</v>
      </c>
      <c r="C46" s="81">
        <f>C44/Details!$S$6</f>
        <v>4.333333333333333</v>
      </c>
      <c r="D46" s="81">
        <f>D44/Details!$S$6</f>
        <v>6</v>
      </c>
      <c r="E46" s="80"/>
      <c r="F46" s="80">
        <f>SUM(B46:D46)</f>
        <v>18.333333333333332</v>
      </c>
      <c r="G46" s="77"/>
    </row>
    <row r="47" spans="1:7" s="76" customFormat="1">
      <c r="A47" s="76" t="s">
        <v>376</v>
      </c>
      <c r="B47" s="81" t="e">
        <f>Details!S149/Details!S153</f>
        <v>#DIV/0!</v>
      </c>
      <c r="C47" s="81" t="e">
        <f>Details!T149/Details!T153</f>
        <v>#DIV/0!</v>
      </c>
      <c r="D47" s="81" t="e">
        <f>Details!U149/Details!U153</f>
        <v>#DIV/0!</v>
      </c>
      <c r="E47" s="80"/>
      <c r="F47" s="80" t="e">
        <f>SUM(B47:D47)</f>
        <v>#DIV/0!</v>
      </c>
      <c r="G47" s="77"/>
    </row>
    <row r="48" spans="1:7">
      <c r="A48" s="76" t="s">
        <v>377</v>
      </c>
      <c r="B48" s="81">
        <f>SUM(Details!S10:S12)/Details!S6</f>
        <v>5</v>
      </c>
      <c r="C48" s="81">
        <f>SUM(Details!T10:T12)/Details!T6</f>
        <v>1.3333333333333333</v>
      </c>
      <c r="D48" s="81">
        <f>SUM(Details!U10:U12)/Details!U6</f>
        <v>1</v>
      </c>
      <c r="E48" s="80"/>
      <c r="F48" s="80">
        <f>SUM(B48:D48)</f>
        <v>7.333333333333333</v>
      </c>
      <c r="G48" s="77"/>
    </row>
    <row r="50" spans="1:7" s="6" customFormat="1">
      <c r="A50" s="3"/>
      <c r="B50" s="4"/>
      <c r="C50" s="4"/>
      <c r="D50" s="4"/>
      <c r="E50" s="4"/>
      <c r="F50" s="4"/>
      <c r="G50" s="12"/>
    </row>
    <row r="51" spans="1:7">
      <c r="A51" s="42" t="s">
        <v>264</v>
      </c>
      <c r="B51" s="42" t="s">
        <v>11</v>
      </c>
      <c r="C51" s="42" t="s">
        <v>12</v>
      </c>
      <c r="D51" s="42" t="s">
        <v>382</v>
      </c>
      <c r="E51" s="42" t="s">
        <v>260</v>
      </c>
      <c r="F51" s="42" t="s">
        <v>135</v>
      </c>
      <c r="G51" s="78" t="s">
        <v>261</v>
      </c>
    </row>
    <row r="52" spans="1:7">
      <c r="A52" s="100"/>
      <c r="B52" s="82"/>
      <c r="C52" s="82"/>
      <c r="D52" s="82"/>
      <c r="E52" s="82"/>
      <c r="F52" s="14">
        <f t="shared" ref="F52:F56" si="1">SUM(B52:E52)</f>
        <v>0</v>
      </c>
      <c r="G52" s="99"/>
    </row>
    <row r="53" spans="1:7">
      <c r="A53" s="100"/>
      <c r="B53" s="82"/>
      <c r="C53" s="82"/>
      <c r="D53" s="82"/>
      <c r="E53" s="82"/>
      <c r="F53" s="14">
        <f t="shared" si="1"/>
        <v>0</v>
      </c>
      <c r="G53" s="99"/>
    </row>
    <row r="54" spans="1:7">
      <c r="A54" s="100"/>
      <c r="B54" s="82"/>
      <c r="C54" s="82"/>
      <c r="D54" s="82"/>
      <c r="E54" s="82"/>
      <c r="F54" s="14">
        <f t="shared" si="1"/>
        <v>0</v>
      </c>
      <c r="G54" s="99"/>
    </row>
    <row r="55" spans="1:7" s="5" customFormat="1">
      <c r="A55" s="100"/>
      <c r="B55" s="82"/>
      <c r="C55" s="82"/>
      <c r="D55" s="82"/>
      <c r="E55" s="82"/>
      <c r="F55" s="14">
        <f t="shared" si="1"/>
        <v>0</v>
      </c>
      <c r="G55" s="99"/>
    </row>
    <row r="56" spans="1:7" s="5" customFormat="1">
      <c r="A56" s="5" t="s">
        <v>262</v>
      </c>
      <c r="B56" s="6">
        <f>SUM(B52:B55)</f>
        <v>0</v>
      </c>
      <c r="C56" s="6">
        <f>SUM(C52:C55)</f>
        <v>0</v>
      </c>
      <c r="D56" s="6">
        <f>SUM(D52:D55)</f>
        <v>0</v>
      </c>
      <c r="E56" s="6">
        <f>SUM(E52:E55)</f>
        <v>0</v>
      </c>
      <c r="F56" s="64">
        <f t="shared" si="1"/>
        <v>0</v>
      </c>
      <c r="G56" s="65"/>
    </row>
    <row r="57" spans="1:7">
      <c r="A57" s="5" t="s">
        <v>263</v>
      </c>
      <c r="B57" s="66">
        <f>$F$9*B56</f>
        <v>0</v>
      </c>
      <c r="C57" s="66">
        <f>$F$10*C56</f>
        <v>0</v>
      </c>
      <c r="D57" s="66">
        <f>$F$11*D56</f>
        <v>0</v>
      </c>
      <c r="E57" s="66">
        <f>$F$12*E56</f>
        <v>0</v>
      </c>
      <c r="F57" s="66">
        <f>$F$9*F56</f>
        <v>0</v>
      </c>
      <c r="G57" s="65"/>
    </row>
    <row r="58" spans="1:7" s="5" customFormat="1">
      <c r="A58" s="3"/>
      <c r="B58" s="4"/>
      <c r="C58" s="4"/>
      <c r="D58" s="4"/>
      <c r="E58" s="4"/>
      <c r="F58" s="4"/>
      <c r="G58" s="12"/>
    </row>
    <row r="59" spans="1:7">
      <c r="A59" s="5" t="s">
        <v>265</v>
      </c>
      <c r="B59" s="66">
        <f>B45+B57</f>
        <v>5400</v>
      </c>
      <c r="C59" s="66"/>
      <c r="D59" s="66">
        <f>D45+D57</f>
        <v>4050</v>
      </c>
      <c r="E59" s="66">
        <f>E45+E57</f>
        <v>0</v>
      </c>
      <c r="F59" s="66">
        <f>F45+F57</f>
        <v>12375</v>
      </c>
      <c r="G59" s="65"/>
    </row>
  </sheetData>
  <mergeCells count="2">
    <mergeCell ref="B14:D14"/>
    <mergeCell ref="B19:D19"/>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pane ySplit="1" topLeftCell="A2" activePane="bottomLeft" state="frozenSplit"/>
      <selection pane="bottomLeft" activeCell="B7" sqref="B7"/>
    </sheetView>
  </sheetViews>
  <sheetFormatPr baseColWidth="10" defaultColWidth="8.83203125" defaultRowHeight="14" x14ac:dyDescent="0"/>
  <cols>
    <col min="1" max="1" width="15.6640625" style="4" bestFit="1" customWidth="1"/>
    <col min="2" max="2" width="89.6640625" style="12" customWidth="1"/>
    <col min="3" max="3" width="19" style="4" customWidth="1"/>
    <col min="4" max="4" width="16.6640625" style="89" customWidth="1"/>
    <col min="5" max="5" width="8.83203125" style="3"/>
    <col min="6" max="6" width="45.83203125" style="12" customWidth="1"/>
    <col min="7" max="7" width="13.33203125" style="12" bestFit="1" customWidth="1"/>
    <col min="8" max="8" width="15.6640625" style="4" bestFit="1" customWidth="1"/>
    <col min="9" max="9" width="14" style="4" bestFit="1" customWidth="1"/>
    <col min="10" max="16384" width="8.83203125" style="3"/>
  </cols>
  <sheetData>
    <row r="1" spans="1:9" s="6" customFormat="1">
      <c r="A1" s="86" t="s">
        <v>398</v>
      </c>
      <c r="B1" s="87" t="s">
        <v>399</v>
      </c>
      <c r="C1" s="86" t="s">
        <v>400</v>
      </c>
      <c r="D1" s="88" t="s">
        <v>401</v>
      </c>
      <c r="F1" s="87" t="s">
        <v>414</v>
      </c>
      <c r="G1" s="87" t="s">
        <v>423</v>
      </c>
      <c r="H1" s="86" t="s">
        <v>415</v>
      </c>
      <c r="I1" s="86" t="s">
        <v>416</v>
      </c>
    </row>
    <row r="2" spans="1:9">
      <c r="A2" s="4">
        <v>3</v>
      </c>
      <c r="B2" s="12" t="s">
        <v>402</v>
      </c>
      <c r="C2" s="4" t="s">
        <v>403</v>
      </c>
      <c r="D2" s="89">
        <v>42185</v>
      </c>
      <c r="F2" s="118" t="s">
        <v>417</v>
      </c>
      <c r="G2" s="118" t="s">
        <v>425</v>
      </c>
      <c r="H2" s="119">
        <v>4.2</v>
      </c>
      <c r="I2" s="119">
        <v>4.2</v>
      </c>
    </row>
    <row r="3" spans="1:9" ht="112">
      <c r="A3" s="4">
        <v>4</v>
      </c>
      <c r="B3" s="85" t="s">
        <v>420</v>
      </c>
      <c r="F3" s="12" t="s">
        <v>461</v>
      </c>
      <c r="G3" s="12" t="s">
        <v>424</v>
      </c>
      <c r="H3" s="4">
        <v>4.2</v>
      </c>
    </row>
    <row r="4" spans="1:9" ht="56">
      <c r="A4" s="4">
        <v>4.0999999999999996</v>
      </c>
      <c r="B4" s="85" t="s">
        <v>419</v>
      </c>
      <c r="F4" s="118" t="s">
        <v>421</v>
      </c>
      <c r="G4" s="118" t="s">
        <v>424</v>
      </c>
      <c r="H4" s="119">
        <v>4.2</v>
      </c>
      <c r="I4" s="119">
        <v>4.2</v>
      </c>
    </row>
    <row r="5" spans="1:9" ht="98">
      <c r="A5" s="4">
        <v>4.2</v>
      </c>
      <c r="B5" s="85" t="s">
        <v>459</v>
      </c>
      <c r="C5" s="4" t="s">
        <v>403</v>
      </c>
      <c r="D5" s="89">
        <v>42307</v>
      </c>
      <c r="F5" s="118" t="s">
        <v>422</v>
      </c>
      <c r="G5" s="118" t="s">
        <v>424</v>
      </c>
      <c r="H5" s="119">
        <v>4.2</v>
      </c>
      <c r="I5" s="119">
        <v>4.2</v>
      </c>
    </row>
    <row r="6" spans="1:9" ht="42">
      <c r="A6" s="4">
        <v>4.3</v>
      </c>
      <c r="B6" s="85" t="s">
        <v>463</v>
      </c>
      <c r="F6" s="12" t="s">
        <v>426</v>
      </c>
      <c r="G6" s="12" t="s">
        <v>425</v>
      </c>
    </row>
    <row r="7" spans="1:9" ht="406">
      <c r="A7" s="4">
        <v>5</v>
      </c>
      <c r="B7" s="85" t="s">
        <v>465</v>
      </c>
      <c r="F7" s="118" t="s">
        <v>427</v>
      </c>
      <c r="G7" s="118" t="s">
        <v>424</v>
      </c>
      <c r="H7" s="119">
        <v>4.2</v>
      </c>
      <c r="I7" s="119">
        <v>4.2</v>
      </c>
    </row>
    <row r="8" spans="1:9" ht="28">
      <c r="B8" s="85"/>
      <c r="F8" s="12" t="s">
        <v>464</v>
      </c>
    </row>
    <row r="9" spans="1:9">
      <c r="B9" s="85"/>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A8" sqref="A8"/>
    </sheetView>
  </sheetViews>
  <sheetFormatPr baseColWidth="10" defaultColWidth="8.83203125" defaultRowHeight="14" x14ac:dyDescent="0"/>
  <cols>
    <col min="1" max="1" width="16.83203125" bestFit="1" customWidth="1"/>
    <col min="4" max="4" width="15.5" customWidth="1"/>
    <col min="5" max="5" width="14.1640625" bestFit="1" customWidth="1"/>
    <col min="6" max="6" width="11.1640625" bestFit="1" customWidth="1"/>
    <col min="9" max="9" width="45.5" customWidth="1"/>
  </cols>
  <sheetData>
    <row r="1" spans="1:9" ht="112">
      <c r="A1" s="16" t="s">
        <v>279</v>
      </c>
      <c r="D1" s="123" t="s">
        <v>448</v>
      </c>
      <c r="E1" s="123"/>
      <c r="F1" s="123"/>
      <c r="I1" s="101" t="s">
        <v>439</v>
      </c>
    </row>
    <row r="2" spans="1:9">
      <c r="A2" t="s">
        <v>280</v>
      </c>
      <c r="D2" s="16" t="s">
        <v>447</v>
      </c>
      <c r="E2" s="16" t="s">
        <v>442</v>
      </c>
      <c r="F2" s="16" t="s">
        <v>443</v>
      </c>
    </row>
    <row r="3" spans="1:9">
      <c r="A3" t="s">
        <v>281</v>
      </c>
      <c r="D3" s="113">
        <v>0</v>
      </c>
      <c r="E3">
        <v>1</v>
      </c>
      <c r="F3">
        <v>5</v>
      </c>
    </row>
    <row r="4" spans="1:9">
      <c r="A4" t="s">
        <v>282</v>
      </c>
      <c r="D4" s="113">
        <v>100</v>
      </c>
      <c r="E4">
        <v>1</v>
      </c>
      <c r="F4">
        <v>5</v>
      </c>
    </row>
    <row r="5" spans="1:9">
      <c r="D5">
        <v>200</v>
      </c>
      <c r="E5">
        <v>5</v>
      </c>
      <c r="F5">
        <v>8</v>
      </c>
    </row>
    <row r="6" spans="1:9">
      <c r="D6">
        <v>300</v>
      </c>
      <c r="E6">
        <v>5</v>
      </c>
      <c r="F6">
        <v>8</v>
      </c>
    </row>
    <row r="7" spans="1:9">
      <c r="A7" s="16" t="s">
        <v>284</v>
      </c>
      <c r="D7">
        <v>500</v>
      </c>
      <c r="E7">
        <v>10</v>
      </c>
      <c r="F7">
        <v>12</v>
      </c>
    </row>
    <row r="8" spans="1:9">
      <c r="A8" t="b">
        <v>1</v>
      </c>
      <c r="D8">
        <v>800</v>
      </c>
      <c r="E8">
        <v>12</v>
      </c>
      <c r="F8">
        <v>14</v>
      </c>
    </row>
    <row r="9" spans="1:9">
      <c r="A9" t="b">
        <v>0</v>
      </c>
      <c r="D9">
        <v>1100</v>
      </c>
      <c r="E9">
        <v>14</v>
      </c>
      <c r="F9">
        <v>16</v>
      </c>
    </row>
    <row r="10" spans="1:9">
      <c r="D10">
        <v>1500</v>
      </c>
      <c r="E10">
        <v>16</v>
      </c>
      <c r="F10">
        <v>20</v>
      </c>
    </row>
    <row r="11" spans="1:9">
      <c r="D11">
        <v>9999999</v>
      </c>
      <c r="E11">
        <v>18</v>
      </c>
      <c r="F11">
        <v>20</v>
      </c>
    </row>
    <row r="12" spans="1:9">
      <c r="A12" s="16" t="s">
        <v>309</v>
      </c>
    </row>
    <row r="13" spans="1:9">
      <c r="A13" t="s">
        <v>310</v>
      </c>
    </row>
    <row r="14" spans="1:9">
      <c r="A14" t="s">
        <v>437</v>
      </c>
      <c r="D14" s="123" t="s">
        <v>449</v>
      </c>
      <c r="E14" s="123"/>
    </row>
    <row r="15" spans="1:9">
      <c r="D15" s="16" t="s">
        <v>450</v>
      </c>
      <c r="E15" s="16" t="s">
        <v>451</v>
      </c>
    </row>
    <row r="16" spans="1:9">
      <c r="D16">
        <v>0</v>
      </c>
      <c r="E16">
        <v>2</v>
      </c>
    </row>
    <row r="17" spans="4:5">
      <c r="D17">
        <v>100</v>
      </c>
      <c r="E17">
        <v>2</v>
      </c>
    </row>
    <row r="18" spans="4:5">
      <c r="D18">
        <v>200</v>
      </c>
      <c r="E18">
        <v>5</v>
      </c>
    </row>
    <row r="19" spans="4:5">
      <c r="D19">
        <v>300</v>
      </c>
      <c r="E19">
        <v>8</v>
      </c>
    </row>
    <row r="20" spans="4:5">
      <c r="D20">
        <v>500</v>
      </c>
      <c r="E20">
        <v>10</v>
      </c>
    </row>
    <row r="21" spans="4:5">
      <c r="D21">
        <v>800</v>
      </c>
      <c r="E21">
        <v>15</v>
      </c>
    </row>
    <row r="22" spans="4:5">
      <c r="D22">
        <v>1100</v>
      </c>
      <c r="E22">
        <v>20</v>
      </c>
    </row>
    <row r="23" spans="4:5">
      <c r="D23">
        <v>1500</v>
      </c>
      <c r="E23">
        <v>25</v>
      </c>
    </row>
    <row r="24" spans="4:5">
      <c r="D24">
        <v>9999999</v>
      </c>
      <c r="E24">
        <v>30</v>
      </c>
    </row>
  </sheetData>
  <mergeCells count="2">
    <mergeCell ref="D1:F1"/>
    <mergeCell ref="D14:E14"/>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Questionnaire</vt:lpstr>
      <vt:lpstr>Details</vt:lpstr>
      <vt:lpstr>Estimate</vt:lpstr>
      <vt:lpstr>Version History</vt:lpstr>
      <vt:lpstr>Utilities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Gilles Muys</dc:creator>
  <cp:lastModifiedBy>Salesforce.com</cp:lastModifiedBy>
  <dcterms:created xsi:type="dcterms:W3CDTF">2015-02-28T17:05:31Z</dcterms:created>
  <dcterms:modified xsi:type="dcterms:W3CDTF">2016-03-01T23:02:35Z</dcterms:modified>
</cp:coreProperties>
</file>