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44" documentId="13_ncr:1_{ECBB2668-99B1-4EC5-A385-1B4E84E88342}" xr6:coauthVersionLast="47" xr6:coauthVersionMax="47" xr10:uidLastSave="{A0AD4E63-B246-4EEA-A816-CB767F182BCF}"/>
  <bookViews>
    <workbookView xWindow="-110" yWindow="-110" windowWidth="19420" windowHeight="10420" tabRatio="773" firstSheet="7" activeTab="15" xr2:uid="{00000000-000D-0000-FFFF-FFFF00000000}"/>
  </bookViews>
  <sheets>
    <sheet name="Sheet1" sheetId="1" state="hidden" r:id="rId1"/>
    <sheet name="Mapping" sheetId="21" r:id="rId2"/>
    <sheet name="Overall Progress" sheetId="2" r:id="rId3"/>
    <sheet name="Sheet6" sheetId="15" state="hidden" r:id="rId4"/>
    <sheet name="Sheet4" sheetId="9" state="hidden" r:id="rId5"/>
    <sheet name="Sheet5" sheetId="10" state="hidden" r:id="rId6"/>
    <sheet name="April Plan'22" sheetId="3" state="hidden" r:id="rId7"/>
    <sheet name="Civil Day Wise Progress" sheetId="4" r:id="rId8"/>
    <sheet name="Strl Fab Day Wise  Progress " sheetId="5" r:id="rId9"/>
    <sheet name="Strl Erec Day Wise" sheetId="11" r:id="rId10"/>
    <sheet name="EQUIPMENT" sheetId="13" r:id="rId11"/>
    <sheet name="PIPING" sheetId="12" r:id="rId12"/>
    <sheet name="Sheet7" sheetId="16" state="hidden" r:id="rId13"/>
    <sheet name="Sheet8" sheetId="17" state="hidden" r:id="rId14"/>
    <sheet name="Refractory" sheetId="14" r:id="rId15"/>
    <sheet name="Graphs" sheetId="20" r:id="rId16"/>
    <sheet name="Sheet9" sheetId="18" state="hidden" r:id="rId17"/>
    <sheet name="Sheet10" sheetId="19" state="hidden" r:id="rId18"/>
    <sheet name="Strl Erec Day Wise  Progress " sheetId="6" state="hidden" r:id="rId19"/>
    <sheet name="Sheet3" sheetId="8" state="hidden" r:id="rId20"/>
    <sheet name="Sheet2" sheetId="7" state="hidden" r:id="rId21"/>
  </sheets>
  <definedNames>
    <definedName name="_xlnm._FilterDatabase" localSheetId="7" hidden="1">'Civil Day Wise Progress'!$A$72:$AR$190</definedName>
    <definedName name="_xlnm.Print_Area" localSheetId="6">'April Plan''22'!$A$1:$D$40</definedName>
    <definedName name="_xlnm.Print_Area" localSheetId="7">'Civil Day Wise Progress'!$A$72:$J$190</definedName>
    <definedName name="_xlnm.Print_Area" localSheetId="10">EQUIPMENT!$A$1:$N$19</definedName>
    <definedName name="_xlnm.Print_Area" localSheetId="2">'Overall Progress'!$A$1:$N$53</definedName>
    <definedName name="_xlnm.Print_Area" localSheetId="11">PIPING!$A$1:$S$29</definedName>
    <definedName name="_xlnm.Print_Area" localSheetId="0">Sheet1!$A$1:$O$20</definedName>
    <definedName name="_xlnm.Print_Area" localSheetId="20">Sheet2!$E$2:$M$19</definedName>
    <definedName name="_xlnm.Print_Area" localSheetId="9">'Strl Erec Day Wise'!$A$1:$AT$91</definedName>
    <definedName name="_xlnm.Print_Area" localSheetId="18">'Strl Erec Day Wise  Progress '!$A$1:$AQ$73</definedName>
    <definedName name="_xlnm.Print_Area" localSheetId="8">'Strl Fab Day Wise  Progress '!$A$1:$AT$91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2" l="1"/>
  <c r="F6" i="14"/>
  <c r="P4" i="12"/>
  <c r="AG41" i="11"/>
  <c r="H64" i="2"/>
  <c r="G64" i="2"/>
  <c r="K4" i="13" l="1"/>
  <c r="G6" i="13" l="1"/>
  <c r="G13" i="13"/>
  <c r="G12" i="13" l="1"/>
  <c r="K29" i="12"/>
  <c r="AC44" i="11" l="1"/>
  <c r="C14" i="13" l="1"/>
  <c r="G14" i="13"/>
  <c r="J40" i="2"/>
  <c r="K8" i="13" l="1"/>
  <c r="G8" i="13" l="1"/>
  <c r="P31" i="11" l="1"/>
  <c r="Q31" i="11"/>
  <c r="R31" i="11"/>
  <c r="S31" i="11"/>
  <c r="T31" i="11"/>
  <c r="U31" i="11"/>
  <c r="V31" i="11"/>
  <c r="W31" i="11"/>
  <c r="X31" i="11"/>
  <c r="O31" i="11"/>
  <c r="Z78" i="11"/>
  <c r="X78" i="11"/>
  <c r="G4" i="13" l="1"/>
  <c r="R16" i="12" l="1"/>
  <c r="S16" i="12"/>
  <c r="G16" i="12"/>
  <c r="G17" i="12"/>
  <c r="J17" i="12"/>
  <c r="M17" i="12" s="1"/>
  <c r="Q17" i="12"/>
  <c r="R17" i="12" s="1"/>
  <c r="S17" i="12" l="1"/>
  <c r="V31" i="5" l="1"/>
  <c r="T43" i="11" l="1"/>
  <c r="H30" i="11"/>
  <c r="H29" i="11"/>
  <c r="H28" i="11"/>
  <c r="G27" i="11"/>
  <c r="F27" i="11"/>
  <c r="E27" i="11"/>
  <c r="H27" i="11" s="1"/>
  <c r="H26" i="11"/>
  <c r="G25" i="11"/>
  <c r="F25" i="11"/>
  <c r="E25" i="11"/>
  <c r="H25" i="11" s="1"/>
  <c r="H24" i="11"/>
  <c r="H23" i="11"/>
  <c r="H22" i="11"/>
  <c r="H21" i="11"/>
  <c r="F21" i="11"/>
  <c r="H20" i="11"/>
  <c r="H19" i="11"/>
  <c r="H18" i="11"/>
  <c r="H17" i="11"/>
  <c r="H16" i="11"/>
  <c r="H15" i="11"/>
  <c r="H14" i="11"/>
  <c r="H13" i="11"/>
  <c r="H12" i="11"/>
  <c r="H11" i="11"/>
  <c r="F11" i="11"/>
  <c r="H10" i="11"/>
  <c r="H9" i="11"/>
  <c r="H8" i="11"/>
  <c r="G7" i="11"/>
  <c r="H7" i="11" s="1"/>
  <c r="H6" i="11"/>
  <c r="H5" i="11"/>
  <c r="G4" i="11"/>
  <c r="H4" i="11" s="1"/>
  <c r="G10" i="13" l="1"/>
  <c r="G6" i="14"/>
  <c r="L8" i="2" l="1"/>
  <c r="L10" i="2"/>
  <c r="D137" i="4" l="1"/>
  <c r="E110" i="4"/>
  <c r="D110" i="4"/>
  <c r="E111" i="4"/>
  <c r="D159" i="4"/>
  <c r="D162" i="4"/>
  <c r="AR161" i="4"/>
  <c r="H161" i="4" s="1"/>
  <c r="F161" i="4"/>
  <c r="J161" i="4" l="1"/>
  <c r="I161" i="4"/>
  <c r="K8" i="2" l="1"/>
  <c r="K10" i="2"/>
  <c r="F10" i="13" l="1"/>
  <c r="J8" i="13"/>
  <c r="F13" i="13"/>
  <c r="F19" i="13" s="1"/>
  <c r="I43" i="2" l="1"/>
  <c r="I41" i="2"/>
  <c r="H43" i="2"/>
  <c r="H41" i="2"/>
  <c r="J4" i="13" l="1"/>
  <c r="N78" i="5"/>
  <c r="J18" i="12" l="1"/>
  <c r="J19" i="12"/>
  <c r="J20" i="12"/>
  <c r="J21" i="12"/>
  <c r="J22" i="12"/>
  <c r="J23" i="12"/>
  <c r="J24" i="12"/>
  <c r="J25" i="12"/>
  <c r="J26" i="12"/>
  <c r="J27" i="12"/>
  <c r="J28" i="12"/>
  <c r="L5" i="13"/>
  <c r="L6" i="13"/>
  <c r="N6" i="13" s="1"/>
  <c r="L7" i="13"/>
  <c r="N7" i="13" s="1"/>
  <c r="L8" i="13"/>
  <c r="N8" i="13" s="1"/>
  <c r="L9" i="13"/>
  <c r="N9" i="13" s="1"/>
  <c r="L10" i="13"/>
  <c r="N10" i="13" s="1"/>
  <c r="L11" i="13"/>
  <c r="N11" i="13" s="1"/>
  <c r="L12" i="13"/>
  <c r="L13" i="13"/>
  <c r="N13" i="13" s="1"/>
  <c r="L14" i="13"/>
  <c r="N14" i="13" s="1"/>
  <c r="L15" i="13"/>
  <c r="N15" i="13" s="1"/>
  <c r="L16" i="13"/>
  <c r="N16" i="13" s="1"/>
  <c r="L17" i="13"/>
  <c r="N17" i="13" s="1"/>
  <c r="L18" i="13"/>
  <c r="L4" i="13"/>
  <c r="I19" i="13"/>
  <c r="E19" i="13"/>
  <c r="B19" i="13"/>
  <c r="H18" i="13"/>
  <c r="M17" i="13"/>
  <c r="H17" i="13"/>
  <c r="C17" i="13"/>
  <c r="D17" i="13" s="1"/>
  <c r="M16" i="13"/>
  <c r="H16" i="13"/>
  <c r="C16" i="13"/>
  <c r="C19" i="13" s="1"/>
  <c r="D19" i="13" s="1"/>
  <c r="M15" i="13"/>
  <c r="H15" i="13"/>
  <c r="D15" i="13"/>
  <c r="M14" i="13"/>
  <c r="H14" i="13"/>
  <c r="D14" i="13"/>
  <c r="M13" i="13"/>
  <c r="H13" i="13"/>
  <c r="D13" i="13"/>
  <c r="N12" i="13"/>
  <c r="M12" i="13"/>
  <c r="H12" i="13"/>
  <c r="D12" i="13"/>
  <c r="M11" i="13"/>
  <c r="H11" i="13"/>
  <c r="D11" i="13"/>
  <c r="M10" i="13"/>
  <c r="H10" i="13"/>
  <c r="D10" i="13"/>
  <c r="M9" i="13"/>
  <c r="H9" i="13"/>
  <c r="D9" i="13"/>
  <c r="M8" i="13"/>
  <c r="H8" i="13"/>
  <c r="D8" i="13"/>
  <c r="M7" i="13"/>
  <c r="H7" i="13"/>
  <c r="D7" i="13"/>
  <c r="M6" i="13"/>
  <c r="H6" i="13"/>
  <c r="O6" i="13" s="1"/>
  <c r="D6" i="13"/>
  <c r="N5" i="13"/>
  <c r="M5" i="13"/>
  <c r="H5" i="13"/>
  <c r="D5" i="13"/>
  <c r="M4" i="13"/>
  <c r="K19" i="13"/>
  <c r="I36" i="2" s="1"/>
  <c r="L36" i="2" s="1"/>
  <c r="J19" i="13"/>
  <c r="H36" i="2" s="1"/>
  <c r="G19" i="13"/>
  <c r="I35" i="2" s="1"/>
  <c r="D4" i="13"/>
  <c r="L19" i="13" l="1"/>
  <c r="N19" i="13" s="1"/>
  <c r="M19" i="13"/>
  <c r="N4" i="13"/>
  <c r="H19" i="13"/>
  <c r="H4" i="13"/>
  <c r="D16" i="13"/>
  <c r="I78" i="11" l="1"/>
  <c r="I44" i="11"/>
  <c r="I34" i="11"/>
  <c r="N4" i="5"/>
  <c r="I44" i="5" l="1"/>
  <c r="I34" i="5"/>
  <c r="I6" i="5"/>
  <c r="I24" i="5"/>
  <c r="I22" i="5"/>
  <c r="I12" i="5"/>
  <c r="I10" i="5"/>
  <c r="N10" i="2"/>
  <c r="E6" i="2"/>
  <c r="H12" i="2"/>
  <c r="M10" i="2" l="1"/>
  <c r="M185" i="4" l="1"/>
  <c r="L185" i="4"/>
  <c r="H9" i="2" s="1"/>
  <c r="L188" i="4"/>
  <c r="H11" i="2" s="1"/>
  <c r="AU43" i="11"/>
  <c r="AU37" i="11"/>
  <c r="J98" i="11" l="1"/>
  <c r="J14" i="2" l="1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M18" i="12" l="1"/>
  <c r="M19" i="12"/>
  <c r="M20" i="12"/>
  <c r="M21" i="12"/>
  <c r="M22" i="12"/>
  <c r="M23" i="12"/>
  <c r="M24" i="12"/>
  <c r="M25" i="12"/>
  <c r="M26" i="12"/>
  <c r="M27" i="12"/>
  <c r="M28" i="12"/>
  <c r="M11" i="12"/>
  <c r="J13" i="2"/>
  <c r="J6" i="2"/>
  <c r="L29" i="12" l="1"/>
  <c r="I39" i="2" s="1"/>
  <c r="M4" i="12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M188" i="4"/>
  <c r="AR183" i="4"/>
  <c r="H183" i="4" s="1"/>
  <c r="I183" i="4" s="1"/>
  <c r="F183" i="4"/>
  <c r="J183" i="4" l="1"/>
  <c r="E185" i="4" l="1"/>
  <c r="D185" i="4"/>
  <c r="E188" i="4"/>
  <c r="D188" i="4"/>
  <c r="AR187" i="4"/>
  <c r="H187" i="4" s="1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F187" i="4"/>
  <c r="E135" i="4"/>
  <c r="D135" i="4"/>
  <c r="J187" i="4" l="1"/>
  <c r="I187" i="4"/>
  <c r="AR186" i="4" l="1"/>
  <c r="AR188" i="4" l="1"/>
  <c r="I12" i="2" s="1"/>
  <c r="AR181" i="4"/>
  <c r="H181" i="4" s="1"/>
  <c r="I181" i="4" s="1"/>
  <c r="AR182" i="4"/>
  <c r="H182" i="4" s="1"/>
  <c r="I182" i="4" s="1"/>
  <c r="AR184" i="4"/>
  <c r="H184" i="4" s="1"/>
  <c r="F184" i="4"/>
  <c r="F182" i="4"/>
  <c r="F181" i="4"/>
  <c r="K12" i="2" l="1"/>
  <c r="L12" i="2"/>
  <c r="I184" i="4"/>
  <c r="J184" i="4"/>
  <c r="J182" i="4"/>
  <c r="J181" i="4"/>
  <c r="K9" i="14"/>
  <c r="L9" i="14" s="1"/>
  <c r="J9" i="14"/>
  <c r="I9" i="14"/>
  <c r="H9" i="14"/>
  <c r="E9" i="14"/>
  <c r="B9" i="14"/>
  <c r="M8" i="14"/>
  <c r="L8" i="14"/>
  <c r="D8" i="14"/>
  <c r="M7" i="14"/>
  <c r="L7" i="14"/>
  <c r="C7" i="14"/>
  <c r="D7" i="14" s="1"/>
  <c r="M6" i="14"/>
  <c r="L6" i="14"/>
  <c r="D6" i="14"/>
  <c r="M5" i="14"/>
  <c r="L5" i="14"/>
  <c r="D5" i="14"/>
  <c r="O29" i="12"/>
  <c r="N29" i="12"/>
  <c r="I29" i="12"/>
  <c r="E29" i="12"/>
  <c r="S28" i="12"/>
  <c r="R28" i="12"/>
  <c r="G28" i="12"/>
  <c r="S27" i="12"/>
  <c r="R27" i="12"/>
  <c r="G27" i="12"/>
  <c r="S26" i="12"/>
  <c r="R26" i="12"/>
  <c r="G26" i="12"/>
  <c r="S25" i="12"/>
  <c r="R25" i="12"/>
  <c r="G25" i="12"/>
  <c r="S24" i="12"/>
  <c r="R24" i="12"/>
  <c r="G24" i="12"/>
  <c r="S23" i="12"/>
  <c r="R23" i="12"/>
  <c r="G23" i="12"/>
  <c r="S22" i="12"/>
  <c r="R22" i="12"/>
  <c r="G22" i="12"/>
  <c r="S21" i="12"/>
  <c r="R21" i="12"/>
  <c r="G21" i="12"/>
  <c r="S20" i="12"/>
  <c r="R20" i="12"/>
  <c r="G20" i="12"/>
  <c r="S19" i="12"/>
  <c r="R19" i="12"/>
  <c r="G19" i="12"/>
  <c r="S18" i="12"/>
  <c r="R18" i="12"/>
  <c r="G18" i="12"/>
  <c r="S15" i="12"/>
  <c r="R15" i="12"/>
  <c r="G15" i="12"/>
  <c r="S14" i="12"/>
  <c r="R14" i="12"/>
  <c r="G14" i="12"/>
  <c r="S13" i="12"/>
  <c r="R13" i="12"/>
  <c r="G13" i="12"/>
  <c r="S12" i="12"/>
  <c r="R12" i="12"/>
  <c r="G12" i="12"/>
  <c r="S11" i="12"/>
  <c r="R11" i="12"/>
  <c r="H11" i="12"/>
  <c r="H29" i="12" s="1"/>
  <c r="J29" i="12" s="1"/>
  <c r="G11" i="12"/>
  <c r="S10" i="12"/>
  <c r="R10" i="12"/>
  <c r="G10" i="12"/>
  <c r="P29" i="12"/>
  <c r="F9" i="12"/>
  <c r="G9" i="12" s="1"/>
  <c r="S8" i="12"/>
  <c r="R8" i="12"/>
  <c r="G8" i="12"/>
  <c r="S7" i="12"/>
  <c r="R7" i="12"/>
  <c r="G7" i="12"/>
  <c r="S6" i="12"/>
  <c r="R6" i="12"/>
  <c r="F6" i="12"/>
  <c r="G6" i="12" s="1"/>
  <c r="S5" i="12"/>
  <c r="R5" i="12"/>
  <c r="G5" i="12"/>
  <c r="S4" i="12"/>
  <c r="R4" i="12"/>
  <c r="G4" i="12"/>
  <c r="F29" i="12"/>
  <c r="G36" i="11"/>
  <c r="H36" i="11" s="1"/>
  <c r="F36" i="11"/>
  <c r="I31" i="11"/>
  <c r="G31" i="11"/>
  <c r="F31" i="11"/>
  <c r="E31" i="11"/>
  <c r="D31" i="11"/>
  <c r="J30" i="11"/>
  <c r="L30" i="11" s="1"/>
  <c r="I90" i="11"/>
  <c r="AS89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D89" i="11"/>
  <c r="AT88" i="11"/>
  <c r="J88" i="11" s="1"/>
  <c r="H88" i="11"/>
  <c r="AT87" i="11"/>
  <c r="G87" i="11"/>
  <c r="G89" i="11" s="1"/>
  <c r="F87" i="11"/>
  <c r="F89" i="11" s="1"/>
  <c r="E87" i="11"/>
  <c r="E89" i="11" s="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G85" i="11"/>
  <c r="F85" i="11"/>
  <c r="E85" i="11"/>
  <c r="H85" i="11" s="1"/>
  <c r="D85" i="11"/>
  <c r="AT84" i="11"/>
  <c r="J84" i="11" s="1"/>
  <c r="L84" i="11" s="1"/>
  <c r="H84" i="11"/>
  <c r="AT83" i="11"/>
  <c r="H83" i="11"/>
  <c r="AS81" i="11"/>
  <c r="AR81" i="11"/>
  <c r="AQ81" i="11"/>
  <c r="AP81" i="11"/>
  <c r="AO81" i="11"/>
  <c r="AN81" i="11"/>
  <c r="AM81" i="11"/>
  <c r="AL81" i="11"/>
  <c r="AK81" i="11"/>
  <c r="AK90" i="11" s="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G81" i="11"/>
  <c r="F81" i="11"/>
  <c r="E81" i="11"/>
  <c r="H81" i="11" s="1"/>
  <c r="D81" i="11"/>
  <c r="AT80" i="11"/>
  <c r="J80" i="11" s="1"/>
  <c r="H80" i="11"/>
  <c r="AS78" i="11"/>
  <c r="AR78" i="11"/>
  <c r="AQ78" i="11"/>
  <c r="AP78" i="11"/>
  <c r="AO78" i="11"/>
  <c r="AN78" i="11"/>
  <c r="AM78" i="11"/>
  <c r="AM90" i="11" s="1"/>
  <c r="AL78" i="11"/>
  <c r="AL90" i="11" s="1"/>
  <c r="AJ78" i="11"/>
  <c r="AI78" i="11"/>
  <c r="AH78" i="11"/>
  <c r="AG78" i="11"/>
  <c r="AG90" i="11" s="1"/>
  <c r="AF78" i="11"/>
  <c r="AF90" i="11" s="1"/>
  <c r="AE78" i="11"/>
  <c r="AE90" i="11" s="1"/>
  <c r="AD78" i="11"/>
  <c r="AD90" i="11" s="1"/>
  <c r="AC78" i="11"/>
  <c r="AB78" i="11"/>
  <c r="AA78" i="11"/>
  <c r="Y78" i="11"/>
  <c r="W78" i="11"/>
  <c r="V78" i="11"/>
  <c r="U78" i="11"/>
  <c r="T78" i="11"/>
  <c r="S78" i="11"/>
  <c r="R78" i="11"/>
  <c r="Q78" i="11"/>
  <c r="P78" i="11"/>
  <c r="O78" i="11"/>
  <c r="N78" i="11"/>
  <c r="N90" i="11" s="1"/>
  <c r="D78" i="11"/>
  <c r="D90" i="11" s="1"/>
  <c r="AT77" i="11"/>
  <c r="J77" i="11" s="1"/>
  <c r="L77" i="11" s="1"/>
  <c r="H77" i="11"/>
  <c r="AT76" i="11"/>
  <c r="J76" i="11" s="1"/>
  <c r="G76" i="11"/>
  <c r="F76" i="11"/>
  <c r="E76" i="11"/>
  <c r="AT75" i="11"/>
  <c r="J75" i="11" s="1"/>
  <c r="H75" i="11"/>
  <c r="AT74" i="11"/>
  <c r="J74" i="11" s="1"/>
  <c r="K74" i="11" s="1"/>
  <c r="H74" i="11"/>
  <c r="AT73" i="11"/>
  <c r="J73" i="11" s="1"/>
  <c r="H73" i="11"/>
  <c r="F73" i="11"/>
  <c r="AT72" i="11"/>
  <c r="J72" i="11" s="1"/>
  <c r="H72" i="11"/>
  <c r="AT71" i="11"/>
  <c r="J71" i="11" s="1"/>
  <c r="H71" i="11"/>
  <c r="AT70" i="11"/>
  <c r="J70" i="11" s="1"/>
  <c r="H70" i="11"/>
  <c r="G70" i="11"/>
  <c r="AT69" i="11"/>
  <c r="J69" i="11" s="1"/>
  <c r="H69" i="11"/>
  <c r="AT68" i="11"/>
  <c r="J68" i="11" s="1"/>
  <c r="G68" i="11"/>
  <c r="H68" i="11" s="1"/>
  <c r="F68" i="11"/>
  <c r="AT67" i="11"/>
  <c r="J67" i="11" s="1"/>
  <c r="H67" i="11"/>
  <c r="AT66" i="11"/>
  <c r="J66" i="11" s="1"/>
  <c r="H66" i="11"/>
  <c r="AT65" i="11"/>
  <c r="J65" i="11" s="1"/>
  <c r="H65" i="11"/>
  <c r="AT64" i="11"/>
  <c r="J64" i="11" s="1"/>
  <c r="L64" i="11" s="1"/>
  <c r="H64" i="11"/>
  <c r="AT63" i="11"/>
  <c r="J63" i="11" s="1"/>
  <c r="H63" i="11"/>
  <c r="AT62" i="11"/>
  <c r="J62" i="11" s="1"/>
  <c r="G62" i="11"/>
  <c r="H62" i="11" s="1"/>
  <c r="AT61" i="11"/>
  <c r="J61" i="11" s="1"/>
  <c r="L61" i="11" s="1"/>
  <c r="H61" i="11"/>
  <c r="AT60" i="11"/>
  <c r="J60" i="11" s="1"/>
  <c r="H60" i="11"/>
  <c r="AT59" i="11"/>
  <c r="J59" i="11" s="1"/>
  <c r="H59" i="11"/>
  <c r="AT58" i="11"/>
  <c r="J58" i="11" s="1"/>
  <c r="H58" i="11"/>
  <c r="G58" i="11"/>
  <c r="AT57" i="11"/>
  <c r="J57" i="11" s="1"/>
  <c r="L57" i="11" s="1"/>
  <c r="G57" i="11"/>
  <c r="H57" i="11" s="1"/>
  <c r="F57" i="11"/>
  <c r="E57" i="11"/>
  <c r="AT56" i="11"/>
  <c r="J56" i="11" s="1"/>
  <c r="L56" i="11" s="1"/>
  <c r="H56" i="11"/>
  <c r="AT55" i="11"/>
  <c r="J55" i="11" s="1"/>
  <c r="L55" i="11" s="1"/>
  <c r="G55" i="11"/>
  <c r="F55" i="11"/>
  <c r="E55" i="11"/>
  <c r="AT54" i="11"/>
  <c r="J54" i="11" s="1"/>
  <c r="K54" i="11" s="1"/>
  <c r="G54" i="11"/>
  <c r="F54" i="11"/>
  <c r="F78" i="11" s="1"/>
  <c r="AT53" i="11"/>
  <c r="J53" i="11" s="1"/>
  <c r="H53" i="11"/>
  <c r="AT52" i="11"/>
  <c r="J52" i="11" s="1"/>
  <c r="L52" i="11" s="1"/>
  <c r="H52" i="11"/>
  <c r="I49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G48" i="11"/>
  <c r="F48" i="11"/>
  <c r="E48" i="11"/>
  <c r="H48" i="11" s="1"/>
  <c r="D48" i="11"/>
  <c r="D49" i="11" s="1"/>
  <c r="AT47" i="11"/>
  <c r="J47" i="11" s="1"/>
  <c r="K47" i="11" s="1"/>
  <c r="H47" i="11"/>
  <c r="AT46" i="11"/>
  <c r="H46" i="11"/>
  <c r="AS44" i="11"/>
  <c r="AR44" i="11"/>
  <c r="AQ44" i="11"/>
  <c r="AP44" i="11"/>
  <c r="AO44" i="11"/>
  <c r="AN44" i="11"/>
  <c r="AM44" i="11"/>
  <c r="AL44" i="11"/>
  <c r="AK44" i="11"/>
  <c r="AI44" i="11"/>
  <c r="AE44" i="11"/>
  <c r="AD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E44" i="11"/>
  <c r="D44" i="11"/>
  <c r="AH44" i="11"/>
  <c r="AG44" i="11"/>
  <c r="AT43" i="11"/>
  <c r="J43" i="11" s="1"/>
  <c r="K43" i="11" s="1"/>
  <c r="H43" i="11"/>
  <c r="AT42" i="11"/>
  <c r="J42" i="11" s="1"/>
  <c r="G42" i="11"/>
  <c r="F42" i="11"/>
  <c r="F44" i="11" s="1"/>
  <c r="E42" i="11"/>
  <c r="AT41" i="11"/>
  <c r="J41" i="11" s="1"/>
  <c r="K41" i="11" s="1"/>
  <c r="H41" i="11"/>
  <c r="AT40" i="11"/>
  <c r="J40" i="11" s="1"/>
  <c r="K40" i="11" s="1"/>
  <c r="H40" i="11"/>
  <c r="AT39" i="11"/>
  <c r="J39" i="11" s="1"/>
  <c r="K39" i="11" s="1"/>
  <c r="H39" i="11"/>
  <c r="AT38" i="11"/>
  <c r="J38" i="11" s="1"/>
  <c r="K38" i="11" s="1"/>
  <c r="H38" i="11"/>
  <c r="AT37" i="11"/>
  <c r="J37" i="11" s="1"/>
  <c r="AV37" i="11" s="1"/>
  <c r="AJ44" i="11"/>
  <c r="H37" i="11"/>
  <c r="AT36" i="11"/>
  <c r="J36" i="11" s="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G34" i="11"/>
  <c r="F34" i="11"/>
  <c r="E34" i="11"/>
  <c r="D34" i="11"/>
  <c r="AT33" i="11"/>
  <c r="J33" i="11" s="1"/>
  <c r="H33" i="11"/>
  <c r="AS31" i="11"/>
  <c r="AR31" i="11"/>
  <c r="AQ31" i="11"/>
  <c r="AP31" i="11"/>
  <c r="AO31" i="11"/>
  <c r="AN31" i="11"/>
  <c r="AN49" i="11" s="1"/>
  <c r="AM31" i="11"/>
  <c r="AM49" i="11" s="1"/>
  <c r="AL31" i="11"/>
  <c r="AL49" i="11" s="1"/>
  <c r="AK31" i="11"/>
  <c r="AK49" i="11" s="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N31" i="11"/>
  <c r="AT29" i="11"/>
  <c r="J29" i="11" s="1"/>
  <c r="K29" i="11" s="1"/>
  <c r="AT28" i="11"/>
  <c r="J28" i="11" s="1"/>
  <c r="AT27" i="11"/>
  <c r="J27" i="11" s="1"/>
  <c r="AT26" i="11"/>
  <c r="J26" i="11" s="1"/>
  <c r="AT25" i="11"/>
  <c r="J25" i="11" s="1"/>
  <c r="AT24" i="11"/>
  <c r="J24" i="11" s="1"/>
  <c r="K24" i="11" s="1"/>
  <c r="AT23" i="11"/>
  <c r="J23" i="11" s="1"/>
  <c r="AT22" i="11"/>
  <c r="J22" i="11" s="1"/>
  <c r="L22" i="11" s="1"/>
  <c r="AT21" i="11"/>
  <c r="J21" i="11" s="1"/>
  <c r="AT20" i="11"/>
  <c r="J20" i="11" s="1"/>
  <c r="K20" i="11" s="1"/>
  <c r="AT19" i="11"/>
  <c r="J19" i="11" s="1"/>
  <c r="L19" i="11" s="1"/>
  <c r="AT18" i="11"/>
  <c r="J18" i="11" s="1"/>
  <c r="L18" i="11" s="1"/>
  <c r="AT17" i="11"/>
  <c r="J17" i="11" s="1"/>
  <c r="K17" i="11" s="1"/>
  <c r="AT16" i="11"/>
  <c r="J16" i="11" s="1"/>
  <c r="AT15" i="11"/>
  <c r="J15" i="11" s="1"/>
  <c r="AT14" i="11"/>
  <c r="J14" i="11" s="1"/>
  <c r="K14" i="11" s="1"/>
  <c r="AT13" i="11"/>
  <c r="J13" i="11" s="1"/>
  <c r="K13" i="11" s="1"/>
  <c r="AT12" i="11"/>
  <c r="J12" i="11" s="1"/>
  <c r="K12" i="11" s="1"/>
  <c r="AT11" i="11"/>
  <c r="J11" i="11" s="1"/>
  <c r="K11" i="11" s="1"/>
  <c r="AT10" i="11"/>
  <c r="J10" i="11" s="1"/>
  <c r="K10" i="11" s="1"/>
  <c r="AT9" i="11"/>
  <c r="J9" i="11" s="1"/>
  <c r="K9" i="11" s="1"/>
  <c r="AT8" i="11"/>
  <c r="J8" i="11" s="1"/>
  <c r="K8" i="11" s="1"/>
  <c r="AT7" i="11"/>
  <c r="J7" i="11" s="1"/>
  <c r="K7" i="11" s="1"/>
  <c r="AT6" i="11"/>
  <c r="J6" i="11" s="1"/>
  <c r="AT5" i="11"/>
  <c r="J5" i="11" s="1"/>
  <c r="AT4" i="11"/>
  <c r="J4" i="11" s="1"/>
  <c r="H42" i="11" l="1"/>
  <c r="Z90" i="11"/>
  <c r="H87" i="11"/>
  <c r="H31" i="11"/>
  <c r="AH90" i="11"/>
  <c r="AI49" i="11"/>
  <c r="AI91" i="11" s="1"/>
  <c r="H34" i="11"/>
  <c r="G78" i="11"/>
  <c r="G90" i="11" s="1"/>
  <c r="AI90" i="11"/>
  <c r="F90" i="11"/>
  <c r="H54" i="11"/>
  <c r="L76" i="11"/>
  <c r="AB90" i="11"/>
  <c r="AJ90" i="11"/>
  <c r="M29" i="12"/>
  <c r="G39" i="2"/>
  <c r="E78" i="11"/>
  <c r="T90" i="11"/>
  <c r="AE49" i="11"/>
  <c r="AC90" i="11"/>
  <c r="AA90" i="11"/>
  <c r="AB49" i="11"/>
  <c r="AB91" i="11" s="1"/>
  <c r="Y90" i="11"/>
  <c r="X90" i="11"/>
  <c r="W90" i="11"/>
  <c r="X49" i="11"/>
  <c r="W49" i="11"/>
  <c r="V49" i="11"/>
  <c r="V90" i="11"/>
  <c r="U90" i="11"/>
  <c r="T49" i="11"/>
  <c r="T91" i="11" s="1"/>
  <c r="S90" i="11"/>
  <c r="Q90" i="11"/>
  <c r="R90" i="11"/>
  <c r="Q49" i="11"/>
  <c r="R49" i="11"/>
  <c r="P90" i="11"/>
  <c r="O90" i="11"/>
  <c r="P49" i="11"/>
  <c r="P91" i="11" s="1"/>
  <c r="O49" i="11"/>
  <c r="N49" i="11"/>
  <c r="N91" i="11" s="1"/>
  <c r="U49" i="11"/>
  <c r="AC49" i="11"/>
  <c r="AC91" i="11" s="1"/>
  <c r="K30" i="11"/>
  <c r="AD49" i="11"/>
  <c r="AD91" i="11" s="1"/>
  <c r="AE91" i="11"/>
  <c r="AL91" i="11"/>
  <c r="AK91" i="11"/>
  <c r="AG49" i="11"/>
  <c r="AG91" i="11" s="1"/>
  <c r="Z49" i="11"/>
  <c r="Z91" i="11" s="1"/>
  <c r="Y49" i="11"/>
  <c r="AA49" i="11"/>
  <c r="AA91" i="11" s="1"/>
  <c r="S49" i="11"/>
  <c r="S91" i="11" s="1"/>
  <c r="AH49" i="11"/>
  <c r="AH91" i="11" s="1"/>
  <c r="AS90" i="11"/>
  <c r="AR90" i="11"/>
  <c r="AS49" i="11"/>
  <c r="AR49" i="11"/>
  <c r="AQ49" i="11"/>
  <c r="AT89" i="11"/>
  <c r="J87" i="11"/>
  <c r="L87" i="11" s="1"/>
  <c r="AT85" i="11"/>
  <c r="AQ90" i="11"/>
  <c r="AO90" i="11"/>
  <c r="G9" i="14"/>
  <c r="AT48" i="11"/>
  <c r="J46" i="11"/>
  <c r="K46" i="11" s="1"/>
  <c r="K48" i="11" s="1"/>
  <c r="L36" i="11"/>
  <c r="K36" i="11"/>
  <c r="AP49" i="11"/>
  <c r="AO49" i="11"/>
  <c r="AN90" i="11"/>
  <c r="AN91" i="11" s="1"/>
  <c r="K57" i="11"/>
  <c r="AP90" i="11"/>
  <c r="K71" i="11"/>
  <c r="L71" i="11"/>
  <c r="K68" i="11"/>
  <c r="L68" i="11"/>
  <c r="L74" i="11"/>
  <c r="K59" i="11"/>
  <c r="L59" i="11"/>
  <c r="K62" i="11"/>
  <c r="L62" i="11"/>
  <c r="K58" i="11"/>
  <c r="L58" i="11"/>
  <c r="L54" i="11"/>
  <c r="AT78" i="11"/>
  <c r="I18" i="2" s="1"/>
  <c r="K52" i="11"/>
  <c r="AM91" i="11"/>
  <c r="J31" i="11"/>
  <c r="K31" i="11" s="1"/>
  <c r="M9" i="14"/>
  <c r="F9" i="14"/>
  <c r="I37" i="2" s="1"/>
  <c r="C9" i="14"/>
  <c r="D9" i="14" s="1"/>
  <c r="G29" i="12"/>
  <c r="Q9" i="12"/>
  <c r="G44" i="11"/>
  <c r="G49" i="11" s="1"/>
  <c r="G91" i="11" s="1"/>
  <c r="D91" i="11"/>
  <c r="F49" i="11"/>
  <c r="F91" i="11" s="1"/>
  <c r="I91" i="11"/>
  <c r="K6" i="11"/>
  <c r="L6" i="11"/>
  <c r="K42" i="11"/>
  <c r="L53" i="11"/>
  <c r="K53" i="11"/>
  <c r="K65" i="11"/>
  <c r="L65" i="11"/>
  <c r="L63" i="11"/>
  <c r="K63" i="11"/>
  <c r="L69" i="11"/>
  <c r="K69" i="11"/>
  <c r="K67" i="11"/>
  <c r="L67" i="11"/>
  <c r="L72" i="11"/>
  <c r="K72" i="11"/>
  <c r="L75" i="11"/>
  <c r="K75" i="11"/>
  <c r="L88" i="11"/>
  <c r="K88" i="11"/>
  <c r="L60" i="11"/>
  <c r="K60" i="11"/>
  <c r="L70" i="11"/>
  <c r="K70" i="11"/>
  <c r="K76" i="11"/>
  <c r="J81" i="11"/>
  <c r="K80" i="11"/>
  <c r="L80" i="11"/>
  <c r="H89" i="11"/>
  <c r="E90" i="11"/>
  <c r="H78" i="11"/>
  <c r="L66" i="11"/>
  <c r="K66" i="11"/>
  <c r="L73" i="11"/>
  <c r="K73" i="11"/>
  <c r="K55" i="11"/>
  <c r="K61" i="11"/>
  <c r="K64" i="11"/>
  <c r="K77" i="11"/>
  <c r="J78" i="11"/>
  <c r="K78" i="11" s="1"/>
  <c r="AT81" i="11"/>
  <c r="I22" i="2" s="1"/>
  <c r="K84" i="11"/>
  <c r="H76" i="11"/>
  <c r="J83" i="11"/>
  <c r="K56" i="11"/>
  <c r="H55" i="11"/>
  <c r="L5" i="11"/>
  <c r="K5" i="11"/>
  <c r="AJ49" i="11"/>
  <c r="K23" i="11"/>
  <c r="L23" i="11"/>
  <c r="L21" i="11"/>
  <c r="K21" i="11"/>
  <c r="L37" i="11"/>
  <c r="K37" i="11"/>
  <c r="K15" i="11"/>
  <c r="L15" i="11"/>
  <c r="E49" i="11"/>
  <c r="L28" i="11"/>
  <c r="K28" i="11"/>
  <c r="K27" i="11"/>
  <c r="L27" i="11"/>
  <c r="K26" i="11"/>
  <c r="L26" i="11"/>
  <c r="L4" i="11"/>
  <c r="K4" i="11"/>
  <c r="L16" i="11"/>
  <c r="K16" i="11"/>
  <c r="J34" i="11"/>
  <c r="K33" i="11"/>
  <c r="L33" i="11"/>
  <c r="AT44" i="11"/>
  <c r="I24" i="2" s="1"/>
  <c r="K19" i="11"/>
  <c r="K22" i="11"/>
  <c r="L29" i="11"/>
  <c r="AT34" i="11"/>
  <c r="I21" i="2" s="1"/>
  <c r="AF44" i="11"/>
  <c r="AF49" i="11" s="1"/>
  <c r="AF91" i="11" s="1"/>
  <c r="K25" i="11"/>
  <c r="H44" i="11"/>
  <c r="AT31" i="11"/>
  <c r="I17" i="2" s="1"/>
  <c r="K18" i="11"/>
  <c r="AJ91" i="11" l="1"/>
  <c r="Y91" i="11"/>
  <c r="W91" i="11"/>
  <c r="X91" i="11"/>
  <c r="AQ91" i="11"/>
  <c r="V91" i="11"/>
  <c r="U91" i="11"/>
  <c r="R91" i="11"/>
  <c r="Q91" i="11"/>
  <c r="J48" i="11"/>
  <c r="O91" i="11"/>
  <c r="AR91" i="11"/>
  <c r="J89" i="11"/>
  <c r="L89" i="11" s="1"/>
  <c r="K87" i="11"/>
  <c r="AS91" i="11"/>
  <c r="AO91" i="11"/>
  <c r="AP91" i="11"/>
  <c r="AT90" i="11"/>
  <c r="L31" i="11"/>
  <c r="S9" i="12"/>
  <c r="Q29" i="12"/>
  <c r="S29" i="12" s="1"/>
  <c r="R9" i="12"/>
  <c r="R29" i="12" s="1"/>
  <c r="L81" i="11"/>
  <c r="K81" i="11"/>
  <c r="E91" i="11"/>
  <c r="H91" i="11" s="1"/>
  <c r="H90" i="11"/>
  <c r="L83" i="11"/>
  <c r="K83" i="11"/>
  <c r="J85" i="11"/>
  <c r="L78" i="11"/>
  <c r="H49" i="11"/>
  <c r="L34" i="11"/>
  <c r="K34" i="11"/>
  <c r="J44" i="11"/>
  <c r="AT49" i="11"/>
  <c r="K89" i="11" l="1"/>
  <c r="AT91" i="11"/>
  <c r="L85" i="11"/>
  <c r="K85" i="11"/>
  <c r="J90" i="11"/>
  <c r="L44" i="11"/>
  <c r="K44" i="11"/>
  <c r="J49" i="11"/>
  <c r="J91" i="11" l="1"/>
  <c r="L91" i="11" s="1"/>
  <c r="L90" i="11"/>
  <c r="K90" i="11"/>
  <c r="L49" i="11"/>
  <c r="K49" i="11"/>
  <c r="K91" i="11" l="1"/>
  <c r="D31" i="5" l="1"/>
  <c r="I31" i="5"/>
  <c r="H88" i="5"/>
  <c r="G87" i="5"/>
  <c r="F87" i="5"/>
  <c r="E87" i="5"/>
  <c r="H84" i="5"/>
  <c r="H83" i="5"/>
  <c r="H80" i="5"/>
  <c r="H77" i="5"/>
  <c r="G76" i="5"/>
  <c r="H76" i="5" s="1"/>
  <c r="F76" i="5"/>
  <c r="E76" i="5"/>
  <c r="H75" i="5"/>
  <c r="H74" i="5"/>
  <c r="H73" i="5"/>
  <c r="F73" i="5"/>
  <c r="H72" i="5"/>
  <c r="H71" i="5"/>
  <c r="G70" i="5"/>
  <c r="H70" i="5" s="1"/>
  <c r="H69" i="5"/>
  <c r="H68" i="5"/>
  <c r="H67" i="5"/>
  <c r="H66" i="5"/>
  <c r="H65" i="5"/>
  <c r="H64" i="5"/>
  <c r="H63" i="5"/>
  <c r="G62" i="5"/>
  <c r="H62" i="5" s="1"/>
  <c r="H61" i="5"/>
  <c r="H60" i="5"/>
  <c r="H59" i="5"/>
  <c r="G58" i="5"/>
  <c r="H58" i="5" s="1"/>
  <c r="G57" i="5"/>
  <c r="F57" i="5"/>
  <c r="E57" i="5"/>
  <c r="H56" i="5"/>
  <c r="G55" i="5"/>
  <c r="F55" i="5"/>
  <c r="E55" i="5"/>
  <c r="H55" i="5" s="1"/>
  <c r="H54" i="5"/>
  <c r="G54" i="5"/>
  <c r="F54" i="5"/>
  <c r="H53" i="5"/>
  <c r="H52" i="5"/>
  <c r="H47" i="5"/>
  <c r="H46" i="5"/>
  <c r="H43" i="5"/>
  <c r="G42" i="5"/>
  <c r="F42" i="5"/>
  <c r="E42" i="5"/>
  <c r="H41" i="5"/>
  <c r="H40" i="5"/>
  <c r="H39" i="5"/>
  <c r="H38" i="5"/>
  <c r="H37" i="5"/>
  <c r="G36" i="5"/>
  <c r="H36" i="5" s="1"/>
  <c r="F36" i="5"/>
  <c r="H33" i="5"/>
  <c r="H30" i="5"/>
  <c r="H29" i="5"/>
  <c r="H28" i="5"/>
  <c r="G27" i="5"/>
  <c r="F27" i="5"/>
  <c r="E27" i="5"/>
  <c r="H26" i="5"/>
  <c r="G25" i="5"/>
  <c r="F25" i="5"/>
  <c r="E25" i="5"/>
  <c r="H25" i="5" s="1"/>
  <c r="H24" i="5"/>
  <c r="H23" i="5"/>
  <c r="H22" i="5"/>
  <c r="H21" i="5"/>
  <c r="F21" i="5"/>
  <c r="H20" i="5"/>
  <c r="H19" i="5"/>
  <c r="H18" i="5"/>
  <c r="H17" i="5"/>
  <c r="H16" i="5"/>
  <c r="H15" i="5"/>
  <c r="H14" i="5"/>
  <c r="H13" i="5"/>
  <c r="H12" i="5"/>
  <c r="H11" i="5"/>
  <c r="F11" i="5"/>
  <c r="H10" i="5"/>
  <c r="H9" i="5"/>
  <c r="H8" i="5"/>
  <c r="G7" i="5"/>
  <c r="H7" i="5" s="1"/>
  <c r="H6" i="5"/>
  <c r="H5" i="5"/>
  <c r="G4" i="5"/>
  <c r="H4" i="5" s="1"/>
  <c r="AM178" i="4"/>
  <c r="J30" i="5"/>
  <c r="L30" i="5" s="1"/>
  <c r="H27" i="5" l="1"/>
  <c r="F31" i="5"/>
  <c r="H87" i="5"/>
  <c r="H31" i="5"/>
  <c r="H42" i="5"/>
  <c r="H57" i="5"/>
  <c r="E31" i="5"/>
  <c r="G31" i="5"/>
  <c r="K30" i="5"/>
  <c r="H79" i="4" l="1"/>
  <c r="I79" i="4" s="1"/>
  <c r="F79" i="4"/>
  <c r="J79" i="4" l="1"/>
  <c r="H108" i="4" l="1"/>
  <c r="I108" i="4" s="1"/>
  <c r="H109" i="4"/>
  <c r="J109" i="4" s="1"/>
  <c r="F109" i="4"/>
  <c r="F108" i="4"/>
  <c r="F107" i="4"/>
  <c r="F151" i="4"/>
  <c r="H150" i="4"/>
  <c r="J150" i="4" s="1"/>
  <c r="F150" i="4"/>
  <c r="H149" i="4"/>
  <c r="J149" i="4" s="1"/>
  <c r="F149" i="4"/>
  <c r="H155" i="4"/>
  <c r="I155" i="4" s="1"/>
  <c r="H173" i="4"/>
  <c r="I173" i="4" s="1"/>
  <c r="F155" i="4"/>
  <c r="F173" i="4"/>
  <c r="J173" i="4" l="1"/>
  <c r="I109" i="4"/>
  <c r="J155" i="4"/>
  <c r="J108" i="4"/>
  <c r="I149" i="4"/>
  <c r="I150" i="4"/>
  <c r="K41" i="2" l="1"/>
  <c r="O2" i="5"/>
  <c r="K185" i="4"/>
  <c r="AM190" i="4"/>
  <c r="K178" i="4"/>
  <c r="L178" i="4"/>
  <c r="H7" i="2" s="1"/>
  <c r="H6" i="2" s="1"/>
  <c r="M178" i="4"/>
  <c r="M190" i="4" s="1"/>
  <c r="N178" i="4"/>
  <c r="N190" i="4" s="1"/>
  <c r="O178" i="4"/>
  <c r="O190" i="4" s="1"/>
  <c r="P178" i="4"/>
  <c r="P190" i="4" s="1"/>
  <c r="Q178" i="4"/>
  <c r="R178" i="4"/>
  <c r="R190" i="4" s="1"/>
  <c r="S178" i="4"/>
  <c r="S190" i="4" s="1"/>
  <c r="T178" i="4"/>
  <c r="T190" i="4" s="1"/>
  <c r="U178" i="4"/>
  <c r="U190" i="4" s="1"/>
  <c r="V178" i="4"/>
  <c r="V190" i="4" s="1"/>
  <c r="W178" i="4"/>
  <c r="W190" i="4" s="1"/>
  <c r="X178" i="4"/>
  <c r="X190" i="4" s="1"/>
  <c r="Y178" i="4"/>
  <c r="Y190" i="4" s="1"/>
  <c r="Z178" i="4"/>
  <c r="Z190" i="4" s="1"/>
  <c r="AA178" i="4"/>
  <c r="AA190" i="4" s="1"/>
  <c r="AB178" i="4"/>
  <c r="AB190" i="4" s="1"/>
  <c r="AC178" i="4"/>
  <c r="AC190" i="4" s="1"/>
  <c r="AD178" i="4"/>
  <c r="AD190" i="4" s="1"/>
  <c r="AE178" i="4"/>
  <c r="AE190" i="4" s="1"/>
  <c r="AF178" i="4"/>
  <c r="AF190" i="4" s="1"/>
  <c r="AG178" i="4"/>
  <c r="AG190" i="4" s="1"/>
  <c r="AH178" i="4"/>
  <c r="AH190" i="4" s="1"/>
  <c r="AI178" i="4"/>
  <c r="AI190" i="4" s="1"/>
  <c r="AJ178" i="4"/>
  <c r="AJ190" i="4" s="1"/>
  <c r="AK178" i="4"/>
  <c r="AK190" i="4" s="1"/>
  <c r="AL178" i="4"/>
  <c r="AL190" i="4" s="1"/>
  <c r="AN178" i="4"/>
  <c r="AN190" i="4" s="1"/>
  <c r="AO178" i="4"/>
  <c r="AO190" i="4" s="1"/>
  <c r="AP178" i="4"/>
  <c r="AP190" i="4" s="1"/>
  <c r="AQ178" i="4"/>
  <c r="AQ190" i="4" s="1"/>
  <c r="M72" i="4"/>
  <c r="N2" i="4"/>
  <c r="N72" i="4" s="1"/>
  <c r="M5" i="20"/>
  <c r="L190" i="4" l="1"/>
  <c r="L192" i="4" s="1"/>
  <c r="M4" i="20"/>
  <c r="Q190" i="4"/>
  <c r="P2" i="5"/>
  <c r="P51" i="5" s="1"/>
  <c r="O51" i="5"/>
  <c r="O2" i="11"/>
  <c r="O2" i="4"/>
  <c r="D128" i="4"/>
  <c r="E128" i="4"/>
  <c r="D127" i="4"/>
  <c r="P2" i="11" l="1"/>
  <c r="P51" i="11" s="1"/>
  <c r="P2" i="4"/>
  <c r="Q2" i="5"/>
  <c r="O51" i="11"/>
  <c r="O72" i="4"/>
  <c r="H186" i="4"/>
  <c r="I186" i="4" l="1"/>
  <c r="H188" i="4"/>
  <c r="Q2" i="11"/>
  <c r="Q51" i="5"/>
  <c r="Q2" i="4"/>
  <c r="R2" i="5"/>
  <c r="P72" i="4"/>
  <c r="J186" i="4"/>
  <c r="F186" i="4"/>
  <c r="F188" i="4" s="1"/>
  <c r="E49" i="4"/>
  <c r="J188" i="4" l="1"/>
  <c r="I188" i="4"/>
  <c r="R2" i="4"/>
  <c r="S2" i="5"/>
  <c r="Q72" i="4"/>
  <c r="R2" i="11"/>
  <c r="R51" i="11" s="1"/>
  <c r="R51" i="5"/>
  <c r="Q51" i="11"/>
  <c r="F189" i="4"/>
  <c r="S2" i="11" l="1"/>
  <c r="S51" i="5"/>
  <c r="S2" i="4"/>
  <c r="T2" i="5"/>
  <c r="R72" i="4"/>
  <c r="S51" i="11" l="1"/>
  <c r="T51" i="5"/>
  <c r="T2" i="11"/>
  <c r="T51" i="11" s="1"/>
  <c r="T2" i="4"/>
  <c r="U2" i="5"/>
  <c r="S72" i="4"/>
  <c r="E11" i="4"/>
  <c r="D11" i="4"/>
  <c r="U2" i="4" l="1"/>
  <c r="V2" i="5"/>
  <c r="T72" i="4"/>
  <c r="U2" i="11"/>
  <c r="U51" i="5"/>
  <c r="H166" i="4"/>
  <c r="D168" i="4"/>
  <c r="D166" i="4"/>
  <c r="U51" i="11" l="1"/>
  <c r="V2" i="11"/>
  <c r="V51" i="5"/>
  <c r="V2" i="4"/>
  <c r="W2" i="5"/>
  <c r="U72" i="4"/>
  <c r="J166" i="4"/>
  <c r="I166" i="4"/>
  <c r="W51" i="5" l="1"/>
  <c r="W2" i="11"/>
  <c r="W51" i="11" s="1"/>
  <c r="V51" i="11"/>
  <c r="W2" i="4"/>
  <c r="X2" i="5"/>
  <c r="V72" i="4"/>
  <c r="L41" i="2"/>
  <c r="L42" i="2"/>
  <c r="L44" i="2"/>
  <c r="L45" i="2"/>
  <c r="X51" i="5" l="1"/>
  <c r="X2" i="11"/>
  <c r="X2" i="4"/>
  <c r="Y2" i="5"/>
  <c r="W72" i="4"/>
  <c r="F45" i="2"/>
  <c r="F44" i="2"/>
  <c r="F43" i="2"/>
  <c r="F42" i="2"/>
  <c r="E45" i="2"/>
  <c r="M45" i="2" s="1"/>
  <c r="AR180" i="4"/>
  <c r="AR179" i="4"/>
  <c r="AR185" i="4" l="1"/>
  <c r="I9" i="2" s="1"/>
  <c r="Y2" i="11"/>
  <c r="Y51" i="11" s="1"/>
  <c r="Y51" i="5"/>
  <c r="Y2" i="4"/>
  <c r="Z2" i="5"/>
  <c r="X72" i="4"/>
  <c r="X51" i="11"/>
  <c r="N45" i="2"/>
  <c r="E44" i="2"/>
  <c r="M44" i="2" s="1"/>
  <c r="E43" i="2"/>
  <c r="E42" i="2"/>
  <c r="M42" i="2" s="1"/>
  <c r="E41" i="2"/>
  <c r="M41" i="2" s="1"/>
  <c r="E39" i="2" l="1"/>
  <c r="K9" i="2"/>
  <c r="L9" i="2"/>
  <c r="Z2" i="4"/>
  <c r="AA2" i="5"/>
  <c r="Y72" i="4"/>
  <c r="Z2" i="11"/>
  <c r="Z51" i="11" s="1"/>
  <c r="Z51" i="5"/>
  <c r="E40" i="2"/>
  <c r="N41" i="2"/>
  <c r="N42" i="2"/>
  <c r="N44" i="2"/>
  <c r="I78" i="5"/>
  <c r="I81" i="5"/>
  <c r="I85" i="5"/>
  <c r="I89" i="5"/>
  <c r="H179" i="4"/>
  <c r="H180" i="4"/>
  <c r="F177" i="4"/>
  <c r="F179" i="4"/>
  <c r="D129" i="4"/>
  <c r="I90" i="5" l="1"/>
  <c r="H185" i="4"/>
  <c r="I185" i="4" s="1"/>
  <c r="AA2" i="4"/>
  <c r="AB2" i="5"/>
  <c r="Z72" i="4"/>
  <c r="F180" i="4"/>
  <c r="F185" i="4" s="1"/>
  <c r="AA2" i="11"/>
  <c r="AA51" i="11" s="1"/>
  <c r="AA51" i="5"/>
  <c r="I179" i="4"/>
  <c r="J180" i="4"/>
  <c r="I180" i="4"/>
  <c r="J179" i="4"/>
  <c r="J185" i="4" l="1"/>
  <c r="AB51" i="5"/>
  <c r="AB2" i="11"/>
  <c r="AB51" i="11" s="1"/>
  <c r="AB2" i="4"/>
  <c r="AC2" i="5"/>
  <c r="AA72" i="4"/>
  <c r="AC2" i="11" l="1"/>
  <c r="AC51" i="11" s="1"/>
  <c r="AC51" i="5"/>
  <c r="AC2" i="4"/>
  <c r="AD2" i="5"/>
  <c r="AB72" i="4"/>
  <c r="H177" i="4"/>
  <c r="AD2" i="11" l="1"/>
  <c r="AD51" i="11" s="1"/>
  <c r="AD51" i="5"/>
  <c r="AD2" i="4"/>
  <c r="AE2" i="5"/>
  <c r="AC72" i="4"/>
  <c r="J177" i="4"/>
  <c r="I177" i="4"/>
  <c r="AE2" i="4" l="1"/>
  <c r="AF2" i="5"/>
  <c r="AD72" i="4"/>
  <c r="AE2" i="11"/>
  <c r="AE51" i="11" s="1"/>
  <c r="AE51" i="5"/>
  <c r="F41" i="2"/>
  <c r="M9" i="2"/>
  <c r="AF51" i="5" l="1"/>
  <c r="AF2" i="11"/>
  <c r="AF51" i="11" s="1"/>
  <c r="AF2" i="4"/>
  <c r="AG2" i="5"/>
  <c r="AE72" i="4"/>
  <c r="N9" i="2"/>
  <c r="AG2" i="11" l="1"/>
  <c r="AG51" i="11" s="1"/>
  <c r="AG51" i="5"/>
  <c r="AG2" i="4"/>
  <c r="AH2" i="5"/>
  <c r="AF72" i="4"/>
  <c r="AH2" i="4" l="1"/>
  <c r="AI2" i="5"/>
  <c r="AG72" i="4"/>
  <c r="AH2" i="11"/>
  <c r="AH51" i="11" s="1"/>
  <c r="AH51" i="5"/>
  <c r="E88" i="4"/>
  <c r="D88" i="4"/>
  <c r="E84" i="4"/>
  <c r="D84" i="4"/>
  <c r="AI2" i="11" l="1"/>
  <c r="AI51" i="11" s="1"/>
  <c r="AI51" i="5"/>
  <c r="AI2" i="4"/>
  <c r="AJ2" i="5"/>
  <c r="AH72" i="4"/>
  <c r="E29" i="2"/>
  <c r="AJ2" i="11" l="1"/>
  <c r="AJ51" i="11" s="1"/>
  <c r="AJ51" i="5"/>
  <c r="AJ2" i="4"/>
  <c r="AK2" i="5"/>
  <c r="AI72" i="4"/>
  <c r="AK2" i="11" l="1"/>
  <c r="AK51" i="11" s="1"/>
  <c r="AK51" i="5"/>
  <c r="AK2" i="4"/>
  <c r="AL2" i="5"/>
  <c r="AJ72" i="4"/>
  <c r="AL2" i="11" l="1"/>
  <c r="AL51" i="11" s="1"/>
  <c r="AL51" i="5"/>
  <c r="AL2" i="4"/>
  <c r="AM2" i="5"/>
  <c r="AK72" i="4"/>
  <c r="E42" i="4"/>
  <c r="D42" i="4"/>
  <c r="AM2" i="4" l="1"/>
  <c r="AN2" i="5"/>
  <c r="AL72" i="4"/>
  <c r="AM2" i="11"/>
  <c r="AM51" i="11" s="1"/>
  <c r="AM51" i="5"/>
  <c r="T2" i="12"/>
  <c r="AN2" i="11" l="1"/>
  <c r="AN51" i="11" s="1"/>
  <c r="AN51" i="5"/>
  <c r="AN2" i="4"/>
  <c r="AO2" i="5"/>
  <c r="AM72" i="4"/>
  <c r="F34" i="2"/>
  <c r="F33" i="2"/>
  <c r="F32" i="2"/>
  <c r="F31" i="2"/>
  <c r="F30" i="2"/>
  <c r="F29" i="2"/>
  <c r="F27" i="2"/>
  <c r="E34" i="2"/>
  <c r="M34" i="2" s="1"/>
  <c r="E33" i="2"/>
  <c r="E32" i="2"/>
  <c r="E31" i="2"/>
  <c r="E30" i="2"/>
  <c r="E28" i="2"/>
  <c r="E27" i="2"/>
  <c r="L34" i="2"/>
  <c r="F136" i="4"/>
  <c r="AO2" i="11" l="1"/>
  <c r="AO51" i="11" s="1"/>
  <c r="AO51" i="5"/>
  <c r="AO2" i="4"/>
  <c r="AP2" i="5"/>
  <c r="AN72" i="4"/>
  <c r="N34" i="2"/>
  <c r="L32" i="2"/>
  <c r="M32" i="2" s="1"/>
  <c r="E167" i="4"/>
  <c r="AP2" i="11" l="1"/>
  <c r="AP51" i="11" s="1"/>
  <c r="AP51" i="5"/>
  <c r="AP2" i="4"/>
  <c r="AQ2" i="5"/>
  <c r="AO72" i="4"/>
  <c r="N32" i="2"/>
  <c r="AQ2" i="11" l="1"/>
  <c r="AQ51" i="11" s="1"/>
  <c r="AQ51" i="5"/>
  <c r="AQ2" i="4"/>
  <c r="AR2" i="5"/>
  <c r="AP72" i="4"/>
  <c r="W81" i="5"/>
  <c r="AR51" i="5" l="1"/>
  <c r="AR2" i="11"/>
  <c r="AR51" i="11" s="1"/>
  <c r="AQ72" i="4"/>
  <c r="AS2" i="5"/>
  <c r="I40" i="2"/>
  <c r="K43" i="2"/>
  <c r="H40" i="2"/>
  <c r="E152" i="4"/>
  <c r="D152" i="4"/>
  <c r="K40" i="2" l="1"/>
  <c r="AS2" i="11"/>
  <c r="AS51" i="5"/>
  <c r="L43" i="2"/>
  <c r="M43" i="2" s="1"/>
  <c r="M8" i="2"/>
  <c r="AS51" i="11" l="1"/>
  <c r="N43" i="2"/>
  <c r="N8" i="2"/>
  <c r="M7" i="20" l="1"/>
  <c r="AT10" i="5"/>
  <c r="L38" i="2" l="1"/>
  <c r="M38" i="2" s="1"/>
  <c r="L46" i="2" l="1"/>
  <c r="M46" i="2" s="1"/>
  <c r="L52" i="2"/>
  <c r="L50" i="2"/>
  <c r="M50" i="2" s="1"/>
  <c r="L48" i="2"/>
  <c r="M48" i="2" s="1"/>
  <c r="N52" i="2" l="1"/>
  <c r="M52" i="2"/>
  <c r="N48" i="2"/>
  <c r="L39" i="2"/>
  <c r="M39" i="2" s="1"/>
  <c r="N46" i="2"/>
  <c r="N50" i="2"/>
  <c r="F105" i="4" l="1"/>
  <c r="F28" i="2"/>
  <c r="E106" i="4" l="1"/>
  <c r="D106" i="4"/>
  <c r="AT64" i="5"/>
  <c r="AR74" i="4"/>
  <c r="H75" i="4"/>
  <c r="H76" i="4"/>
  <c r="H77" i="4"/>
  <c r="H78" i="4"/>
  <c r="H80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52" i="4"/>
  <c r="H153" i="4"/>
  <c r="H154" i="4"/>
  <c r="H156" i="4"/>
  <c r="H157" i="4"/>
  <c r="H158" i="4"/>
  <c r="H159" i="4"/>
  <c r="H160" i="4"/>
  <c r="H162" i="4"/>
  <c r="H163" i="4"/>
  <c r="H164" i="4"/>
  <c r="H165" i="4"/>
  <c r="H167" i="4"/>
  <c r="H168" i="4"/>
  <c r="H169" i="4"/>
  <c r="H170" i="4"/>
  <c r="H171" i="4"/>
  <c r="H172" i="4"/>
  <c r="H174" i="4"/>
  <c r="H175" i="4"/>
  <c r="H176" i="4"/>
  <c r="AR57" i="4"/>
  <c r="H57" i="4" s="1"/>
  <c r="F57" i="4"/>
  <c r="J107" i="4" l="1"/>
  <c r="I107" i="4"/>
  <c r="H148" i="4"/>
  <c r="H151" i="4"/>
  <c r="H74" i="4"/>
  <c r="I91" i="4"/>
  <c r="J91" i="4"/>
  <c r="I105" i="4"/>
  <c r="J105" i="4"/>
  <c r="I57" i="4"/>
  <c r="J57" i="4"/>
  <c r="J151" i="4" l="1"/>
  <c r="I151" i="4"/>
  <c r="G89" i="5"/>
  <c r="F89" i="5"/>
  <c r="E89" i="5"/>
  <c r="G85" i="5"/>
  <c r="F85" i="5"/>
  <c r="E85" i="5"/>
  <c r="G81" i="5"/>
  <c r="F81" i="5"/>
  <c r="E81" i="5"/>
  <c r="G48" i="5"/>
  <c r="F48" i="5"/>
  <c r="E48" i="5"/>
  <c r="G44" i="5"/>
  <c r="F44" i="5"/>
  <c r="E44" i="5"/>
  <c r="G34" i="5"/>
  <c r="F34" i="5"/>
  <c r="E34" i="5"/>
  <c r="AL89" i="5"/>
  <c r="AK89" i="5"/>
  <c r="AJ89" i="5"/>
  <c r="AL85" i="5"/>
  <c r="AK85" i="5"/>
  <c r="AJ85" i="5"/>
  <c r="AL81" i="5"/>
  <c r="AK81" i="5"/>
  <c r="AJ81" i="5"/>
  <c r="AL78" i="5"/>
  <c r="AK78" i="5"/>
  <c r="AJ78" i="5"/>
  <c r="AL48" i="5"/>
  <c r="AK48" i="5"/>
  <c r="AJ48" i="5"/>
  <c r="AL44" i="5"/>
  <c r="AK44" i="5"/>
  <c r="AJ44" i="5"/>
  <c r="AL34" i="5"/>
  <c r="AK34" i="5"/>
  <c r="AJ34" i="5"/>
  <c r="AL31" i="5"/>
  <c r="AK31" i="5"/>
  <c r="AJ31" i="5"/>
  <c r="F95" i="4"/>
  <c r="I95" i="4"/>
  <c r="E94" i="4"/>
  <c r="F91" i="4"/>
  <c r="D157" i="4"/>
  <c r="AH70" i="4"/>
  <c r="AI70" i="4"/>
  <c r="AJ70" i="4"/>
  <c r="F68" i="4"/>
  <c r="F67" i="4"/>
  <c r="F66" i="4"/>
  <c r="F65" i="4"/>
  <c r="F64" i="4"/>
  <c r="F63" i="4"/>
  <c r="F62" i="4"/>
  <c r="F61" i="4"/>
  <c r="F60" i="4"/>
  <c r="F59" i="4"/>
  <c r="F58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E34" i="4"/>
  <c r="F34" i="4" s="1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D12" i="4"/>
  <c r="F12" i="4" s="1"/>
  <c r="F11" i="4"/>
  <c r="F10" i="4"/>
  <c r="F9" i="4"/>
  <c r="F8" i="4"/>
  <c r="F7" i="4"/>
  <c r="F6" i="4"/>
  <c r="F5" i="4"/>
  <c r="F4" i="4"/>
  <c r="F3" i="4"/>
  <c r="AR63" i="4"/>
  <c r="H63" i="4" s="1"/>
  <c r="F78" i="5" l="1"/>
  <c r="G78" i="5"/>
  <c r="E78" i="5"/>
  <c r="AJ90" i="5"/>
  <c r="AK90" i="5"/>
  <c r="AL90" i="5"/>
  <c r="I63" i="4"/>
  <c r="J63" i="4"/>
  <c r="J95" i="4"/>
  <c r="AH89" i="5" l="1"/>
  <c r="AH85" i="5"/>
  <c r="AH81" i="5"/>
  <c r="AH78" i="5"/>
  <c r="AH48" i="5"/>
  <c r="AH44" i="5"/>
  <c r="AH34" i="5"/>
  <c r="AH31" i="5"/>
  <c r="H44" i="5"/>
  <c r="H34" i="5"/>
  <c r="F49" i="5"/>
  <c r="E49" i="5"/>
  <c r="F191" i="4"/>
  <c r="F176" i="4"/>
  <c r="F175" i="4"/>
  <c r="F174" i="4"/>
  <c r="F172" i="4"/>
  <c r="F171" i="4"/>
  <c r="F170" i="4"/>
  <c r="F169" i="4"/>
  <c r="F168" i="4"/>
  <c r="F167" i="4"/>
  <c r="F165" i="4"/>
  <c r="F164" i="4"/>
  <c r="F163" i="4"/>
  <c r="F162" i="4"/>
  <c r="F160" i="4"/>
  <c r="F159" i="4"/>
  <c r="F158" i="4"/>
  <c r="F157" i="4"/>
  <c r="F156" i="4"/>
  <c r="F154" i="4"/>
  <c r="F153" i="4"/>
  <c r="F152" i="4"/>
  <c r="F148" i="4"/>
  <c r="F147" i="4"/>
  <c r="E146" i="4"/>
  <c r="D146" i="4"/>
  <c r="E145" i="4"/>
  <c r="D145" i="4"/>
  <c r="F144" i="4"/>
  <c r="F143" i="4"/>
  <c r="F142" i="4"/>
  <c r="F141" i="4"/>
  <c r="F140" i="4"/>
  <c r="D139" i="4"/>
  <c r="F139" i="4" s="1"/>
  <c r="F138" i="4"/>
  <c r="F135" i="4"/>
  <c r="F134" i="4"/>
  <c r="F133" i="4"/>
  <c r="E131" i="4"/>
  <c r="D131" i="4"/>
  <c r="F130" i="4"/>
  <c r="F129" i="4"/>
  <c r="F127" i="4"/>
  <c r="F126" i="4"/>
  <c r="F125" i="4"/>
  <c r="F124" i="4"/>
  <c r="F123" i="4"/>
  <c r="F122" i="4"/>
  <c r="F121" i="4"/>
  <c r="F120" i="4"/>
  <c r="F119" i="4"/>
  <c r="F118" i="4"/>
  <c r="F117" i="4"/>
  <c r="E116" i="4"/>
  <c r="D116" i="4"/>
  <c r="E115" i="4"/>
  <c r="D115" i="4"/>
  <c r="F114" i="4"/>
  <c r="F113" i="4"/>
  <c r="F112" i="4"/>
  <c r="F111" i="4"/>
  <c r="F110" i="4"/>
  <c r="F106" i="4"/>
  <c r="F104" i="4"/>
  <c r="F103" i="4"/>
  <c r="F102" i="4"/>
  <c r="F101" i="4"/>
  <c r="F100" i="4"/>
  <c r="F99" i="4"/>
  <c r="E98" i="4"/>
  <c r="D98" i="4"/>
  <c r="E97" i="4"/>
  <c r="D97" i="4"/>
  <c r="E96" i="4"/>
  <c r="D96" i="4"/>
  <c r="D94" i="4"/>
  <c r="F94" i="4" s="1"/>
  <c r="F93" i="4"/>
  <c r="E92" i="4"/>
  <c r="D92" i="4"/>
  <c r="F90" i="4"/>
  <c r="F89" i="4"/>
  <c r="F88" i="4"/>
  <c r="F87" i="4"/>
  <c r="F86" i="4"/>
  <c r="F85" i="4"/>
  <c r="F84" i="4"/>
  <c r="E83" i="4"/>
  <c r="D83" i="4"/>
  <c r="F82" i="4"/>
  <c r="E80" i="4"/>
  <c r="D80" i="4"/>
  <c r="F78" i="4"/>
  <c r="F77" i="4"/>
  <c r="F76" i="4"/>
  <c r="E75" i="4"/>
  <c r="D75" i="4"/>
  <c r="F74" i="4"/>
  <c r="F73" i="4"/>
  <c r="D178" i="4" l="1"/>
  <c r="D190" i="4" s="1"/>
  <c r="E178" i="4"/>
  <c r="F83" i="4"/>
  <c r="F115" i="4"/>
  <c r="F80" i="4"/>
  <c r="F96" i="4"/>
  <c r="F116" i="4"/>
  <c r="F97" i="4"/>
  <c r="F128" i="4"/>
  <c r="F75" i="4"/>
  <c r="F132" i="4"/>
  <c r="F146" i="4"/>
  <c r="F98" i="4"/>
  <c r="F137" i="4"/>
  <c r="F92" i="4"/>
  <c r="F131" i="4"/>
  <c r="F145" i="4"/>
  <c r="H48" i="5"/>
  <c r="G49" i="5"/>
  <c r="F7" i="2" l="1"/>
  <c r="F6" i="2" s="1"/>
  <c r="E190" i="4"/>
  <c r="F178" i="4"/>
  <c r="F190" i="4" s="1"/>
  <c r="H49" i="5"/>
  <c r="M9" i="20"/>
  <c r="M10" i="20"/>
  <c r="F10" i="20"/>
  <c r="F8" i="20"/>
  <c r="M6" i="20"/>
  <c r="K5" i="20"/>
  <c r="E5" i="20"/>
  <c r="K4" i="20"/>
  <c r="F5" i="20"/>
  <c r="F4" i="20"/>
  <c r="E4" i="20"/>
  <c r="F3" i="20"/>
  <c r="E3" i="20"/>
  <c r="F2" i="20"/>
  <c r="E2" i="20"/>
  <c r="F6" i="20" l="1"/>
  <c r="E6" i="20"/>
  <c r="K6" i="20"/>
  <c r="G4" i="20"/>
  <c r="G3" i="20"/>
  <c r="G5" i="20"/>
  <c r="G2" i="20"/>
  <c r="G6" i="20" l="1"/>
  <c r="H15" i="4"/>
  <c r="I15" i="4" s="1"/>
  <c r="AR14" i="4"/>
  <c r="H14" i="4" s="1"/>
  <c r="J14" i="4" l="1"/>
  <c r="I14" i="4"/>
  <c r="I125" i="4" l="1"/>
  <c r="J125" i="4"/>
  <c r="I126" i="4"/>
  <c r="J126" i="4" l="1"/>
  <c r="AR12" i="4"/>
  <c r="H12" i="4" s="1"/>
  <c r="I12" i="4" s="1"/>
  <c r="J12" i="4" l="1"/>
  <c r="J17" i="18" l="1"/>
  <c r="K16" i="18"/>
  <c r="J16" i="18"/>
  <c r="K3" i="18"/>
  <c r="K5" i="18"/>
  <c r="K6" i="18"/>
  <c r="K7" i="18"/>
  <c r="K8" i="18"/>
  <c r="K10" i="18"/>
  <c r="K11" i="18"/>
  <c r="K12" i="18"/>
  <c r="K13" i="18"/>
  <c r="K2" i="18"/>
  <c r="J3" i="18"/>
  <c r="J4" i="18"/>
  <c r="J5" i="18"/>
  <c r="J6" i="18"/>
  <c r="J7" i="18"/>
  <c r="J8" i="18"/>
  <c r="J10" i="18"/>
  <c r="J11" i="18"/>
  <c r="J12" i="18"/>
  <c r="J13" i="18"/>
  <c r="F9" i="18"/>
  <c r="F4" i="18"/>
  <c r="J2" i="18"/>
  <c r="E9" i="18"/>
  <c r="E4" i="18"/>
  <c r="K4" i="18" s="1"/>
  <c r="H9" i="18"/>
  <c r="I9" i="18"/>
  <c r="K9" i="18" s="1"/>
  <c r="G9" i="18"/>
  <c r="H4" i="18"/>
  <c r="I4" i="18"/>
  <c r="G4" i="18"/>
  <c r="J9" i="18" l="1"/>
  <c r="B18" i="19" l="1"/>
  <c r="E18" i="19"/>
  <c r="H18" i="19"/>
  <c r="K18" i="19"/>
  <c r="M18" i="19"/>
  <c r="O18" i="19"/>
  <c r="P18" i="19"/>
  <c r="Q18" i="19"/>
  <c r="R18" i="19"/>
  <c r="C18" i="19"/>
  <c r="N18" i="19"/>
  <c r="L18" i="19"/>
  <c r="I18" i="19"/>
  <c r="J18" i="19"/>
  <c r="F18" i="19"/>
  <c r="G18" i="19"/>
  <c r="D18" i="19"/>
  <c r="N39" i="2" l="1"/>
  <c r="H37" i="2"/>
  <c r="K36" i="2" l="1"/>
  <c r="K37" i="2"/>
  <c r="D89" i="5"/>
  <c r="D85" i="5"/>
  <c r="D81" i="5"/>
  <c r="D78" i="5"/>
  <c r="D48" i="5"/>
  <c r="D44" i="5"/>
  <c r="D34" i="5"/>
  <c r="D90" i="5" l="1"/>
  <c r="D49" i="5"/>
  <c r="L37" i="2"/>
  <c r="M37" i="2" s="1"/>
  <c r="N37" i="2" l="1"/>
  <c r="D91" i="5"/>
  <c r="O81" i="5"/>
  <c r="P81" i="5"/>
  <c r="Q81" i="5"/>
  <c r="R81" i="5"/>
  <c r="S81" i="5"/>
  <c r="T81" i="5"/>
  <c r="U81" i="5"/>
  <c r="V81" i="5"/>
  <c r="X81" i="5"/>
  <c r="Y81" i="5"/>
  <c r="Z81" i="5"/>
  <c r="AA81" i="5"/>
  <c r="AB81" i="5"/>
  <c r="AC81" i="5"/>
  <c r="AD81" i="5"/>
  <c r="AE81" i="5"/>
  <c r="AF81" i="5"/>
  <c r="AG81" i="5"/>
  <c r="AI81" i="5"/>
  <c r="AM81" i="5"/>
  <c r="AN81" i="5"/>
  <c r="AO81" i="5"/>
  <c r="AP81" i="5"/>
  <c r="AQ81" i="5"/>
  <c r="AR81" i="5"/>
  <c r="AS81" i="5"/>
  <c r="O31" i="5"/>
  <c r="P31" i="5"/>
  <c r="Q31" i="5"/>
  <c r="R31" i="5"/>
  <c r="S31" i="5"/>
  <c r="T31" i="5"/>
  <c r="U31" i="5"/>
  <c r="W31" i="5"/>
  <c r="X31" i="5"/>
  <c r="Y31" i="5"/>
  <c r="Z31" i="5"/>
  <c r="AA31" i="5"/>
  <c r="AB31" i="5"/>
  <c r="AC31" i="5"/>
  <c r="AD31" i="5"/>
  <c r="AE31" i="5"/>
  <c r="AF31" i="5"/>
  <c r="AG31" i="5"/>
  <c r="AI31" i="5"/>
  <c r="AM31" i="5"/>
  <c r="AN31" i="5"/>
  <c r="AO31" i="5"/>
  <c r="AP31" i="5"/>
  <c r="AQ31" i="5"/>
  <c r="AR31" i="5"/>
  <c r="AS31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I48" i="5"/>
  <c r="AM48" i="5"/>
  <c r="AN48" i="5"/>
  <c r="AO48" i="5"/>
  <c r="AP48" i="5"/>
  <c r="AQ48" i="5"/>
  <c r="AR48" i="5"/>
  <c r="AS48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I89" i="5"/>
  <c r="AM89" i="5"/>
  <c r="AN89" i="5"/>
  <c r="AO89" i="5"/>
  <c r="AP89" i="5"/>
  <c r="AQ89" i="5"/>
  <c r="AR89" i="5"/>
  <c r="AS89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I85" i="5"/>
  <c r="AM85" i="5"/>
  <c r="AN85" i="5"/>
  <c r="AO85" i="5"/>
  <c r="AP85" i="5"/>
  <c r="AQ85" i="5"/>
  <c r="AR85" i="5"/>
  <c r="AS85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I78" i="5"/>
  <c r="AM78" i="5"/>
  <c r="AN78" i="5"/>
  <c r="AO78" i="5"/>
  <c r="AP78" i="5"/>
  <c r="AQ78" i="5"/>
  <c r="AR78" i="5"/>
  <c r="AS78" i="5"/>
  <c r="O34" i="5" l="1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I34" i="5"/>
  <c r="AM34" i="5"/>
  <c r="AN34" i="5"/>
  <c r="AO34" i="5"/>
  <c r="AP34" i="5"/>
  <c r="AQ34" i="5"/>
  <c r="AR34" i="5"/>
  <c r="AS3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I44" i="5"/>
  <c r="AM44" i="5"/>
  <c r="AN44" i="5"/>
  <c r="AO44" i="5"/>
  <c r="AP44" i="5"/>
  <c r="AQ44" i="5"/>
  <c r="AR44" i="5"/>
  <c r="AS44" i="5"/>
  <c r="AR69" i="4" l="1"/>
  <c r="H69" i="4" s="1"/>
  <c r="M9" i="18" l="1"/>
  <c r="M8" i="18"/>
  <c r="M7" i="18"/>
  <c r="M6" i="18"/>
  <c r="M5" i="18"/>
  <c r="M4" i="18"/>
  <c r="K5" i="17" l="1"/>
  <c r="K6" i="17"/>
  <c r="K7" i="17"/>
  <c r="K8" i="17"/>
  <c r="K9" i="17"/>
  <c r="K10" i="17"/>
  <c r="K11" i="17"/>
  <c r="K12" i="17"/>
  <c r="K13" i="17"/>
  <c r="K14" i="17"/>
  <c r="K15" i="17"/>
  <c r="K4" i="17"/>
  <c r="J5" i="17"/>
  <c r="J6" i="17"/>
  <c r="J7" i="17"/>
  <c r="J8" i="17"/>
  <c r="J9" i="17"/>
  <c r="J10" i="17"/>
  <c r="J11" i="17"/>
  <c r="J12" i="17"/>
  <c r="J13" i="17"/>
  <c r="J14" i="17"/>
  <c r="J15" i="17"/>
  <c r="J4" i="17"/>
  <c r="P9" i="16" l="1"/>
  <c r="P20" i="16" s="1"/>
  <c r="E20" i="16"/>
  <c r="F20" i="16"/>
  <c r="G20" i="16"/>
  <c r="H20" i="16"/>
  <c r="I20" i="16"/>
  <c r="J20" i="16"/>
  <c r="K20" i="16"/>
  <c r="L20" i="16"/>
  <c r="M20" i="16"/>
  <c r="N20" i="16"/>
  <c r="O20" i="16"/>
  <c r="Q20" i="16"/>
  <c r="S20" i="16"/>
  <c r="T20" i="16"/>
  <c r="D20" i="16"/>
  <c r="J176" i="4" l="1"/>
  <c r="I176" i="4"/>
  <c r="M5" i="15" l="1"/>
  <c r="N5" i="15"/>
  <c r="M6" i="15"/>
  <c r="N6" i="15"/>
  <c r="M7" i="15"/>
  <c r="N7" i="15"/>
  <c r="M8" i="15"/>
  <c r="N8" i="15"/>
  <c r="M9" i="15"/>
  <c r="N9" i="15"/>
  <c r="M10" i="15"/>
  <c r="N10" i="15"/>
  <c r="M11" i="15"/>
  <c r="N11" i="15"/>
  <c r="M12" i="15"/>
  <c r="N12" i="15"/>
  <c r="M13" i="15"/>
  <c r="N13" i="15"/>
  <c r="M14" i="15"/>
  <c r="N14" i="15"/>
  <c r="M15" i="15"/>
  <c r="N15" i="15"/>
  <c r="M4" i="15"/>
  <c r="N4" i="15"/>
  <c r="N70" i="4" l="1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K70" i="4"/>
  <c r="AL70" i="4"/>
  <c r="AM70" i="4"/>
  <c r="AN70" i="4"/>
  <c r="AO70" i="4"/>
  <c r="AP70" i="4"/>
  <c r="AQ70" i="4"/>
  <c r="M70" i="4"/>
  <c r="M2" i="20" l="1"/>
  <c r="M8" i="20"/>
  <c r="M11" i="20" s="1"/>
  <c r="H35" i="2"/>
  <c r="K35" i="2" s="1"/>
  <c r="H17" i="2"/>
  <c r="N89" i="5" l="1"/>
  <c r="N85" i="5"/>
  <c r="N81" i="5"/>
  <c r="N48" i="5"/>
  <c r="N44" i="5"/>
  <c r="N34" i="5"/>
  <c r="N31" i="5"/>
  <c r="H15" i="2" s="1"/>
  <c r="Y55" i="7" l="1"/>
  <c r="Y56" i="7" s="1"/>
  <c r="T28" i="7"/>
  <c r="T29" i="7" s="1"/>
  <c r="K18" i="7"/>
  <c r="J18" i="7"/>
  <c r="I18" i="7"/>
  <c r="H18" i="7"/>
  <c r="G18" i="7"/>
  <c r="F18" i="7"/>
  <c r="M17" i="7"/>
  <c r="L17" i="7"/>
  <c r="M16" i="7"/>
  <c r="L16" i="7"/>
  <c r="M15" i="7"/>
  <c r="M18" i="7" s="1"/>
  <c r="L15" i="7"/>
  <c r="L18" i="7" s="1"/>
  <c r="T10" i="7"/>
  <c r="T11" i="7" s="1"/>
  <c r="K10" i="7"/>
  <c r="K19" i="7" s="1"/>
  <c r="J10" i="7"/>
  <c r="I10" i="7"/>
  <c r="I19" i="7" s="1"/>
  <c r="H10" i="7"/>
  <c r="G10" i="7"/>
  <c r="G19" i="7" s="1"/>
  <c r="F10" i="7"/>
  <c r="F19" i="7" s="1"/>
  <c r="M9" i="7"/>
  <c r="L9" i="7"/>
  <c r="M8" i="7"/>
  <c r="L8" i="7"/>
  <c r="M7" i="7"/>
  <c r="L7" i="7"/>
  <c r="M6" i="7"/>
  <c r="L6" i="7"/>
  <c r="M5" i="7"/>
  <c r="L5" i="7"/>
  <c r="I17" i="8"/>
  <c r="I19" i="8" s="1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F73" i="6"/>
  <c r="AQ72" i="6"/>
  <c r="G72" i="6" s="1"/>
  <c r="H72" i="6" s="1"/>
  <c r="C72" i="6"/>
  <c r="AQ71" i="6"/>
  <c r="G71" i="6" s="1"/>
  <c r="H71" i="6" s="1"/>
  <c r="C71" i="6"/>
  <c r="AQ70" i="6"/>
  <c r="G70" i="6" s="1"/>
  <c r="H70" i="6" s="1"/>
  <c r="C70" i="6"/>
  <c r="AQ69" i="6"/>
  <c r="G69" i="6" s="1"/>
  <c r="H69" i="6" s="1"/>
  <c r="C69" i="6"/>
  <c r="AQ68" i="6"/>
  <c r="G68" i="6" s="1"/>
  <c r="H68" i="6" s="1"/>
  <c r="AQ67" i="6"/>
  <c r="G67" i="6"/>
  <c r="H67" i="6" s="1"/>
  <c r="AQ66" i="6"/>
  <c r="G66" i="6" s="1"/>
  <c r="H66" i="6" s="1"/>
  <c r="AQ65" i="6"/>
  <c r="G65" i="6" s="1"/>
  <c r="E65" i="6"/>
  <c r="AQ64" i="6"/>
  <c r="G64" i="6"/>
  <c r="H64" i="6" s="1"/>
  <c r="AQ63" i="6"/>
  <c r="G63" i="6" s="1"/>
  <c r="H63" i="6" s="1"/>
  <c r="AQ62" i="6"/>
  <c r="G62" i="6" s="1"/>
  <c r="H62" i="6" s="1"/>
  <c r="C62" i="6"/>
  <c r="AQ61" i="6"/>
  <c r="G61" i="6" s="1"/>
  <c r="H61" i="6" s="1"/>
  <c r="AQ60" i="6"/>
  <c r="G60" i="6" s="1"/>
  <c r="H60" i="6" s="1"/>
  <c r="AQ59" i="6"/>
  <c r="G59" i="6"/>
  <c r="E59" i="6"/>
  <c r="AQ58" i="6"/>
  <c r="G58" i="6" s="1"/>
  <c r="H58" i="6" s="1"/>
  <c r="AQ57" i="6"/>
  <c r="G57" i="6" s="1"/>
  <c r="I57" i="6" s="1"/>
  <c r="AQ56" i="6"/>
  <c r="G56" i="6" s="1"/>
  <c r="H56" i="6" s="1"/>
  <c r="E56" i="6"/>
  <c r="D56" i="6"/>
  <c r="AQ55" i="6"/>
  <c r="G55" i="6" s="1"/>
  <c r="E55" i="6"/>
  <c r="D55" i="6"/>
  <c r="AQ54" i="6"/>
  <c r="G54" i="6" s="1"/>
  <c r="H54" i="6" s="1"/>
  <c r="AQ53" i="6"/>
  <c r="G53" i="6" s="1"/>
  <c r="H53" i="6" s="1"/>
  <c r="AQ52" i="6"/>
  <c r="G52" i="6" s="1"/>
  <c r="H52" i="6" s="1"/>
  <c r="AQ51" i="6"/>
  <c r="G51" i="6" s="1"/>
  <c r="H51" i="6" s="1"/>
  <c r="AQ50" i="6"/>
  <c r="G50" i="6" s="1"/>
  <c r="H50" i="6" s="1"/>
  <c r="AQ49" i="6"/>
  <c r="G49" i="6" s="1"/>
  <c r="H49" i="6" s="1"/>
  <c r="AQ48" i="6"/>
  <c r="G48" i="6"/>
  <c r="H48" i="6" s="1"/>
  <c r="AQ47" i="6"/>
  <c r="G47" i="6" s="1"/>
  <c r="H47" i="6" s="1"/>
  <c r="C47" i="6"/>
  <c r="AQ46" i="6"/>
  <c r="G46" i="6" s="1"/>
  <c r="I46" i="6" s="1"/>
  <c r="E46" i="6"/>
  <c r="C46" i="6"/>
  <c r="AQ45" i="6"/>
  <c r="G45" i="6" s="1"/>
  <c r="E45" i="6"/>
  <c r="H45" i="6" s="1"/>
  <c r="D45" i="6"/>
  <c r="C45" i="6"/>
  <c r="AQ44" i="6"/>
  <c r="G44" i="6" s="1"/>
  <c r="D44" i="6"/>
  <c r="D73" i="6" s="1"/>
  <c r="AQ43" i="6"/>
  <c r="G43" i="6" s="1"/>
  <c r="C43" i="6"/>
  <c r="AQ42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F39" i="6"/>
  <c r="AQ38" i="6"/>
  <c r="G38" i="6"/>
  <c r="H38" i="6" s="1"/>
  <c r="AQ37" i="6"/>
  <c r="G37" i="6" s="1"/>
  <c r="H37" i="6" s="1"/>
  <c r="AQ36" i="6"/>
  <c r="G36" i="6" s="1"/>
  <c r="H36" i="6" s="1"/>
  <c r="AQ35" i="6"/>
  <c r="G35" i="6" s="1"/>
  <c r="H35" i="6" s="1"/>
  <c r="AQ34" i="6"/>
  <c r="G34" i="6" s="1"/>
  <c r="H34" i="6" s="1"/>
  <c r="AQ33" i="6"/>
  <c r="G33" i="6"/>
  <c r="H33" i="6" s="1"/>
  <c r="AQ32" i="6"/>
  <c r="G32" i="6" s="1"/>
  <c r="H32" i="6" s="1"/>
  <c r="AQ31" i="6"/>
  <c r="G31" i="6"/>
  <c r="H31" i="6" s="1"/>
  <c r="C31" i="6"/>
  <c r="AQ30" i="6"/>
  <c r="G30" i="6" s="1"/>
  <c r="H30" i="6" s="1"/>
  <c r="C30" i="6"/>
  <c r="AQ29" i="6"/>
  <c r="G29" i="6" s="1"/>
  <c r="H29" i="6" s="1"/>
  <c r="AQ28" i="6"/>
  <c r="G28" i="6"/>
  <c r="H28" i="6" s="1"/>
  <c r="AQ27" i="6"/>
  <c r="G27" i="6" s="1"/>
  <c r="E27" i="6"/>
  <c r="D27" i="6"/>
  <c r="C27" i="6"/>
  <c r="AQ26" i="6"/>
  <c r="G26" i="6" s="1"/>
  <c r="H26" i="6" s="1"/>
  <c r="E26" i="6"/>
  <c r="AQ25" i="6"/>
  <c r="G25" i="6"/>
  <c r="H25" i="6" s="1"/>
  <c r="AQ24" i="6"/>
  <c r="G24" i="6" s="1"/>
  <c r="H24" i="6" s="1"/>
  <c r="C24" i="6"/>
  <c r="AQ23" i="6"/>
  <c r="G23" i="6" s="1"/>
  <c r="H23" i="6" s="1"/>
  <c r="AQ22" i="6"/>
  <c r="G22" i="6" s="1"/>
  <c r="H22" i="6" s="1"/>
  <c r="AQ21" i="6"/>
  <c r="G21" i="6" s="1"/>
  <c r="H21" i="6" s="1"/>
  <c r="G20" i="6"/>
  <c r="H20" i="6" s="1"/>
  <c r="AQ19" i="6"/>
  <c r="G19" i="6" s="1"/>
  <c r="H19" i="6" s="1"/>
  <c r="AQ18" i="6"/>
  <c r="G18" i="6" s="1"/>
  <c r="H18" i="6" s="1"/>
  <c r="AQ17" i="6"/>
  <c r="G17" i="6" s="1"/>
  <c r="E17" i="6"/>
  <c r="H17" i="6" s="1"/>
  <c r="AQ16" i="6"/>
  <c r="G16" i="6" s="1"/>
  <c r="H16" i="6" s="1"/>
  <c r="AQ15" i="6"/>
  <c r="G15" i="6" s="1"/>
  <c r="E15" i="6"/>
  <c r="D15" i="6"/>
  <c r="AQ14" i="6"/>
  <c r="G14" i="6" s="1"/>
  <c r="H14" i="6" s="1"/>
  <c r="C14" i="6"/>
  <c r="AQ13" i="6"/>
  <c r="G13" i="6"/>
  <c r="H13" i="6" s="1"/>
  <c r="AQ12" i="6"/>
  <c r="G12" i="6" s="1"/>
  <c r="H12" i="6" s="1"/>
  <c r="AQ11" i="6"/>
  <c r="G11" i="6" s="1"/>
  <c r="H11" i="6" s="1"/>
  <c r="AQ10" i="6"/>
  <c r="G10" i="6" s="1"/>
  <c r="H10" i="6" s="1"/>
  <c r="C10" i="6"/>
  <c r="AQ9" i="6"/>
  <c r="G9" i="6" s="1"/>
  <c r="H9" i="6" s="1"/>
  <c r="AQ8" i="6"/>
  <c r="G8" i="6"/>
  <c r="H8" i="6" s="1"/>
  <c r="AQ7" i="6"/>
  <c r="G7" i="6"/>
  <c r="E7" i="6"/>
  <c r="AQ6" i="6"/>
  <c r="G6" i="6" s="1"/>
  <c r="H6" i="6" s="1"/>
  <c r="AQ5" i="6"/>
  <c r="G5" i="6"/>
  <c r="E5" i="6"/>
  <c r="H5" i="6" s="1"/>
  <c r="AQ4" i="6"/>
  <c r="G4" i="6" s="1"/>
  <c r="H4" i="6" s="1"/>
  <c r="E4" i="6"/>
  <c r="D3" i="6"/>
  <c r="C3" i="6"/>
  <c r="C39" i="6" s="1"/>
  <c r="F39" i="2"/>
  <c r="H18" i="2"/>
  <c r="L33" i="2"/>
  <c r="M33" i="2" s="1"/>
  <c r="AW9" i="11"/>
  <c r="AS90" i="5"/>
  <c r="AR90" i="5"/>
  <c r="AQ90" i="5"/>
  <c r="AP90" i="5"/>
  <c r="AO90" i="5"/>
  <c r="AN90" i="5"/>
  <c r="AM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AT88" i="5"/>
  <c r="J88" i="5" s="1"/>
  <c r="K88" i="5" s="1"/>
  <c r="AT87" i="5"/>
  <c r="AT84" i="5"/>
  <c r="J84" i="5" s="1"/>
  <c r="K84" i="5" s="1"/>
  <c r="AT83" i="5"/>
  <c r="F20" i="2"/>
  <c r="F22" i="2" s="1"/>
  <c r="E20" i="2"/>
  <c r="E22" i="2" s="1"/>
  <c r="AT80" i="5"/>
  <c r="AT81" i="5" s="1"/>
  <c r="I20" i="2" s="1"/>
  <c r="AT77" i="5"/>
  <c r="J77" i="5" s="1"/>
  <c r="AT76" i="5"/>
  <c r="J76" i="5" s="1"/>
  <c r="L76" i="5" s="1"/>
  <c r="AT75" i="5"/>
  <c r="J75" i="5" s="1"/>
  <c r="AT74" i="5"/>
  <c r="J74" i="5" s="1"/>
  <c r="K74" i="5" s="1"/>
  <c r="AT73" i="5"/>
  <c r="J73" i="5" s="1"/>
  <c r="K73" i="5" s="1"/>
  <c r="AT72" i="5"/>
  <c r="J72" i="5" s="1"/>
  <c r="K72" i="5" s="1"/>
  <c r="AT71" i="5"/>
  <c r="J71" i="5" s="1"/>
  <c r="K71" i="5" s="1"/>
  <c r="AT70" i="5"/>
  <c r="J70" i="5" s="1"/>
  <c r="AT69" i="5"/>
  <c r="J69" i="5" s="1"/>
  <c r="L69" i="5" s="1"/>
  <c r="AT68" i="5"/>
  <c r="J68" i="5" s="1"/>
  <c r="AT67" i="5"/>
  <c r="J67" i="5" s="1"/>
  <c r="AT66" i="5"/>
  <c r="J66" i="5" s="1"/>
  <c r="AT65" i="5"/>
  <c r="J65" i="5" s="1"/>
  <c r="K65" i="5" s="1"/>
  <c r="J64" i="5"/>
  <c r="K64" i="5" s="1"/>
  <c r="AT63" i="5"/>
  <c r="J63" i="5" s="1"/>
  <c r="K63" i="5" s="1"/>
  <c r="AT62" i="5"/>
  <c r="J62" i="5" s="1"/>
  <c r="AT61" i="5"/>
  <c r="J61" i="5" s="1"/>
  <c r="K61" i="5" s="1"/>
  <c r="AT60" i="5"/>
  <c r="J60" i="5" s="1"/>
  <c r="K60" i="5" s="1"/>
  <c r="AT59" i="5"/>
  <c r="J59" i="5" s="1"/>
  <c r="K59" i="5" s="1"/>
  <c r="AT58" i="5"/>
  <c r="J58" i="5" s="1"/>
  <c r="AT57" i="5"/>
  <c r="J57" i="5" s="1"/>
  <c r="AT56" i="5"/>
  <c r="J56" i="5" s="1"/>
  <c r="AT55" i="5"/>
  <c r="J55" i="5" s="1"/>
  <c r="AT54" i="5"/>
  <c r="AT53" i="5"/>
  <c r="J53" i="5" s="1"/>
  <c r="K53" i="5" s="1"/>
  <c r="AT52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I49" i="5"/>
  <c r="AT47" i="5"/>
  <c r="J47" i="5" s="1"/>
  <c r="K47" i="5" s="1"/>
  <c r="AT46" i="5"/>
  <c r="AT43" i="5"/>
  <c r="J43" i="5" s="1"/>
  <c r="L43" i="5" s="1"/>
  <c r="AT42" i="5"/>
  <c r="J42" i="5" s="1"/>
  <c r="AT41" i="5"/>
  <c r="J41" i="5" s="1"/>
  <c r="L41" i="5" s="1"/>
  <c r="AT40" i="5"/>
  <c r="J40" i="5" s="1"/>
  <c r="L40" i="5" s="1"/>
  <c r="AT39" i="5"/>
  <c r="J39" i="5" s="1"/>
  <c r="AT38" i="5"/>
  <c r="J38" i="5" s="1"/>
  <c r="L38" i="5" s="1"/>
  <c r="AT37" i="5"/>
  <c r="J37" i="5" s="1"/>
  <c r="E23" i="2"/>
  <c r="E24" i="2" s="1"/>
  <c r="AT36" i="5"/>
  <c r="F19" i="2"/>
  <c r="F21" i="2" s="1"/>
  <c r="E19" i="2"/>
  <c r="E21" i="2" s="1"/>
  <c r="AT33" i="5"/>
  <c r="AT34" i="5" s="1"/>
  <c r="I19" i="2" s="1"/>
  <c r="AT29" i="5"/>
  <c r="J29" i="5" s="1"/>
  <c r="AT28" i="5"/>
  <c r="J28" i="5" s="1"/>
  <c r="L28" i="5" s="1"/>
  <c r="AT27" i="5"/>
  <c r="J27" i="5" s="1"/>
  <c r="L27" i="5" s="1"/>
  <c r="AT26" i="5"/>
  <c r="J26" i="5" s="1"/>
  <c r="AT25" i="5"/>
  <c r="J25" i="5" s="1"/>
  <c r="AT24" i="5"/>
  <c r="J24" i="5" s="1"/>
  <c r="K24" i="5" s="1"/>
  <c r="AT23" i="5"/>
  <c r="J23" i="5" s="1"/>
  <c r="L23" i="5" s="1"/>
  <c r="AT22" i="5"/>
  <c r="J22" i="5" s="1"/>
  <c r="L22" i="5" s="1"/>
  <c r="AT21" i="5"/>
  <c r="J21" i="5" s="1"/>
  <c r="K21" i="5" s="1"/>
  <c r="AT20" i="5"/>
  <c r="AT19" i="5"/>
  <c r="AT18" i="5"/>
  <c r="J18" i="5" s="1"/>
  <c r="K18" i="5" s="1"/>
  <c r="AT17" i="5"/>
  <c r="J17" i="5" s="1"/>
  <c r="K17" i="5" s="1"/>
  <c r="AT16" i="5"/>
  <c r="J16" i="5" s="1"/>
  <c r="K16" i="5" s="1"/>
  <c r="AT15" i="5"/>
  <c r="J15" i="5" s="1"/>
  <c r="K15" i="5" s="1"/>
  <c r="AT14" i="5"/>
  <c r="J14" i="5" s="1"/>
  <c r="AT13" i="5"/>
  <c r="L13" i="5"/>
  <c r="K13" i="5"/>
  <c r="AT12" i="5"/>
  <c r="J12" i="5" s="1"/>
  <c r="AT11" i="5"/>
  <c r="J11" i="5" s="1"/>
  <c r="L11" i="5" s="1"/>
  <c r="J10" i="5"/>
  <c r="L10" i="5" s="1"/>
  <c r="AT9" i="5"/>
  <c r="J9" i="5" s="1"/>
  <c r="AT8" i="5"/>
  <c r="J8" i="5" s="1"/>
  <c r="L8" i="5" s="1"/>
  <c r="AT7" i="5"/>
  <c r="J7" i="5" s="1"/>
  <c r="L7" i="5" s="1"/>
  <c r="AT6" i="5"/>
  <c r="J6" i="5" s="1"/>
  <c r="AT5" i="5"/>
  <c r="J5" i="5" s="1"/>
  <c r="AT4" i="5"/>
  <c r="J175" i="4"/>
  <c r="I175" i="4"/>
  <c r="J171" i="4"/>
  <c r="J169" i="4"/>
  <c r="J165" i="4"/>
  <c r="J158" i="4"/>
  <c r="J156" i="4"/>
  <c r="J142" i="4"/>
  <c r="J141" i="4"/>
  <c r="I140" i="4"/>
  <c r="J138" i="4"/>
  <c r="J134" i="4"/>
  <c r="J128" i="4"/>
  <c r="J123" i="4"/>
  <c r="J120" i="4"/>
  <c r="I115" i="4"/>
  <c r="J114" i="4"/>
  <c r="J111" i="4"/>
  <c r="J103" i="4"/>
  <c r="J98" i="4"/>
  <c r="I93" i="4"/>
  <c r="J90" i="4"/>
  <c r="I88" i="4"/>
  <c r="I86" i="4"/>
  <c r="I82" i="4"/>
  <c r="J80" i="4"/>
  <c r="I77" i="4"/>
  <c r="J76" i="4"/>
  <c r="AR73" i="4"/>
  <c r="AR178" i="4" s="1"/>
  <c r="I7" i="2" s="1"/>
  <c r="L7" i="2" s="1"/>
  <c r="L70" i="4"/>
  <c r="K2" i="20" s="1"/>
  <c r="G70" i="4"/>
  <c r="D70" i="4"/>
  <c r="E5" i="2" s="1"/>
  <c r="AR68" i="4"/>
  <c r="H68" i="4" s="1"/>
  <c r="AR67" i="4"/>
  <c r="H67" i="4" s="1"/>
  <c r="J67" i="4" s="1"/>
  <c r="AR66" i="4"/>
  <c r="H66" i="4" s="1"/>
  <c r="AR65" i="4"/>
  <c r="H65" i="4" s="1"/>
  <c r="AR64" i="4"/>
  <c r="H64" i="4" s="1"/>
  <c r="J64" i="4" s="1"/>
  <c r="AR62" i="4"/>
  <c r="H62" i="4" s="1"/>
  <c r="I62" i="4" s="1"/>
  <c r="AR61" i="4"/>
  <c r="H61" i="4" s="1"/>
  <c r="AR60" i="4"/>
  <c r="H60" i="4" s="1"/>
  <c r="AR59" i="4"/>
  <c r="H59" i="4" s="1"/>
  <c r="AR58" i="4"/>
  <c r="H58" i="4" s="1"/>
  <c r="J58" i="4" s="1"/>
  <c r="AR56" i="4"/>
  <c r="H56" i="4" s="1"/>
  <c r="AR55" i="4"/>
  <c r="H55" i="4" s="1"/>
  <c r="AR54" i="4"/>
  <c r="H54" i="4" s="1"/>
  <c r="J54" i="4" s="1"/>
  <c r="AR53" i="4"/>
  <c r="H53" i="4" s="1"/>
  <c r="I53" i="4" s="1"/>
  <c r="AR52" i="4"/>
  <c r="H52" i="4" s="1"/>
  <c r="AR51" i="4"/>
  <c r="H51" i="4" s="1"/>
  <c r="AR50" i="4"/>
  <c r="H50" i="4" s="1"/>
  <c r="AR49" i="4"/>
  <c r="H49" i="4" s="1"/>
  <c r="J49" i="4" s="1"/>
  <c r="AR48" i="4"/>
  <c r="H48" i="4" s="1"/>
  <c r="AR47" i="4"/>
  <c r="H47" i="4" s="1"/>
  <c r="I47" i="4" s="1"/>
  <c r="AR46" i="4"/>
  <c r="H46" i="4" s="1"/>
  <c r="AR45" i="4"/>
  <c r="H45" i="4" s="1"/>
  <c r="J45" i="4" s="1"/>
  <c r="AR44" i="4"/>
  <c r="H44" i="4" s="1"/>
  <c r="AR43" i="4"/>
  <c r="H43" i="4" s="1"/>
  <c r="AR42" i="4"/>
  <c r="H42" i="4" s="1"/>
  <c r="AR41" i="4"/>
  <c r="H41" i="4" s="1"/>
  <c r="J41" i="4" s="1"/>
  <c r="AR40" i="4"/>
  <c r="H40" i="4" s="1"/>
  <c r="AR39" i="4"/>
  <c r="H39" i="4" s="1"/>
  <c r="AR38" i="4"/>
  <c r="H38" i="4" s="1"/>
  <c r="AR37" i="4"/>
  <c r="H37" i="4" s="1"/>
  <c r="J37" i="4" s="1"/>
  <c r="AR36" i="4"/>
  <c r="H36" i="4" s="1"/>
  <c r="AR35" i="4"/>
  <c r="H35" i="4" s="1"/>
  <c r="AR34" i="4"/>
  <c r="H34" i="4" s="1"/>
  <c r="AR33" i="4"/>
  <c r="H33" i="4" s="1"/>
  <c r="AR32" i="4"/>
  <c r="H32" i="4" s="1"/>
  <c r="AR31" i="4"/>
  <c r="H31" i="4" s="1"/>
  <c r="AR30" i="4"/>
  <c r="H30" i="4" s="1"/>
  <c r="J30" i="4" s="1"/>
  <c r="AR29" i="4"/>
  <c r="H29" i="4" s="1"/>
  <c r="J29" i="4" s="1"/>
  <c r="AR28" i="4"/>
  <c r="H28" i="4" s="1"/>
  <c r="AR27" i="4"/>
  <c r="H27" i="4" s="1"/>
  <c r="AR26" i="4"/>
  <c r="H26" i="4" s="1"/>
  <c r="AR25" i="4"/>
  <c r="H25" i="4" s="1"/>
  <c r="AR24" i="4"/>
  <c r="H24" i="4" s="1"/>
  <c r="AR23" i="4"/>
  <c r="H23" i="4" s="1"/>
  <c r="AR22" i="4"/>
  <c r="H22" i="4" s="1"/>
  <c r="J22" i="4" s="1"/>
  <c r="AR21" i="4"/>
  <c r="H21" i="4" s="1"/>
  <c r="J21" i="4" s="1"/>
  <c r="AR20" i="4"/>
  <c r="H20" i="4" s="1"/>
  <c r="I20" i="4" s="1"/>
  <c r="AR19" i="4"/>
  <c r="H19" i="4" s="1"/>
  <c r="I19" i="4" s="1"/>
  <c r="AR18" i="4"/>
  <c r="H18" i="4" s="1"/>
  <c r="AR17" i="4"/>
  <c r="H17" i="4" s="1"/>
  <c r="AR16" i="4"/>
  <c r="H16" i="4" s="1"/>
  <c r="AR13" i="4"/>
  <c r="H13" i="4" s="1"/>
  <c r="AR11" i="4"/>
  <c r="H11" i="4" s="1"/>
  <c r="J11" i="4" s="1"/>
  <c r="AR10" i="4"/>
  <c r="H10" i="4" s="1"/>
  <c r="AR9" i="4"/>
  <c r="H9" i="4" s="1"/>
  <c r="AR8" i="4"/>
  <c r="H8" i="4" s="1"/>
  <c r="AR7" i="4"/>
  <c r="H7" i="4" s="1"/>
  <c r="J7" i="4" s="1"/>
  <c r="AR6" i="4"/>
  <c r="H6" i="4" s="1"/>
  <c r="AR5" i="4"/>
  <c r="H5" i="4" s="1"/>
  <c r="J5" i="4" s="1"/>
  <c r="AR4" i="4"/>
  <c r="H4" i="4" s="1"/>
  <c r="AR3" i="4"/>
  <c r="D39" i="3"/>
  <c r="C38" i="3"/>
  <c r="C29" i="3" s="1"/>
  <c r="C31" i="3" s="1"/>
  <c r="D31" i="3"/>
  <c r="C2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1" i="9"/>
  <c r="G11" i="9"/>
  <c r="H10" i="9"/>
  <c r="G10" i="9"/>
  <c r="H9" i="9"/>
  <c r="G9" i="9"/>
  <c r="H8" i="9"/>
  <c r="G8" i="9"/>
  <c r="H7" i="9"/>
  <c r="G7" i="9"/>
  <c r="H6" i="9"/>
  <c r="G6" i="9"/>
  <c r="S67" i="2"/>
  <c r="S53" i="2"/>
  <c r="L53" i="2"/>
  <c r="M53" i="2" s="1"/>
  <c r="L51" i="2"/>
  <c r="L49" i="2"/>
  <c r="M49" i="2" s="1"/>
  <c r="L47" i="2"/>
  <c r="L40" i="2"/>
  <c r="F40" i="2"/>
  <c r="N38" i="2"/>
  <c r="H30" i="2"/>
  <c r="E10" i="20"/>
  <c r="G10" i="20" s="1"/>
  <c r="H29" i="2"/>
  <c r="H28" i="2"/>
  <c r="H27" i="2"/>
  <c r="H26" i="2"/>
  <c r="H24" i="2"/>
  <c r="H25" i="2"/>
  <c r="F25" i="2"/>
  <c r="H23" i="2"/>
  <c r="F23" i="2"/>
  <c r="F24" i="2" s="1"/>
  <c r="H22" i="2"/>
  <c r="H21" i="2"/>
  <c r="H20" i="2"/>
  <c r="H19" i="2"/>
  <c r="H16" i="2"/>
  <c r="L22" i="1"/>
  <c r="M22" i="1" s="1"/>
  <c r="L21" i="1"/>
  <c r="M21" i="1" s="1"/>
  <c r="L20" i="1"/>
  <c r="N20" i="1" s="1"/>
  <c r="M19" i="1"/>
  <c r="L19" i="1"/>
  <c r="N19" i="1" s="1"/>
  <c r="N18" i="1"/>
  <c r="M18" i="1"/>
  <c r="L18" i="1"/>
  <c r="D18" i="1"/>
  <c r="L17" i="1"/>
  <c r="M17" i="1" s="1"/>
  <c r="L16" i="1"/>
  <c r="D16" i="1"/>
  <c r="L15" i="1"/>
  <c r="N15" i="1" s="1"/>
  <c r="F15" i="1"/>
  <c r="D15" i="1"/>
  <c r="M15" i="1" s="1"/>
  <c r="L14" i="1"/>
  <c r="N14" i="1" s="1"/>
  <c r="L13" i="1"/>
  <c r="N13" i="1" s="1"/>
  <c r="J13" i="1"/>
  <c r="L12" i="1"/>
  <c r="M12" i="1" s="1"/>
  <c r="F12" i="1"/>
  <c r="L11" i="1"/>
  <c r="N11" i="1" s="1"/>
  <c r="J11" i="1"/>
  <c r="F11" i="1"/>
  <c r="D10" i="1"/>
  <c r="M9" i="1"/>
  <c r="L9" i="1"/>
  <c r="N9" i="1" s="1"/>
  <c r="K9" i="1"/>
  <c r="N8" i="1"/>
  <c r="M8" i="1"/>
  <c r="J8" i="1"/>
  <c r="I8" i="1"/>
  <c r="G8" i="1"/>
  <c r="N7" i="1"/>
  <c r="M7" i="1"/>
  <c r="J7" i="1"/>
  <c r="I55" i="6" l="1"/>
  <c r="H55" i="6"/>
  <c r="I43" i="6"/>
  <c r="H43" i="6"/>
  <c r="N16" i="1"/>
  <c r="C39" i="3"/>
  <c r="C40" i="3" s="1"/>
  <c r="H27" i="6"/>
  <c r="N47" i="2"/>
  <c r="M47" i="2"/>
  <c r="H19" i="7"/>
  <c r="M14" i="1"/>
  <c r="M20" i="1"/>
  <c r="H46" i="6"/>
  <c r="N51" i="2"/>
  <c r="M51" i="2"/>
  <c r="H65" i="6"/>
  <c r="J19" i="7"/>
  <c r="H7" i="6"/>
  <c r="C73" i="6"/>
  <c r="L10" i="7"/>
  <c r="D40" i="3"/>
  <c r="E39" i="6"/>
  <c r="D39" i="6"/>
  <c r="AQ73" i="6"/>
  <c r="H59" i="6"/>
  <c r="M10" i="7"/>
  <c r="N40" i="2"/>
  <c r="M40" i="2"/>
  <c r="K19" i="2"/>
  <c r="K7" i="2"/>
  <c r="H14" i="2"/>
  <c r="H3" i="4"/>
  <c r="H2" i="20" s="1"/>
  <c r="I2" i="20" s="1"/>
  <c r="AR70" i="4"/>
  <c r="I5" i="2" s="1"/>
  <c r="H5" i="2"/>
  <c r="I44" i="6"/>
  <c r="H44" i="6"/>
  <c r="G39" i="6"/>
  <c r="I39" i="6" s="1"/>
  <c r="L19" i="7"/>
  <c r="H15" i="6"/>
  <c r="M19" i="7"/>
  <c r="M16" i="1"/>
  <c r="N12" i="1"/>
  <c r="N21" i="1"/>
  <c r="AQ39" i="6"/>
  <c r="H57" i="6"/>
  <c r="G42" i="6"/>
  <c r="E73" i="6"/>
  <c r="M11" i="1"/>
  <c r="M13" i="1"/>
  <c r="N17" i="1"/>
  <c r="N22" i="1"/>
  <c r="G10" i="14"/>
  <c r="H73" i="4"/>
  <c r="L31" i="2"/>
  <c r="M31" i="2" s="1"/>
  <c r="N33" i="2"/>
  <c r="J52" i="5"/>
  <c r="L52" i="5" s="1"/>
  <c r="K8" i="20"/>
  <c r="K10" i="20"/>
  <c r="K9" i="20"/>
  <c r="F9" i="20"/>
  <c r="E9" i="20"/>
  <c r="H13" i="2"/>
  <c r="K7" i="20"/>
  <c r="H3" i="20"/>
  <c r="H5" i="20"/>
  <c r="L5" i="20"/>
  <c r="L4" i="20"/>
  <c r="E36" i="2"/>
  <c r="M36" i="2" s="1"/>
  <c r="E35" i="2"/>
  <c r="H89" i="5"/>
  <c r="F35" i="2"/>
  <c r="F36" i="2" s="1"/>
  <c r="F38" i="2"/>
  <c r="N49" i="2"/>
  <c r="N53" i="2"/>
  <c r="L37" i="5"/>
  <c r="Q91" i="5"/>
  <c r="AO91" i="5"/>
  <c r="K58" i="5"/>
  <c r="AP91" i="5"/>
  <c r="E70" i="4"/>
  <c r="F5" i="2" s="1"/>
  <c r="J146" i="4"/>
  <c r="J152" i="4"/>
  <c r="J162" i="4"/>
  <c r="J145" i="4"/>
  <c r="AB91" i="5"/>
  <c r="K62" i="5"/>
  <c r="K70" i="5"/>
  <c r="AL91" i="5"/>
  <c r="O91" i="5"/>
  <c r="F15" i="2"/>
  <c r="P91" i="5"/>
  <c r="AN91" i="5"/>
  <c r="F90" i="5"/>
  <c r="G90" i="5"/>
  <c r="H85" i="5"/>
  <c r="E25" i="2"/>
  <c r="K55" i="5"/>
  <c r="E90" i="5"/>
  <c r="E91" i="5" s="1"/>
  <c r="H81" i="5"/>
  <c r="AH91" i="5"/>
  <c r="AG91" i="5"/>
  <c r="AD91" i="5"/>
  <c r="Z91" i="5"/>
  <c r="J19" i="5"/>
  <c r="K19" i="5" s="1"/>
  <c r="J20" i="5"/>
  <c r="K20" i="5" s="1"/>
  <c r="E15" i="2"/>
  <c r="E17" i="2" s="1"/>
  <c r="Y91" i="5"/>
  <c r="X91" i="5"/>
  <c r="I80" i="4"/>
  <c r="V91" i="5"/>
  <c r="T91" i="5"/>
  <c r="AT89" i="5"/>
  <c r="J36" i="5"/>
  <c r="L36" i="5" s="1"/>
  <c r="AT44" i="5"/>
  <c r="I23" i="2" s="1"/>
  <c r="I51" i="4"/>
  <c r="J51" i="4"/>
  <c r="K24" i="2"/>
  <c r="K21" i="2"/>
  <c r="K17" i="2"/>
  <c r="L30" i="2"/>
  <c r="M30" i="2" s="1"/>
  <c r="L26" i="2"/>
  <c r="K18" i="2"/>
  <c r="AT85" i="5"/>
  <c r="L25" i="2" s="1"/>
  <c r="K69" i="5"/>
  <c r="R91" i="5"/>
  <c r="J54" i="5"/>
  <c r="L54" i="5" s="1"/>
  <c r="AT78" i="5"/>
  <c r="I16" i="2" s="1"/>
  <c r="J46" i="5"/>
  <c r="K46" i="5" s="1"/>
  <c r="AT48" i="5"/>
  <c r="K42" i="5"/>
  <c r="L42" i="5"/>
  <c r="K40" i="5"/>
  <c r="K41" i="5"/>
  <c r="J33" i="5"/>
  <c r="K22" i="5"/>
  <c r="K25" i="5"/>
  <c r="L25" i="5"/>
  <c r="K26" i="5"/>
  <c r="L26" i="5"/>
  <c r="L24" i="5"/>
  <c r="K23" i="5"/>
  <c r="J4" i="5"/>
  <c r="L4" i="5" s="1"/>
  <c r="AT31" i="5"/>
  <c r="I15" i="2" s="1"/>
  <c r="L15" i="2" s="1"/>
  <c r="I55" i="4"/>
  <c r="J55" i="4"/>
  <c r="J60" i="4"/>
  <c r="I60" i="4"/>
  <c r="I65" i="4"/>
  <c r="J65" i="4"/>
  <c r="J53" i="4"/>
  <c r="J62" i="4"/>
  <c r="J47" i="4"/>
  <c r="J17" i="4"/>
  <c r="I17" i="4"/>
  <c r="I39" i="4"/>
  <c r="J39" i="4"/>
  <c r="I43" i="4"/>
  <c r="J43" i="4"/>
  <c r="I28" i="4"/>
  <c r="J28" i="4"/>
  <c r="J25" i="4"/>
  <c r="I25" i="4"/>
  <c r="J20" i="4"/>
  <c r="J19" i="4"/>
  <c r="J9" i="4"/>
  <c r="I9" i="4"/>
  <c r="J35" i="4"/>
  <c r="I35" i="4"/>
  <c r="J44" i="4"/>
  <c r="I44" i="4"/>
  <c r="J50" i="4"/>
  <c r="I50" i="4"/>
  <c r="J59" i="4"/>
  <c r="I59" i="4"/>
  <c r="J68" i="4"/>
  <c r="I68" i="4"/>
  <c r="J13" i="4"/>
  <c r="I13" i="4"/>
  <c r="J26" i="4"/>
  <c r="I26" i="4"/>
  <c r="J32" i="4"/>
  <c r="I32" i="4"/>
  <c r="J23" i="4"/>
  <c r="I23" i="4"/>
  <c r="J36" i="4"/>
  <c r="I36" i="4"/>
  <c r="J42" i="4"/>
  <c r="I42" i="4"/>
  <c r="J27" i="4"/>
  <c r="I27" i="4"/>
  <c r="J33" i="4"/>
  <c r="I33" i="4"/>
  <c r="J48" i="4"/>
  <c r="I48" i="4"/>
  <c r="J56" i="4"/>
  <c r="I56" i="4"/>
  <c r="J66" i="4"/>
  <c r="I66" i="4"/>
  <c r="J24" i="4"/>
  <c r="I24" i="4"/>
  <c r="J10" i="4"/>
  <c r="I10" i="4"/>
  <c r="J40" i="4"/>
  <c r="I40" i="4"/>
  <c r="J46" i="4"/>
  <c r="I46" i="4"/>
  <c r="J18" i="4"/>
  <c r="I18" i="4"/>
  <c r="J16" i="4"/>
  <c r="I16" i="4"/>
  <c r="I8" i="4"/>
  <c r="J8" i="4"/>
  <c r="J34" i="4"/>
  <c r="I34" i="4"/>
  <c r="J52" i="4"/>
  <c r="I52" i="4"/>
  <c r="J61" i="4"/>
  <c r="I61" i="4"/>
  <c r="J6" i="4"/>
  <c r="I6" i="4"/>
  <c r="J31" i="4"/>
  <c r="I31" i="4"/>
  <c r="J38" i="4"/>
  <c r="I38" i="4"/>
  <c r="I5" i="4"/>
  <c r="I11" i="4"/>
  <c r="I22" i="4"/>
  <c r="I30" i="4"/>
  <c r="I41" i="4"/>
  <c r="I49" i="4"/>
  <c r="I58" i="4"/>
  <c r="I67" i="4"/>
  <c r="I54" i="4"/>
  <c r="I64" i="4"/>
  <c r="I7" i="4"/>
  <c r="I21" i="4"/>
  <c r="I29" i="4"/>
  <c r="I37" i="4"/>
  <c r="I45" i="4"/>
  <c r="J4" i="4"/>
  <c r="I4" i="4"/>
  <c r="L22" i="2"/>
  <c r="J87" i="5"/>
  <c r="K87" i="5" s="1"/>
  <c r="J83" i="5"/>
  <c r="K83" i="5" s="1"/>
  <c r="L75" i="5"/>
  <c r="K75" i="5"/>
  <c r="L77" i="5"/>
  <c r="K77" i="5"/>
  <c r="K76" i="5"/>
  <c r="K68" i="5"/>
  <c r="L68" i="5"/>
  <c r="L66" i="5"/>
  <c r="K66" i="5"/>
  <c r="L57" i="5"/>
  <c r="K57" i="5"/>
  <c r="L56" i="5"/>
  <c r="K56" i="5"/>
  <c r="L53" i="5"/>
  <c r="W91" i="5"/>
  <c r="AE91" i="5"/>
  <c r="AM91" i="5"/>
  <c r="AF91" i="5"/>
  <c r="AJ91" i="5"/>
  <c r="AR91" i="5"/>
  <c r="L21" i="5"/>
  <c r="L17" i="5"/>
  <c r="L18" i="5"/>
  <c r="L29" i="5"/>
  <c r="K29" i="5"/>
  <c r="K28" i="5"/>
  <c r="K27" i="5"/>
  <c r="L16" i="5"/>
  <c r="K6" i="5"/>
  <c r="L6" i="5"/>
  <c r="L14" i="5"/>
  <c r="K14" i="5"/>
  <c r="L9" i="5"/>
  <c r="K9" i="5"/>
  <c r="K12" i="5"/>
  <c r="L12" i="5"/>
  <c r="L5" i="5"/>
  <c r="K5" i="5"/>
  <c r="K11" i="5"/>
  <c r="K8" i="5"/>
  <c r="K7" i="5"/>
  <c r="K10" i="5"/>
  <c r="L15" i="5"/>
  <c r="L67" i="5"/>
  <c r="K67" i="5"/>
  <c r="J163" i="4"/>
  <c r="I163" i="4"/>
  <c r="J172" i="4"/>
  <c r="I172" i="4"/>
  <c r="I122" i="4"/>
  <c r="J122" i="4"/>
  <c r="J118" i="4"/>
  <c r="I118" i="4"/>
  <c r="J119" i="4"/>
  <c r="I119" i="4"/>
  <c r="J115" i="4"/>
  <c r="I114" i="4"/>
  <c r="I103" i="4"/>
  <c r="J101" i="4"/>
  <c r="I101" i="4"/>
  <c r="J89" i="4"/>
  <c r="I89" i="4"/>
  <c r="J94" i="4"/>
  <c r="I94" i="4"/>
  <c r="J88" i="4"/>
  <c r="I76" i="4"/>
  <c r="J121" i="4"/>
  <c r="I121" i="4"/>
  <c r="J130" i="4"/>
  <c r="I130" i="4"/>
  <c r="J132" i="4"/>
  <c r="I132" i="4"/>
  <c r="J154" i="4"/>
  <c r="I154" i="4"/>
  <c r="J112" i="4"/>
  <c r="I112" i="4"/>
  <c r="J116" i="4"/>
  <c r="I116" i="4"/>
  <c r="J124" i="4"/>
  <c r="I124" i="4"/>
  <c r="J144" i="4"/>
  <c r="I144" i="4"/>
  <c r="J96" i="4"/>
  <c r="I96" i="4"/>
  <c r="J133" i="4"/>
  <c r="I133" i="4"/>
  <c r="J135" i="4"/>
  <c r="I135" i="4"/>
  <c r="J159" i="4"/>
  <c r="I159" i="4"/>
  <c r="J75" i="4"/>
  <c r="I75" i="4"/>
  <c r="I106" i="4"/>
  <c r="J106" i="4"/>
  <c r="J113" i="4"/>
  <c r="I113" i="4"/>
  <c r="J117" i="4"/>
  <c r="I117" i="4"/>
  <c r="J170" i="4"/>
  <c r="I170" i="4"/>
  <c r="J78" i="4"/>
  <c r="I78" i="4"/>
  <c r="J87" i="4"/>
  <c r="I87" i="4"/>
  <c r="J92" i="4"/>
  <c r="I92" i="4"/>
  <c r="J110" i="4"/>
  <c r="I110" i="4"/>
  <c r="J131" i="4"/>
  <c r="I131" i="4"/>
  <c r="I160" i="4"/>
  <c r="J160" i="4"/>
  <c r="J167" i="4"/>
  <c r="I167" i="4"/>
  <c r="J84" i="4"/>
  <c r="I84" i="4"/>
  <c r="J99" i="4"/>
  <c r="I99" i="4"/>
  <c r="I127" i="4"/>
  <c r="J127" i="4"/>
  <c r="J139" i="4"/>
  <c r="I139" i="4"/>
  <c r="J147" i="4"/>
  <c r="I147" i="4"/>
  <c r="J157" i="4"/>
  <c r="I157" i="4"/>
  <c r="J174" i="4"/>
  <c r="I174" i="4"/>
  <c r="J97" i="4"/>
  <c r="I97" i="4"/>
  <c r="J129" i="4"/>
  <c r="I129" i="4"/>
  <c r="J137" i="4"/>
  <c r="I137" i="4"/>
  <c r="J153" i="4"/>
  <c r="I153" i="4"/>
  <c r="J168" i="4"/>
  <c r="I168" i="4"/>
  <c r="J85" i="4"/>
  <c r="I85" i="4"/>
  <c r="J100" i="4"/>
  <c r="I100" i="4"/>
  <c r="J102" i="4"/>
  <c r="I102" i="4"/>
  <c r="J104" i="4"/>
  <c r="I104" i="4"/>
  <c r="J143" i="4"/>
  <c r="I143" i="4"/>
  <c r="J148" i="4"/>
  <c r="I148" i="4"/>
  <c r="I164" i="4"/>
  <c r="J164" i="4"/>
  <c r="J77" i="4"/>
  <c r="J82" i="4"/>
  <c r="J86" i="4"/>
  <c r="J93" i="4"/>
  <c r="I90" i="4"/>
  <c r="I98" i="4"/>
  <c r="I111" i="4"/>
  <c r="I123" i="4"/>
  <c r="I134" i="4"/>
  <c r="I142" i="4"/>
  <c r="I146" i="4"/>
  <c r="I156" i="4"/>
  <c r="I169" i="4"/>
  <c r="I120" i="4"/>
  <c r="I145" i="4"/>
  <c r="I152" i="4"/>
  <c r="I165" i="4"/>
  <c r="I158" i="4"/>
  <c r="I162" i="4"/>
  <c r="I171" i="4"/>
  <c r="I128" i="4"/>
  <c r="I138" i="4"/>
  <c r="I141" i="4"/>
  <c r="J74" i="4"/>
  <c r="I74" i="4"/>
  <c r="L39" i="5"/>
  <c r="K39" i="5"/>
  <c r="K38" i="5"/>
  <c r="K43" i="5"/>
  <c r="K37" i="5"/>
  <c r="S91" i="5"/>
  <c r="AA91" i="5"/>
  <c r="AI91" i="5"/>
  <c r="AQ91" i="5"/>
  <c r="U91" i="5"/>
  <c r="AC91" i="5"/>
  <c r="AK91" i="5"/>
  <c r="AS91" i="5"/>
  <c r="K20" i="2"/>
  <c r="J80" i="5"/>
  <c r="N91" i="5"/>
  <c r="E26" i="2" l="1"/>
  <c r="M25" i="2"/>
  <c r="M15" i="2"/>
  <c r="N22" i="2"/>
  <c r="M22" i="2"/>
  <c r="J3" i="4"/>
  <c r="J89" i="5"/>
  <c r="L89" i="5" s="1"/>
  <c r="I28" i="2"/>
  <c r="K28" i="2" s="1"/>
  <c r="I3" i="4"/>
  <c r="L2" i="20"/>
  <c r="K33" i="5"/>
  <c r="J34" i="5"/>
  <c r="K23" i="2"/>
  <c r="J44" i="5"/>
  <c r="J78" i="5"/>
  <c r="K16" i="2"/>
  <c r="J31" i="5"/>
  <c r="H178" i="4"/>
  <c r="I73" i="4"/>
  <c r="G73" i="6"/>
  <c r="I73" i="6" s="1"/>
  <c r="I42" i="6"/>
  <c r="H42" i="6"/>
  <c r="H73" i="6" s="1"/>
  <c r="H39" i="6"/>
  <c r="K52" i="5"/>
  <c r="L20" i="2"/>
  <c r="M20" i="2" s="1"/>
  <c r="F17" i="2"/>
  <c r="N31" i="2"/>
  <c r="K11" i="20"/>
  <c r="G9" i="20"/>
  <c r="L18" i="2"/>
  <c r="L19" i="2"/>
  <c r="M19" i="2" s="1"/>
  <c r="L23" i="2"/>
  <c r="I83" i="4"/>
  <c r="L6" i="20"/>
  <c r="J83" i="4"/>
  <c r="J2" i="20"/>
  <c r="L7" i="20"/>
  <c r="L21" i="2"/>
  <c r="L9" i="20"/>
  <c r="L24" i="2"/>
  <c r="L8" i="20"/>
  <c r="L29" i="2"/>
  <c r="M29" i="2" s="1"/>
  <c r="L10" i="20"/>
  <c r="I3" i="20"/>
  <c r="J3" i="20"/>
  <c r="J73" i="4"/>
  <c r="H4" i="20"/>
  <c r="I5" i="20"/>
  <c r="J5" i="20"/>
  <c r="N36" i="2"/>
  <c r="L35" i="2"/>
  <c r="M35" i="2" s="1"/>
  <c r="L17" i="2"/>
  <c r="M17" i="2" s="1"/>
  <c r="I14" i="2"/>
  <c r="K14" i="2" s="1"/>
  <c r="H90" i="5"/>
  <c r="F70" i="4"/>
  <c r="G91" i="5"/>
  <c r="E16" i="2"/>
  <c r="H78" i="5"/>
  <c r="F91" i="5"/>
  <c r="F16" i="2"/>
  <c r="F13" i="2" s="1"/>
  <c r="N26" i="2"/>
  <c r="L20" i="5"/>
  <c r="L19" i="5"/>
  <c r="K4" i="5"/>
  <c r="K31" i="5" s="1"/>
  <c r="N30" i="2"/>
  <c r="K54" i="5"/>
  <c r="K36" i="5"/>
  <c r="AT90" i="5"/>
  <c r="J85" i="5"/>
  <c r="L85" i="5" s="1"/>
  <c r="L33" i="5"/>
  <c r="L27" i="2"/>
  <c r="M27" i="2" s="1"/>
  <c r="J48" i="5"/>
  <c r="K48" i="5" s="1"/>
  <c r="K5" i="2"/>
  <c r="H70" i="4"/>
  <c r="I91" i="5"/>
  <c r="N25" i="2"/>
  <c r="K15" i="2"/>
  <c r="AT49" i="5"/>
  <c r="K80" i="5"/>
  <c r="L80" i="5"/>
  <c r="J81" i="5"/>
  <c r="K89" i="5" l="1"/>
  <c r="E8" i="20"/>
  <c r="G8" i="20" s="1"/>
  <c r="M26" i="2"/>
  <c r="H9" i="20"/>
  <c r="J9" i="20" s="1"/>
  <c r="M21" i="2"/>
  <c r="N24" i="2"/>
  <c r="M24" i="2"/>
  <c r="N23" i="2"/>
  <c r="M23" i="2"/>
  <c r="L34" i="5"/>
  <c r="K34" i="5"/>
  <c r="J178" i="4"/>
  <c r="I178" i="4"/>
  <c r="J90" i="5"/>
  <c r="E18" i="2"/>
  <c r="E14" i="2" s="1"/>
  <c r="E13" i="2"/>
  <c r="N20" i="2"/>
  <c r="L28" i="2"/>
  <c r="N21" i="2"/>
  <c r="N19" i="2"/>
  <c r="L5" i="2"/>
  <c r="N5" i="2" s="1"/>
  <c r="L11" i="20"/>
  <c r="N29" i="2"/>
  <c r="H10" i="20"/>
  <c r="H8" i="20"/>
  <c r="L14" i="2"/>
  <c r="H7" i="20"/>
  <c r="I9" i="20"/>
  <c r="I4" i="20"/>
  <c r="J4" i="20"/>
  <c r="H6" i="20"/>
  <c r="N35" i="2"/>
  <c r="N17" i="2"/>
  <c r="L16" i="2"/>
  <c r="M16" i="2" s="1"/>
  <c r="I13" i="2"/>
  <c r="K13" i="2" s="1"/>
  <c r="H91" i="5"/>
  <c r="F18" i="2"/>
  <c r="F14" i="2" s="1"/>
  <c r="K85" i="5"/>
  <c r="AT91" i="5"/>
  <c r="L78" i="5"/>
  <c r="K78" i="5"/>
  <c r="N27" i="2"/>
  <c r="J49" i="5"/>
  <c r="L49" i="5" s="1"/>
  <c r="J70" i="4"/>
  <c r="I70" i="4"/>
  <c r="L31" i="5"/>
  <c r="K44" i="5"/>
  <c r="L44" i="5"/>
  <c r="K81" i="5"/>
  <c r="L81" i="5"/>
  <c r="M18" i="2" l="1"/>
  <c r="M14" i="2" s="1"/>
  <c r="N28" i="2"/>
  <c r="M28" i="2"/>
  <c r="N18" i="2"/>
  <c r="E7" i="20"/>
  <c r="E11" i="20" s="1"/>
  <c r="M7" i="2"/>
  <c r="M6" i="2" s="1"/>
  <c r="L6" i="2"/>
  <c r="N6" i="2" s="1"/>
  <c r="N7" i="2"/>
  <c r="M5" i="2"/>
  <c r="L13" i="2"/>
  <c r="N13" i="2" s="1"/>
  <c r="N14" i="2"/>
  <c r="F7" i="20"/>
  <c r="J7" i="20" s="1"/>
  <c r="H11" i="20"/>
  <c r="J8" i="20"/>
  <c r="I8" i="20"/>
  <c r="J10" i="20"/>
  <c r="I10" i="20"/>
  <c r="I6" i="20"/>
  <c r="J6" i="20"/>
  <c r="N16" i="2"/>
  <c r="K90" i="5"/>
  <c r="K49" i="5"/>
  <c r="L90" i="5"/>
  <c r="J91" i="5"/>
  <c r="L91" i="5" s="1"/>
  <c r="I7" i="20" l="1"/>
  <c r="M13" i="2"/>
  <c r="F11" i="20"/>
  <c r="G11" i="20" s="1"/>
  <c r="G7" i="20"/>
  <c r="I11" i="20"/>
  <c r="K91" i="5"/>
  <c r="J11" i="20" l="1"/>
  <c r="AR191" i="4"/>
  <c r="H191" i="4" s="1"/>
  <c r="AR189" i="4"/>
  <c r="I11" i="2" l="1"/>
  <c r="L11" i="2" s="1"/>
  <c r="J191" i="4"/>
  <c r="I191" i="4"/>
  <c r="H189" i="4"/>
  <c r="AR190" i="4"/>
  <c r="I6" i="2" l="1"/>
  <c r="K6" i="2" s="1"/>
  <c r="K11" i="2"/>
  <c r="J189" i="4"/>
  <c r="H190" i="4"/>
  <c r="I189" i="4"/>
  <c r="M11" i="2" l="1"/>
  <c r="N11" i="2"/>
  <c r="I190" i="4"/>
  <c r="J190" i="4"/>
</calcChain>
</file>

<file path=xl/sharedStrings.xml><?xml version="1.0" encoding="utf-8"?>
<sst xmlns="http://schemas.openxmlformats.org/spreadsheetml/2006/main" count="1779" uniqueCount="754">
  <si>
    <t>JSW VML BLAST FURNACE</t>
  </si>
  <si>
    <t>DAILY PROGRESS REPORT</t>
  </si>
  <si>
    <t>D.O.P</t>
  </si>
  <si>
    <t>03.07.2021</t>
  </si>
  <si>
    <t>SL.NO</t>
  </si>
  <si>
    <t>ACTIVITY DESCRIPTION</t>
  </si>
  <si>
    <t>UNIT</t>
  </si>
  <si>
    <t>EST.TOTAL SCOPE</t>
  </si>
  <si>
    <t>ACTUAL SCOPE</t>
  </si>
  <si>
    <t xml:space="preserve">DRAWINGS RECEIPT </t>
  </si>
  <si>
    <t>CUM.COMPLETED JUNE'21</t>
  </si>
  <si>
    <t>JULY ' 21</t>
  </si>
  <si>
    <t xml:space="preserve">CUMM. ACHIEVED </t>
  </si>
  <si>
    <t>CUMM.
BALANCE</t>
  </si>
  <si>
    <t>% OF CUMM.
ACHIEVED</t>
  </si>
  <si>
    <t>Remarks</t>
  </si>
  <si>
    <t>MONTH PLAN</t>
  </si>
  <si>
    <t>MONTH 
ACHIEVED</t>
  </si>
  <si>
    <t>DAY 
PLAN</t>
  </si>
  <si>
    <t>DAY 
ACHIEVED</t>
  </si>
  <si>
    <t>CIVIL</t>
  </si>
  <si>
    <t>i</t>
  </si>
  <si>
    <t>PILING</t>
  </si>
  <si>
    <t>NOS</t>
  </si>
  <si>
    <t>ii</t>
  </si>
  <si>
    <t>PILE CHIPPING</t>
  </si>
  <si>
    <t>iii</t>
  </si>
  <si>
    <t>RCC</t>
  </si>
  <si>
    <t>CUM</t>
  </si>
  <si>
    <t>STRUCUTRAL</t>
  </si>
  <si>
    <t>BUILDING STR FABRICATON</t>
  </si>
  <si>
    <t>MT</t>
  </si>
  <si>
    <r>
      <t xml:space="preserve">Request to </t>
    </r>
    <r>
      <rPr>
        <b/>
        <sz val="9"/>
        <color indexed="8"/>
        <rFont val="Calibri"/>
        <family val="2"/>
      </rPr>
      <t>Plan Fabrication</t>
    </r>
    <r>
      <rPr>
        <sz val="9"/>
        <color indexed="8"/>
        <rFont val="Calibri"/>
        <family val="2"/>
      </rPr>
      <t xml:space="preserve"> of </t>
    </r>
    <r>
      <rPr>
        <b/>
        <sz val="9"/>
        <color indexed="8"/>
        <rFont val="Calibri"/>
        <family val="2"/>
      </rPr>
      <t xml:space="preserve"> 750 MT</t>
    </r>
    <r>
      <rPr>
        <sz val="9"/>
        <color indexed="8"/>
        <rFont val="Calibri"/>
        <family val="2"/>
      </rPr>
      <t xml:space="preserve"> instead of </t>
    </r>
    <r>
      <rPr>
        <b/>
        <sz val="9"/>
        <color indexed="8"/>
        <rFont val="Calibri"/>
        <family val="2"/>
      </rPr>
      <t>150 MT</t>
    </r>
    <r>
      <rPr>
        <sz val="9"/>
        <color indexed="8"/>
        <rFont val="Calibri"/>
        <family val="2"/>
      </rPr>
      <t xml:space="preserve"> in Building Structures dtd 02.07.2021</t>
    </r>
  </si>
  <si>
    <t>BUILDING STR ERECTION</t>
  </si>
  <si>
    <t>TECH STR FABRICATON</t>
  </si>
  <si>
    <t xml:space="preserve">Furnace Shell rolling started </t>
  </si>
  <si>
    <t>iv</t>
  </si>
  <si>
    <t>TECH STR ERECTION</t>
  </si>
  <si>
    <t>EQUIPMENT RECEIPT</t>
  </si>
  <si>
    <t>EQUIPMENT ERECTION</t>
  </si>
  <si>
    <t>REFRACTORY ERECTION</t>
  </si>
  <si>
    <t>PIPING</t>
  </si>
  <si>
    <t>INCH-MTR</t>
  </si>
  <si>
    <t>CABLE TRAY</t>
  </si>
  <si>
    <t>KM</t>
  </si>
  <si>
    <t>CABLES</t>
  </si>
  <si>
    <t>PANELS</t>
  </si>
  <si>
    <t>TRANSFORMERS</t>
  </si>
  <si>
    <t>Project</t>
  </si>
  <si>
    <t>Blast Furnace</t>
  </si>
  <si>
    <t>Work Package:</t>
  </si>
  <si>
    <t>Civil</t>
  </si>
  <si>
    <t xml:space="preserve">Work Item: </t>
  </si>
  <si>
    <t>Piling</t>
  </si>
  <si>
    <t>Fixed Value</t>
  </si>
  <si>
    <t>&lt;value = Work Item Eg. 'PCC'. 'RCC'&gt;</t>
  </si>
  <si>
    <t>Data Date</t>
  </si>
  <si>
    <t>Column: C</t>
  </si>
  <si>
    <t>Start Row: 1</t>
  </si>
  <si>
    <t>End Row: 1</t>
  </si>
  <si>
    <t>Accepted Formats:</t>
  </si>
  <si>
    <t>"dd-MM-yyyy", "dd.MM.yyyy", "dd/MM/yyyy", "dd-MMM-yy", "=today()", "Progress Date: dd-mm-yyyy"</t>
  </si>
  <si>
    <t>Sheet Name</t>
  </si>
  <si>
    <t>Overall Progress</t>
  </si>
  <si>
    <t>DPR</t>
  </si>
  <si>
    <t>Plan Scope</t>
  </si>
  <si>
    <t>Column: E</t>
  </si>
  <si>
    <t>Start Row: 5</t>
  </si>
  <si>
    <t>End Row: 5</t>
  </si>
  <si>
    <t>Actual Scope</t>
  </si>
  <si>
    <t>Column: L</t>
  </si>
  <si>
    <t>Plan for the Month</t>
  </si>
  <si>
    <t>Column: H</t>
  </si>
  <si>
    <t>Actual for the Month</t>
  </si>
  <si>
    <t>Column: I</t>
  </si>
  <si>
    <t>Today</t>
  </si>
  <si>
    <t>Column: J</t>
  </si>
  <si>
    <t>DWG Available</t>
  </si>
  <si>
    <t>Column: F</t>
  </si>
  <si>
    <t>Start Row: 6</t>
  </si>
  <si>
    <t>End Row: 6</t>
  </si>
  <si>
    <t>Structural fabrication</t>
  </si>
  <si>
    <t>Start Row: 13</t>
  </si>
  <si>
    <t>End Row: 13</t>
  </si>
  <si>
    <t>Structural erection</t>
  </si>
  <si>
    <t>Start Row: 14</t>
  </si>
  <si>
    <t>End Row: 14</t>
  </si>
  <si>
    <t>Equipment supply</t>
  </si>
  <si>
    <t>Start Row: 35</t>
  </si>
  <si>
    <t>End Row: 35</t>
  </si>
  <si>
    <t>Equipment erection</t>
  </si>
  <si>
    <t>Start Row: 36</t>
  </si>
  <si>
    <t>End Row: 36</t>
  </si>
  <si>
    <t>Piping erection</t>
  </si>
  <si>
    <t>Start Row: 40</t>
  </si>
  <si>
    <t>End Row: 40</t>
  </si>
  <si>
    <t>Cable tray erection</t>
  </si>
  <si>
    <t>Start Row: 47</t>
  </si>
  <si>
    <t>End Row: 47</t>
  </si>
  <si>
    <t>Cable laying</t>
  </si>
  <si>
    <t>Start Row: 49</t>
  </si>
  <si>
    <t>End Row: 49</t>
  </si>
  <si>
    <t>Panel installation</t>
  </si>
  <si>
    <t>Start Row: 51</t>
  </si>
  <si>
    <t>End Row: 51</t>
  </si>
  <si>
    <t>Transformer installation</t>
  </si>
  <si>
    <t>Start Row: 53</t>
  </si>
  <si>
    <t>End Row: 53</t>
  </si>
  <si>
    <t>Agency</t>
  </si>
  <si>
    <t>TOTAL SCOPE</t>
  </si>
  <si>
    <t>CUM.COMPLETED AUG'22</t>
  </si>
  <si>
    <t>SEP' 22</t>
  </si>
  <si>
    <t>% ACHIEVED</t>
  </si>
  <si>
    <t>L&amp;T</t>
  </si>
  <si>
    <t>RCC +PCC</t>
  </si>
  <si>
    <t>PCC</t>
  </si>
  <si>
    <t>BMCPL</t>
  </si>
  <si>
    <t>v</t>
  </si>
  <si>
    <t>FORTUNE</t>
  </si>
  <si>
    <t>STRUCUTRAL FABRICATION</t>
  </si>
  <si>
    <t>STRUCUTRAL ERECTION</t>
  </si>
  <si>
    <t>BUILDING STR FAB</t>
  </si>
  <si>
    <t>TECH STR FAB</t>
  </si>
  <si>
    <t>BUILDING STR EREC</t>
  </si>
  <si>
    <t>TECH STR EREC</t>
  </si>
  <si>
    <t>DS Engg</t>
  </si>
  <si>
    <t>JSSL</t>
  </si>
  <si>
    <t>VREW</t>
  </si>
  <si>
    <t>SASEC</t>
  </si>
  <si>
    <t>REFRACTORY RECEIPT</t>
  </si>
  <si>
    <t>PIPING RECEIPT</t>
  </si>
  <si>
    <t>PIPING ERECTION</t>
  </si>
  <si>
    <t>WTP &amp; Utilities, SGP &amp; PCI</t>
  </si>
  <si>
    <t>HYD</t>
  </si>
  <si>
    <t>Outside Furnace WTP</t>
  </si>
  <si>
    <t>Outside Furnace utilities</t>
  </si>
  <si>
    <t>Blower &amp; TRT</t>
  </si>
  <si>
    <t>CABLE TRAY RECEIPT</t>
  </si>
  <si>
    <t>NA</t>
  </si>
  <si>
    <t>CABLE TRAY ERECTION</t>
  </si>
  <si>
    <t>CABLES RECEIPT</t>
  </si>
  <si>
    <t>CABLES ERECTION</t>
  </si>
  <si>
    <t>PANELS RECEIPT</t>
  </si>
  <si>
    <t>PANELS ERECTION</t>
  </si>
  <si>
    <t>TRANSFORMERS RECEIPT</t>
  </si>
  <si>
    <t>TRANSFORMERS ERECTION</t>
  </si>
  <si>
    <t>Man Power</t>
  </si>
  <si>
    <t>At Erection Site in nos</t>
  </si>
  <si>
    <t>At Fab Site in nos</t>
  </si>
  <si>
    <t>Total</t>
  </si>
  <si>
    <t>Civil Drawings Yet to receive from MECON</t>
  </si>
  <si>
    <t>Dates committed</t>
  </si>
  <si>
    <t>Major Structural Drawings yet to Receive</t>
  </si>
  <si>
    <t>Stock House DDS</t>
  </si>
  <si>
    <t>31.07.2022</t>
  </si>
  <si>
    <t>1. Stock House Conveyors and Junction Houses</t>
  </si>
  <si>
    <t>SFC01 BOQ Recived</t>
  </si>
  <si>
    <t>Balance IPPL</t>
  </si>
  <si>
    <t>15.07.2022</t>
  </si>
  <si>
    <t>Not started</t>
  </si>
  <si>
    <t>2. IPPL Structrures &amp; Ducting</t>
  </si>
  <si>
    <t>Stock House Conveyors &amp; Junction Houses</t>
  </si>
  <si>
    <t>Startted 19072022</t>
  </si>
  <si>
    <t>3. PCI &amp; CPP Incoming conveyor</t>
  </si>
  <si>
    <t>4. Weigh Hopper, discharge equipment support structures</t>
  </si>
  <si>
    <t>15.08.2022</t>
  </si>
  <si>
    <t>20.07.2022</t>
  </si>
  <si>
    <t>ETP (Thickner)</t>
  </si>
  <si>
    <t>TRT inlet and outlet google valves</t>
  </si>
  <si>
    <t>30.07.2022</t>
  </si>
  <si>
    <t>Plan</t>
  </si>
  <si>
    <t>Achieved</t>
  </si>
  <si>
    <t>Variance</t>
  </si>
  <si>
    <t>Nos</t>
  </si>
  <si>
    <t>CuM</t>
  </si>
  <si>
    <t>Structural Fab</t>
  </si>
  <si>
    <t>L&amp;T Scope</t>
  </si>
  <si>
    <t>DS Engg Scope</t>
  </si>
  <si>
    <t>JSSL Scope</t>
  </si>
  <si>
    <t>Other Agency</t>
  </si>
  <si>
    <t>Structural Erec</t>
  </si>
  <si>
    <t>Area</t>
  </si>
  <si>
    <t>Scope</t>
  </si>
  <si>
    <t>Drg Receipt</t>
  </si>
  <si>
    <t>Balance</t>
  </si>
  <si>
    <t>%</t>
  </si>
  <si>
    <t>Piling (Nos)</t>
  </si>
  <si>
    <t>RCC (CuM)</t>
  </si>
  <si>
    <t>Structural (MT)</t>
  </si>
  <si>
    <t>Equipment (MT)</t>
  </si>
  <si>
    <t>Piping (Inch-mtr)</t>
  </si>
  <si>
    <t>Refractory (MT)</t>
  </si>
  <si>
    <t>Progress</t>
  </si>
  <si>
    <t>Structural Fab(MT)</t>
  </si>
  <si>
    <t>Structural Erec(MT)</t>
  </si>
  <si>
    <t>PLAN FOR THE MONTH Apr' 2022</t>
  </si>
  <si>
    <t>400Nos</t>
  </si>
  <si>
    <t>Sl.No</t>
  </si>
  <si>
    <t>RCC Qty in CuM</t>
  </si>
  <si>
    <t>SGP Cooling Tower (East &amp; West)</t>
  </si>
  <si>
    <t>ECR-1</t>
  </si>
  <si>
    <t>ECR-2,4 , 5 &amp; 6</t>
  </si>
  <si>
    <t>PCI Building including Mill Foundation</t>
  </si>
  <si>
    <t>Slag Granulation Plant INBA (East &amp; West ) Dewatering Area</t>
  </si>
  <si>
    <t>Torpedo Laddle Repair Shop</t>
  </si>
  <si>
    <t>Recirculation Pump House incl. soft water tank</t>
  </si>
  <si>
    <t>TRT including foundation</t>
  </si>
  <si>
    <t>Stove Housing</t>
  </si>
  <si>
    <t>Main Charging Conveyor</t>
  </si>
  <si>
    <t>Fines Building</t>
  </si>
  <si>
    <t>Dry Slag Pit (East &amp; West)</t>
  </si>
  <si>
    <t>Cast House Ramp</t>
  </si>
  <si>
    <t>INBA East Dewatering Tank area fdn. For conveyor structure</t>
  </si>
  <si>
    <t>WHRS - Ducting outside stove building ( Waste Gas Heat Recovery System)</t>
  </si>
  <si>
    <t>Blower House (Turbo blower main raft)</t>
  </si>
  <si>
    <t>GCP &amp; TB Pump House &amp; TBS ECR Electrical Sub-Station</t>
  </si>
  <si>
    <t>Interplant Pipeline from GCP to TRT</t>
  </si>
  <si>
    <t>Fabrication &amp; Erection Plan for Mar'22</t>
  </si>
  <si>
    <t>Building Structure</t>
  </si>
  <si>
    <t>Fabrication Qty in MT</t>
  </si>
  <si>
    <t>Erection Qty in MT</t>
  </si>
  <si>
    <t>Furnace Tower</t>
  </si>
  <si>
    <t>Stock House</t>
  </si>
  <si>
    <t>CPP</t>
  </si>
  <si>
    <t>Outsourced str supply</t>
  </si>
  <si>
    <t>Total (A)</t>
  </si>
  <si>
    <t>Technological Structure</t>
  </si>
  <si>
    <t>BF Shell</t>
  </si>
  <si>
    <t>Stove Shell</t>
  </si>
  <si>
    <t>Stock House Tech Structure</t>
  </si>
  <si>
    <t>Axial Cyclone &amp; GCP</t>
  </si>
  <si>
    <t>Total (B)</t>
  </si>
  <si>
    <t>Grand Total (A+B)</t>
  </si>
  <si>
    <t>PILING PROGRESS IN Nos</t>
  </si>
  <si>
    <t>SI. No.</t>
  </si>
  <si>
    <t>Name Of Structure</t>
  </si>
  <si>
    <t>Scope in Nos</t>
  </si>
  <si>
    <t>Drawings receipt as on date</t>
  </si>
  <si>
    <t>Balance drawings yet to be recive</t>
  </si>
  <si>
    <t>Up to Aug-22</t>
  </si>
  <si>
    <t>Cumm As on Sep' 22</t>
  </si>
  <si>
    <t>Balance qty</t>
  </si>
  <si>
    <t>% of Execution</t>
  </si>
  <si>
    <t>TOTAL PLAN</t>
  </si>
  <si>
    <t>TOTAL ACHIEVED</t>
  </si>
  <si>
    <t>BF Proper</t>
  </si>
  <si>
    <t>Blast furnace proper (incl 9 test piles)</t>
  </si>
  <si>
    <t>Elevator</t>
  </si>
  <si>
    <t>South Side Stair Case</t>
  </si>
  <si>
    <t>Cast House</t>
  </si>
  <si>
    <t xml:space="preserve">Cast house </t>
  </si>
  <si>
    <t>Ramp east side</t>
  </si>
  <si>
    <t>Ramp west side</t>
  </si>
  <si>
    <t>ECR 01 Ramp</t>
  </si>
  <si>
    <t>Dedusting System</t>
  </si>
  <si>
    <t>Cast House dedusting duct support</t>
  </si>
  <si>
    <t>Cast House dedusting E&amp;W</t>
  </si>
  <si>
    <t>CH DDS Stack ID Fan &amp; Duct support (E&amp;W)</t>
  </si>
  <si>
    <t>Stock House bag filter house 1</t>
  </si>
  <si>
    <t>Stock House bag filter house 2</t>
  </si>
  <si>
    <t>SH DDS 1 &amp; 2 ID Fan &amp; Chimney</t>
  </si>
  <si>
    <t>Slag Pit</t>
  </si>
  <si>
    <t>East side dry slag pit</t>
  </si>
  <si>
    <t>West side dry slag pit</t>
  </si>
  <si>
    <t>Stoves</t>
  </si>
  <si>
    <t>Stove Proper</t>
  </si>
  <si>
    <t>Waste Gas Chimney</t>
  </si>
  <si>
    <t>WHRS</t>
  </si>
  <si>
    <t>CA Fan</t>
  </si>
  <si>
    <t>GCP</t>
  </si>
  <si>
    <t xml:space="preserve">Cyclone, </t>
  </si>
  <si>
    <t>Scrubber, Demister</t>
  </si>
  <si>
    <t>Goggle Valve Platform</t>
  </si>
  <si>
    <t>SGP</t>
  </si>
  <si>
    <t>SGP inba (e) Condensation tower</t>
  </si>
  <si>
    <t>SGP cooling tower INBA (e)</t>
  </si>
  <si>
    <t>SGP inba (W) Condensation tower</t>
  </si>
  <si>
    <t>SGP cooling tower inba (w)</t>
  </si>
  <si>
    <t>CPP Building</t>
  </si>
  <si>
    <t>CPP Mill Foundation</t>
  </si>
  <si>
    <t>CPP - CA fan &amp; HGG</t>
  </si>
  <si>
    <t>CPP - Booster Station</t>
  </si>
  <si>
    <t>CPP - Nitorgen Vessels</t>
  </si>
  <si>
    <t>CPP - Nitrogen Tank</t>
  </si>
  <si>
    <t>CPP - Booster Fan</t>
  </si>
  <si>
    <t>CPP - ID Fans</t>
  </si>
  <si>
    <t>WTP</t>
  </si>
  <si>
    <t>Overhead water tank</t>
  </si>
  <si>
    <t>GCP  TBS Pump House &amp; TBS ECR Building</t>
  </si>
  <si>
    <t>GCP Cooling Tower</t>
  </si>
  <si>
    <t>TB, TRT, PCI &amp; Aircompressor Cooling Tower</t>
  </si>
  <si>
    <t>Thickner</t>
  </si>
  <si>
    <t>Stock House &amp; MCC</t>
  </si>
  <si>
    <t>Stock house building</t>
  </si>
  <si>
    <t xml:space="preserve">Surge Hopper building </t>
  </si>
  <si>
    <t>Drive House</t>
  </si>
  <si>
    <t>Screening Building</t>
  </si>
  <si>
    <t>Main charging conveyor</t>
  </si>
  <si>
    <t>Stock House Conveyors (SFC01 &amp; CFC)</t>
  </si>
  <si>
    <t>E&amp;I</t>
  </si>
  <si>
    <t>Main control room ECR - 1</t>
  </si>
  <si>
    <t>Pump house ECR-2</t>
  </si>
  <si>
    <t>Main htss &amp; stock house ECR - 3</t>
  </si>
  <si>
    <t>GCP ECR-4</t>
  </si>
  <si>
    <t>SGP East ECR - 5</t>
  </si>
  <si>
    <t>SGP West ECR - 6</t>
  </si>
  <si>
    <t>RMHS ECR</t>
  </si>
  <si>
    <t>Chiller Plant</t>
  </si>
  <si>
    <t>TRT</t>
  </si>
  <si>
    <t>TRT Proper</t>
  </si>
  <si>
    <t>TRT Building</t>
  </si>
  <si>
    <t>Blower House</t>
  </si>
  <si>
    <t>Blower Proper</t>
  </si>
  <si>
    <t>Blower building</t>
  </si>
  <si>
    <t>Disel Engine Turbo Blower</t>
  </si>
  <si>
    <t>Suction Filter</t>
  </si>
  <si>
    <t>IPPL</t>
  </si>
  <si>
    <t>Zone1 GVP to TRT</t>
  </si>
  <si>
    <t>Zone2 Pump House to BF Proper</t>
  </si>
  <si>
    <t>Zone3 TRT to Flare Stack</t>
  </si>
  <si>
    <t>Balance Zones</t>
  </si>
  <si>
    <t>Flare Stack</t>
  </si>
  <si>
    <t xml:space="preserve">Additional Piles </t>
  </si>
  <si>
    <t>Additional Piles based on site condition</t>
  </si>
  <si>
    <t>TOTAL</t>
  </si>
  <si>
    <t>RCC PROGRESS IN CuM</t>
  </si>
  <si>
    <t>Scope in CuM</t>
  </si>
  <si>
    <t>Furnace</t>
  </si>
  <si>
    <t>BF Proper Main Foundation &amp; Furnace Tower</t>
  </si>
  <si>
    <t>Elevator Tower</t>
  </si>
  <si>
    <t>Cast house Foundations</t>
  </si>
  <si>
    <t>Cast House south side stair case</t>
  </si>
  <si>
    <t>Ramp East side</t>
  </si>
  <si>
    <t>Ramp West side</t>
  </si>
  <si>
    <t>Control Room Ramp</t>
  </si>
  <si>
    <t>CH Hydraulic Room North Side</t>
  </si>
  <si>
    <t>CH Floor</t>
  </si>
  <si>
    <t>Trough Cooling Fan</t>
  </si>
  <si>
    <t>Stock House Proper</t>
  </si>
  <si>
    <t>Stock House MCC</t>
  </si>
  <si>
    <t>Gathering Conveyors</t>
  </si>
  <si>
    <t>Fines Conveyors &amp; Junction Houses</t>
  </si>
  <si>
    <t>Hydrauic Room</t>
  </si>
  <si>
    <t>Cyclone, GCP &amp; Gas Network</t>
  </si>
  <si>
    <t>Scrubber &amp; Demister</t>
  </si>
  <si>
    <t>Google Valve Platform</t>
  </si>
  <si>
    <t>Dust Conveying System</t>
  </si>
  <si>
    <t>Hot Blast Stoves</t>
  </si>
  <si>
    <t>Hydraulic &amp; Analyser Room</t>
  </si>
  <si>
    <t>WTP &amp; Utilities</t>
  </si>
  <si>
    <t>Recirculating water Pump House</t>
  </si>
  <si>
    <t>Soft Water Tank</t>
  </si>
  <si>
    <t>Soft Water Plant</t>
  </si>
  <si>
    <t>GCP, TB &amp; TRT pump house with ECR &amp; GCP Recirculation Pumps</t>
  </si>
  <si>
    <t>Sludge storage Tank</t>
  </si>
  <si>
    <t>Flash Mixer</t>
  </si>
  <si>
    <t>FRP Cooling Tower</t>
  </si>
  <si>
    <t>Pump Foundations + Flooring</t>
  </si>
  <si>
    <t>AVGF</t>
  </si>
  <si>
    <t>SGP East - Drum &amp; Hot Water Tank</t>
  </si>
  <si>
    <t>SGP West - Drum &amp; Hot Water Tank</t>
  </si>
  <si>
    <t>SGP East Cooling Tower</t>
  </si>
  <si>
    <t>SGP West Cooling Tower</t>
  </si>
  <si>
    <t>SGP East Condensation Tower</t>
  </si>
  <si>
    <t>SGP West Condensation Tower</t>
  </si>
  <si>
    <t>Dry Slag Pit(east)</t>
  </si>
  <si>
    <t>Dry Slag Pit(west)</t>
  </si>
  <si>
    <t>Conveyor to 1st Tower - East</t>
  </si>
  <si>
    <t>Conveyor to 1st Tower - West</t>
  </si>
  <si>
    <t>Dry Slap Pit Pump House - East</t>
  </si>
  <si>
    <t>Dry Slap Pit Pump House - West</t>
  </si>
  <si>
    <t>INBA East Pipe Rack</t>
  </si>
  <si>
    <t>INBA West Pipe Rack</t>
  </si>
  <si>
    <t>ECR-2</t>
  </si>
  <si>
    <t>ECR-3</t>
  </si>
  <si>
    <t>ECR-4</t>
  </si>
  <si>
    <t>ECR-5</t>
  </si>
  <si>
    <t>ECR-6</t>
  </si>
  <si>
    <t>Other Cable bridges connectivity to ECRs &amp; Cable Bridge cast house to SGP</t>
  </si>
  <si>
    <t>Transformers</t>
  </si>
  <si>
    <t>TLRS</t>
  </si>
  <si>
    <t>TLRS Building &amp; TLRS Office &amp; Store</t>
  </si>
  <si>
    <t>TLRS Track Foundation &amp; Floor</t>
  </si>
  <si>
    <t>PCI &amp; CPP</t>
  </si>
  <si>
    <t>CPP mill Foundation</t>
  </si>
  <si>
    <t>PCI &amp; CPP building Floor Drawing</t>
  </si>
  <si>
    <t>CPP Booster Fan</t>
  </si>
  <si>
    <t>CPP Booster Station</t>
  </si>
  <si>
    <t>HGG 1 &amp; 2</t>
  </si>
  <si>
    <t>Nitrogen vessels &amp; storage tank</t>
  </si>
  <si>
    <t>ID Fans</t>
  </si>
  <si>
    <t>PCI Injection Vessels Supports</t>
  </si>
  <si>
    <t>PCI Lift Pit</t>
  </si>
  <si>
    <t>MCC Room Slab</t>
  </si>
  <si>
    <t>Incoming coal conveying Line</t>
  </si>
  <si>
    <t>CPP to Distributor Coal conveying Line</t>
  </si>
  <si>
    <t>TRT Inlet Ducts &amp; Google Valves</t>
  </si>
  <si>
    <t>TRT 0mtr Floor</t>
  </si>
  <si>
    <t>Blower Building</t>
  </si>
  <si>
    <t xml:space="preserve">IPPL/ CABLING Bridge (Zone Wise)                                                            </t>
  </si>
  <si>
    <t>From GCP to TRT</t>
  </si>
  <si>
    <t>Pump House to BF Proper</t>
  </si>
  <si>
    <t>IPPL Near TRT Station</t>
  </si>
  <si>
    <t>Cast House DDS East</t>
  </si>
  <si>
    <t>Cast House DDS West</t>
  </si>
  <si>
    <t>Bag House Building Floor E &amp; W</t>
  </si>
  <si>
    <t>STACK LAYOUT + Duct Support</t>
  </si>
  <si>
    <t>ID FAN FOUNDATION</t>
  </si>
  <si>
    <t>SH DE SYSTEM INC. STACK DES - 1</t>
  </si>
  <si>
    <t>SH DE SYSTEM INC. STACK DES - 2</t>
  </si>
  <si>
    <t>STACK LAYOUT</t>
  </si>
  <si>
    <t>Duct Support</t>
  </si>
  <si>
    <t>Hydraulics</t>
  </si>
  <si>
    <t>Oil filling station GCP</t>
  </si>
  <si>
    <t>Air Compressor</t>
  </si>
  <si>
    <t>Building</t>
  </si>
  <si>
    <t>Others</t>
  </si>
  <si>
    <t>Main Project Office</t>
  </si>
  <si>
    <t>ECR3 Grid AE/1-14</t>
  </si>
  <si>
    <t>Transformer Grid A-E/3-14</t>
  </si>
  <si>
    <t>RMHS Transformer</t>
  </si>
  <si>
    <t>Canteen</t>
  </si>
  <si>
    <t>Substation</t>
  </si>
  <si>
    <t>Fortune</t>
  </si>
  <si>
    <t>TRT Cooling Tower</t>
  </si>
  <si>
    <t>Shwetha Const</t>
  </si>
  <si>
    <t>ECR - 6</t>
  </si>
  <si>
    <t>BF#6 &amp; HSM3</t>
  </si>
  <si>
    <t>Interface &amp; retaining wall</t>
  </si>
  <si>
    <t>ecr4</t>
  </si>
  <si>
    <t>DSP sump west</t>
  </si>
  <si>
    <t>whrs</t>
  </si>
  <si>
    <t>DSP sump east</t>
  </si>
  <si>
    <t>blower house</t>
  </si>
  <si>
    <t>Fab</t>
  </si>
  <si>
    <t xml:space="preserve">Uptabke </t>
  </si>
  <si>
    <t>WGM</t>
  </si>
  <si>
    <t>SGP tech</t>
  </si>
  <si>
    <t>BLD</t>
  </si>
  <si>
    <t>Furnace tower</t>
  </si>
  <si>
    <t>ch</t>
  </si>
  <si>
    <t>sh</t>
  </si>
  <si>
    <t>mcc</t>
  </si>
  <si>
    <t>Erec</t>
  </si>
  <si>
    <t>Stove nozzle</t>
  </si>
  <si>
    <t>CH</t>
  </si>
  <si>
    <t>Staves</t>
  </si>
  <si>
    <t>BUILDING STRUCTURE FABRICATION PROGRESS IN MT</t>
  </si>
  <si>
    <t>Est. Scope</t>
  </si>
  <si>
    <t>Scope in MT</t>
  </si>
  <si>
    <t>BOQ Received</t>
  </si>
  <si>
    <t>Up to Aug'22</t>
  </si>
  <si>
    <t>Cumm As on Sep'22</t>
  </si>
  <si>
    <t xml:space="preserve">Furnace Tower </t>
  </si>
  <si>
    <t>Lower Tower</t>
  </si>
  <si>
    <t>Middle Tower</t>
  </si>
  <si>
    <t>Upper Tower</t>
  </si>
  <si>
    <t>Fixed &amp; Movable Platform</t>
  </si>
  <si>
    <t>Tuyere Platform</t>
  </si>
  <si>
    <t>Road ramp to Cast House</t>
  </si>
  <si>
    <t xml:space="preserve">Stove Housing </t>
  </si>
  <si>
    <t>WGM Chimney</t>
  </si>
  <si>
    <t>WHRS structures</t>
  </si>
  <si>
    <t>Stock house proper</t>
  </si>
  <si>
    <t xml:space="preserve">Fines building </t>
  </si>
  <si>
    <t>MCC Conveyor</t>
  </si>
  <si>
    <t>Drive house</t>
  </si>
  <si>
    <t>Surge hopper station</t>
  </si>
  <si>
    <t>Screening building</t>
  </si>
  <si>
    <t>Conveyors trestles and Galleries</t>
  </si>
  <si>
    <t>Cyclone Structure</t>
  </si>
  <si>
    <t>Scrubber Structures</t>
  </si>
  <si>
    <t>Flare Stack Structures</t>
  </si>
  <si>
    <t>Crude Gas Main Structure &amp; Clean Gas Main</t>
  </si>
  <si>
    <t>SGP Structures ( East &amp; West)</t>
  </si>
  <si>
    <t>CH DDS</t>
  </si>
  <si>
    <t>SH DDS</t>
  </si>
  <si>
    <t>WTP - OHT</t>
  </si>
  <si>
    <t>CPP/PCI Building</t>
  </si>
  <si>
    <t>BF Circulating water and Firefighting pump house</t>
  </si>
  <si>
    <t>Pipe bridge from BF pump house to furnace tower</t>
  </si>
  <si>
    <t>Compressor Building</t>
  </si>
  <si>
    <t>Cable Bridges</t>
  </si>
  <si>
    <t>TLRS Building</t>
  </si>
  <si>
    <t>Total (C)</t>
  </si>
  <si>
    <t>SAI BALAJI</t>
  </si>
  <si>
    <t xml:space="preserve">Cast House Dedusting </t>
  </si>
  <si>
    <t>Stock House Dedusting</t>
  </si>
  <si>
    <t>Total(D)</t>
  </si>
  <si>
    <t>TOTAL (A+B+C+D)</t>
  </si>
  <si>
    <t>TECHNOLOGICAL STRUCTURE FABRICATION PROGRESS IN MT</t>
  </si>
  <si>
    <t>BF Shell Plates (ASTM 516 GR 70)</t>
  </si>
  <si>
    <t>Bustle Main(ASTM 516 GR 70)</t>
  </si>
  <si>
    <t>Top Gas Piping(UTDC)</t>
  </si>
  <si>
    <t>Cast house Runners &amp; Runner Cover</t>
  </si>
  <si>
    <t>Trough Cooling fan  Duct</t>
  </si>
  <si>
    <t>Stove Shell (16Mo3/WELACC)</t>
  </si>
  <si>
    <t>Hot Blast Main (ASTM 516 GR 70)</t>
  </si>
  <si>
    <t>Combustion Gas Main in HB Stoves</t>
  </si>
  <si>
    <t>Combustion Air Main in HB Stove</t>
  </si>
  <si>
    <t>BF GAS MAIN (STOVES) Mixing chamber</t>
  </si>
  <si>
    <t>Waste Gas Main</t>
  </si>
  <si>
    <t>Cold Blast Main (ASTM 516 GR 70)</t>
  </si>
  <si>
    <t>Backdraft Chimney</t>
  </si>
  <si>
    <t>Material handling System</t>
  </si>
  <si>
    <t>MS Technological structures (weigh hoppers, discharge chutes, including sail hard liner installation etc.)</t>
  </si>
  <si>
    <t>Cyclone Shell (ASTM 516 GR 70)</t>
  </si>
  <si>
    <t>GCP Scrubber, Demister &amp; Quick dump tank</t>
  </si>
  <si>
    <t>Crude Gas Main</t>
  </si>
  <si>
    <t>Semi Clean Gas Line</t>
  </si>
  <si>
    <t>Clean Gas Main Duct</t>
  </si>
  <si>
    <t xml:space="preserve">Flare Stack </t>
  </si>
  <si>
    <t>SGP (E&amp;W)Condensating Tower, Buffer tank,etc</t>
  </si>
  <si>
    <t>Total (E)</t>
  </si>
  <si>
    <t>PCI &amp; CPP Technological Structures</t>
  </si>
  <si>
    <t>Total (F)</t>
  </si>
  <si>
    <t>BF Gas IPPL</t>
  </si>
  <si>
    <t>Cold blast IPPL(ASTM 516 GR 70)</t>
  </si>
  <si>
    <t>Total (G)</t>
  </si>
  <si>
    <t>Cast House dedusting Duct Work</t>
  </si>
  <si>
    <t>Stock House Dedusting Duct work</t>
  </si>
  <si>
    <t>Total(H)</t>
  </si>
  <si>
    <t>TOTAL (E+F+G+H)</t>
  </si>
  <si>
    <t>Grand Total</t>
  </si>
  <si>
    <t>BUILDING STRUCTURE ERECTION PROGRESS IN MT</t>
  </si>
  <si>
    <t>Cumm As on Sep-22</t>
  </si>
  <si>
    <t>Crude Gas Main Structure&amp; Clean Gas Main</t>
  </si>
  <si>
    <t>TECHNOLOGICAL STRUCTURE ERECTION PROGRESS IN MT</t>
  </si>
  <si>
    <t>Est Scope in MT</t>
  </si>
  <si>
    <t>Name of Structure</t>
  </si>
  <si>
    <t>Drgs received</t>
  </si>
  <si>
    <t>Drawing Balance Qty</t>
  </si>
  <si>
    <t>Eqpt Receipt up to Aug'22</t>
  </si>
  <si>
    <t>Equipment Receipt Sep'22</t>
  </si>
  <si>
    <t>Cumm Eqpt Receipt</t>
  </si>
  <si>
    <t>Execution Up to Aug-22</t>
  </si>
  <si>
    <t>Equipment Erection Sep'22</t>
  </si>
  <si>
    <t>Execution Cumm As on Sep-22</t>
  </si>
  <si>
    <t>Execution Balance qty</t>
  </si>
  <si>
    <t>Actual</t>
  </si>
  <si>
    <t>Blast Furnace &amp; BLT</t>
  </si>
  <si>
    <t>Cast House &amp; Ramps</t>
  </si>
  <si>
    <t>Slag Granulation Plant</t>
  </si>
  <si>
    <t>Cranes &amp; Hoists</t>
  </si>
  <si>
    <t>Blower House &amp; Compressor House</t>
  </si>
  <si>
    <t>WTP &amp; Utility</t>
  </si>
  <si>
    <t>De-dusting Systems (CH)</t>
  </si>
  <si>
    <t>TLRS Building (Torpedo ladle &amp; Burners)</t>
  </si>
  <si>
    <t>Hydraulics Equipment</t>
  </si>
  <si>
    <t>De-Dusting System (SH)</t>
  </si>
  <si>
    <t>PIPING ERECTION PROGRESS IN MT</t>
  </si>
  <si>
    <t>Receipt Up to May-22</t>
  </si>
  <si>
    <t xml:space="preserve"> Cumm Receipt As on June-22</t>
  </si>
  <si>
    <t>Cumm Receipt As on Aug'22</t>
  </si>
  <si>
    <t>Piping Receipt Sep'22</t>
  </si>
  <si>
    <t>Cumm Receipt As on Sep'22</t>
  </si>
  <si>
    <t>Piping Execution Sep'22</t>
  </si>
  <si>
    <t>Furnace Proper/BLT/ cast house</t>
  </si>
  <si>
    <t>Under Hearth Cooling Pipe, Radius Pipes, Rigid Pipes, Isometric Transmittal T 255, Isometric 271, Isometric 272, Isometric 274. Isometric 275, Isometric 277, Isometric 279, Isometric 280, Isometric 287, Isometric T286</t>
  </si>
  <si>
    <t>Gas Cleaning Plant &amp; TRT</t>
  </si>
  <si>
    <t>Make-up water &amp; Fire water</t>
  </si>
  <si>
    <t>WTP Pump House</t>
  </si>
  <si>
    <t>Drawings received from MECON - 18th June 2022</t>
  </si>
  <si>
    <t>Emergency overhead tank</t>
  </si>
  <si>
    <t>Utilities</t>
  </si>
  <si>
    <t>Inter plant utility pipeline</t>
  </si>
  <si>
    <t>Trough Cooling system</t>
  </si>
  <si>
    <t>Isometric drawings</t>
  </si>
  <si>
    <t>Blower, TRT &amp; Air Compressor</t>
  </si>
  <si>
    <t>Hydraulics &amp; Lubrication</t>
  </si>
  <si>
    <t>BLT</t>
  </si>
  <si>
    <t>Gas Cleaning Plant</t>
  </si>
  <si>
    <t>PCI</t>
  </si>
  <si>
    <t>Blower</t>
  </si>
  <si>
    <t>Central Filling station</t>
  </si>
  <si>
    <t>Grand Totoal</t>
  </si>
  <si>
    <t>Structural</t>
  </si>
  <si>
    <t>Equipment in MT</t>
  </si>
  <si>
    <t>Piping in Inch-Mtr</t>
  </si>
  <si>
    <t>Piling in Nos</t>
  </si>
  <si>
    <t>RCC in Cum</t>
  </si>
  <si>
    <t>Fab in MT</t>
  </si>
  <si>
    <t>Erec in MT</t>
  </si>
  <si>
    <t>Est Scope</t>
  </si>
  <si>
    <t>Executed</t>
  </si>
  <si>
    <t>CH Proper</t>
  </si>
  <si>
    <r>
      <t> </t>
    </r>
    <r>
      <rPr>
        <sz val="13"/>
        <color rgb="FF000000"/>
        <rFont val="Verdana"/>
        <family val="2"/>
      </rPr>
      <t>8100</t>
    </r>
  </si>
  <si>
    <t>Slag Granulation Plant &amp; Cranes</t>
  </si>
  <si>
    <r>
      <t> </t>
    </r>
    <r>
      <rPr>
        <sz val="13"/>
        <color rgb="FF000000"/>
        <rFont val="Verdana"/>
        <family val="2"/>
      </rPr>
      <t>35000</t>
    </r>
  </si>
  <si>
    <t>Cyclone &amp; GCP</t>
  </si>
  <si>
    <t>Gas Network lines</t>
  </si>
  <si>
    <t>De-dusting Systems (CH&amp;SH)</t>
  </si>
  <si>
    <t>No Piles</t>
  </si>
  <si>
    <t>Miscellaneous</t>
  </si>
  <si>
    <r>
      <t> </t>
    </r>
    <r>
      <rPr>
        <sz val="13"/>
        <color rgb="FF000000"/>
        <rFont val="Verdana"/>
        <family val="2"/>
      </rPr>
      <t>300</t>
    </r>
  </si>
  <si>
    <t> 0</t>
  </si>
  <si>
    <t>Drawing Receipt in MT</t>
  </si>
  <si>
    <t>Receipt (MT) Sep'22</t>
  </si>
  <si>
    <t>Cumm Refractory Receipt MT</t>
  </si>
  <si>
    <t>Execution Completed Up to July-22</t>
  </si>
  <si>
    <t>Erection Plan Aug'22</t>
  </si>
  <si>
    <t>Cumm As on Aug' 22</t>
  </si>
  <si>
    <t>Furnace Proper area</t>
  </si>
  <si>
    <t xml:space="preserve">Hot Blast system </t>
  </si>
  <si>
    <t>S.No</t>
  </si>
  <si>
    <t>Dwg Issued</t>
  </si>
  <si>
    <t>% Dwg Issued</t>
  </si>
  <si>
    <t>Work Done</t>
  </si>
  <si>
    <t>% wrt Scope</t>
  </si>
  <si>
    <t>% wrt Dwg issued</t>
  </si>
  <si>
    <t xml:space="preserve">Plan </t>
  </si>
  <si>
    <t xml:space="preserve">Actual </t>
  </si>
  <si>
    <t>FTD</t>
  </si>
  <si>
    <t xml:space="preserve">Furnace </t>
  </si>
  <si>
    <t>Structural Erection</t>
  </si>
  <si>
    <t>DSE</t>
  </si>
  <si>
    <t>Equipment</t>
  </si>
  <si>
    <t>Receipt</t>
  </si>
  <si>
    <t>Erection</t>
  </si>
  <si>
    <t>Refractory</t>
  </si>
  <si>
    <t>Piping Erection</t>
  </si>
  <si>
    <t>Inch-m</t>
  </si>
  <si>
    <t>Electrical</t>
  </si>
  <si>
    <t>Cable Tray</t>
  </si>
  <si>
    <t>Cables</t>
  </si>
  <si>
    <t>Panels</t>
  </si>
  <si>
    <t> 8100</t>
  </si>
  <si>
    <t> 35000</t>
  </si>
  <si>
    <t> 300</t>
  </si>
  <si>
    <t>Up to Dec-21</t>
  </si>
  <si>
    <t>Cumm As on Jan-22</t>
  </si>
  <si>
    <t xml:space="preserve"> WHRS structures</t>
  </si>
  <si>
    <t>Surge Hopper Building</t>
  </si>
  <si>
    <t>MCC</t>
  </si>
  <si>
    <t>Crude Gas Main Structure</t>
  </si>
  <si>
    <t>Clean Gas Main</t>
  </si>
  <si>
    <t>SGP East</t>
  </si>
  <si>
    <t>SGP West</t>
  </si>
  <si>
    <t>BF Circulating water and Firefighting pump house &amp; OHT</t>
  </si>
  <si>
    <t>SGP Pump house</t>
  </si>
  <si>
    <t>Electrical Rooms</t>
  </si>
  <si>
    <t>Mixed Gas Main in HB Stoves</t>
  </si>
  <si>
    <t>BF GAS MAIN (STOVES)</t>
  </si>
  <si>
    <t>Waste Heat Recovery System Duct Work</t>
  </si>
  <si>
    <t>Scrubber GCP</t>
  </si>
  <si>
    <t>Demister</t>
  </si>
  <si>
    <t>SGP Ducting</t>
  </si>
  <si>
    <t>Middle Tower - 30.10.2021</t>
  </si>
  <si>
    <t>JVML TECHNOGICAL STRUCTURE OCT'21 PROGRESS</t>
  </si>
  <si>
    <t>Scrubbe Shell Drgs Wt</t>
  </si>
  <si>
    <t>066504FC1093</t>
  </si>
  <si>
    <t>LnT</t>
  </si>
  <si>
    <t>JVML</t>
  </si>
  <si>
    <t>Difference</t>
  </si>
  <si>
    <t>Ring1</t>
  </si>
  <si>
    <t>066504FC1094</t>
  </si>
  <si>
    <t>Cumm</t>
  </si>
  <si>
    <t>Ring2</t>
  </si>
  <si>
    <t>066504FC1095</t>
  </si>
  <si>
    <t>Ring3</t>
  </si>
  <si>
    <t>066504FC1096</t>
  </si>
  <si>
    <t>Bustle Pipe</t>
  </si>
  <si>
    <t>Ring4</t>
  </si>
  <si>
    <t>066504FC1097</t>
  </si>
  <si>
    <t>HBS</t>
  </si>
  <si>
    <t>Ring5</t>
  </si>
  <si>
    <t>066504FC1098</t>
  </si>
  <si>
    <t>Cyclone</t>
  </si>
  <si>
    <t>Ring6</t>
  </si>
  <si>
    <t>066504FC1099</t>
  </si>
  <si>
    <t>Ring7</t>
  </si>
  <si>
    <t>066504FC1100</t>
  </si>
  <si>
    <t>066504FC1101</t>
  </si>
  <si>
    <t>066504FC1102</t>
  </si>
  <si>
    <t>JVML BUILDING STRUCTURE OCT'21 PROGRESS</t>
  </si>
  <si>
    <t>066504FC1103</t>
  </si>
  <si>
    <t>Ring 1</t>
  </si>
  <si>
    <t>066504FC1104</t>
  </si>
  <si>
    <t>Ring 2</t>
  </si>
  <si>
    <t>066504FC1105</t>
  </si>
  <si>
    <t>066504FC1106</t>
  </si>
  <si>
    <t>066504FC1107</t>
  </si>
  <si>
    <t>OHT</t>
  </si>
  <si>
    <t>066504FC1108</t>
  </si>
  <si>
    <t>066504FC1109</t>
  </si>
  <si>
    <t>066504FC1110</t>
  </si>
  <si>
    <t>Ring8</t>
  </si>
  <si>
    <t>066504FC1111</t>
  </si>
  <si>
    <t>Ring9</t>
  </si>
  <si>
    <t>066504FC1112</t>
  </si>
  <si>
    <t>Ring10</t>
  </si>
  <si>
    <t>066504FC1113</t>
  </si>
  <si>
    <t>Ring11</t>
  </si>
  <si>
    <t>066504FC1114</t>
  </si>
  <si>
    <t>Ring12</t>
  </si>
  <si>
    <t>066504FC1115</t>
  </si>
  <si>
    <t>Ring13</t>
  </si>
  <si>
    <t>066504FC1116</t>
  </si>
  <si>
    <t>Ring14</t>
  </si>
  <si>
    <t>066504FC1117</t>
  </si>
  <si>
    <t>Ring15</t>
  </si>
  <si>
    <t>066504FC1118</t>
  </si>
  <si>
    <t>066504FC1119</t>
  </si>
  <si>
    <t>066504FC1120</t>
  </si>
  <si>
    <t>066504FC1121</t>
  </si>
  <si>
    <t>066504FC1122</t>
  </si>
  <si>
    <t>066504FC1123</t>
  </si>
  <si>
    <t>066504FC1124</t>
  </si>
  <si>
    <t>066504FC1125</t>
  </si>
  <si>
    <t>066504FC1126</t>
  </si>
  <si>
    <t>066504FC1127</t>
  </si>
  <si>
    <t>066504FC1128</t>
  </si>
  <si>
    <t>066504FC1129</t>
  </si>
  <si>
    <t>066504FC1130</t>
  </si>
  <si>
    <t>066504FC1131</t>
  </si>
  <si>
    <t>066504FC1132</t>
  </si>
  <si>
    <t>066504FC1133</t>
  </si>
  <si>
    <t>066504FC1134</t>
  </si>
  <si>
    <t>066504FC1135</t>
  </si>
  <si>
    <t>066504FC1136</t>
  </si>
  <si>
    <t>066504FC1137</t>
  </si>
  <si>
    <t>066504FC1138</t>
  </si>
  <si>
    <t>066504FC1139</t>
  </si>
  <si>
    <t>066504FC1140</t>
  </si>
  <si>
    <t>066504FC1141</t>
  </si>
  <si>
    <t>066504FC1142</t>
  </si>
  <si>
    <t>066504FC1143</t>
  </si>
  <si>
    <t>066504FC1144</t>
  </si>
  <si>
    <t>066504FC1145</t>
  </si>
  <si>
    <t>Project Name - DAILY PROGRESS REPORT</t>
  </si>
  <si>
    <t>Vendor One</t>
  </si>
  <si>
    <t>Vendor 2</t>
  </si>
  <si>
    <t>vendor 3</t>
  </si>
  <si>
    <t>vendor 45</t>
  </si>
  <si>
    <t>vendor 23</t>
  </si>
  <si>
    <t>vendor 47</t>
  </si>
  <si>
    <t>vendor 48</t>
  </si>
  <si>
    <t>vendor 5</t>
  </si>
  <si>
    <t>vendor 6</t>
  </si>
  <si>
    <t>vendor 20</t>
  </si>
  <si>
    <t>vendor 21</t>
  </si>
  <si>
    <t>vendor 34</t>
  </si>
  <si>
    <t>vendor 35</t>
  </si>
  <si>
    <t>vendor 36</t>
  </si>
  <si>
    <t>vendor 37</t>
  </si>
  <si>
    <t>vendor 38</t>
  </si>
  <si>
    <t>vendor 1</t>
  </si>
  <si>
    <t>vendor 2</t>
  </si>
  <si>
    <t>vendor 4</t>
  </si>
  <si>
    <t>vendor 7</t>
  </si>
  <si>
    <t>Vendor</t>
  </si>
  <si>
    <t>Project Name</t>
  </si>
  <si>
    <t>Project Name - EQUIPMENT BREAKUP</t>
  </si>
  <si>
    <t>Project Name - REFRACTORY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</si>
</sst>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d"/>
    <numFmt numFmtId="165" formatCode="0.0"/>
    <numFmt numFmtId="166" formatCode="0.00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3"/>
      <color rgb="FF000000"/>
      <name val="Verdana"/>
      <family val="2"/>
    </font>
    <font>
      <b/>
      <sz val="9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4"/>
      <color theme="1"/>
      <name val="Arial"/>
      <family val="2"/>
    </font>
    <font>
      <sz val="18"/>
      <name val="Arial"/>
      <family val="2"/>
    </font>
    <font>
      <b/>
      <sz val="16"/>
      <color rgb="FFFFFFFF"/>
      <name val="Verdana"/>
      <family val="2"/>
    </font>
    <font>
      <b/>
      <sz val="16"/>
      <color rgb="FF000000"/>
      <name val="Verdana"/>
      <family val="2"/>
    </font>
    <font>
      <b/>
      <sz val="16"/>
      <color rgb="FFFF0000"/>
      <name val="Verdana"/>
      <family val="2"/>
    </font>
    <font>
      <sz val="16"/>
      <color rgb="FF000000"/>
      <name val="Verdana"/>
      <family val="2"/>
    </font>
    <font>
      <sz val="16"/>
      <color rgb="FFFF0000"/>
      <name val="Verdana"/>
      <family val="2"/>
    </font>
    <font>
      <sz val="12"/>
      <color rgb="FFFF0000"/>
      <name val="Arial"/>
      <family val="2"/>
    </font>
    <font>
      <b/>
      <sz val="12"/>
      <color rgb="FFFFFFFF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sz val="18"/>
      <color rgb="FF000000"/>
      <name val="Arial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8"/>
      <color rgb="FF000000"/>
      <name val="Verdana"/>
      <family val="2"/>
    </font>
    <font>
      <b/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D9C4"/>
        <bgColor rgb="FFDDD9C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DDD9C4"/>
      </patternFill>
    </fill>
    <fill>
      <patternFill patternType="solid">
        <fgColor rgb="FF4F81BD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7479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00B05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3" fillId="0" borderId="0" applyFont="0" applyFill="0" applyBorder="0" applyAlignment="0" applyProtection="0"/>
    <xf numFmtId="0" fontId="43" fillId="0" borderId="0"/>
  </cellStyleXfs>
  <cellXfs count="9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6" xfId="0" applyBorder="1"/>
    <xf numFmtId="2" fontId="0" fillId="0" borderId="1" xfId="0" applyNumberForma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9" fillId="8" borderId="2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/>
    </xf>
    <xf numFmtId="1" fontId="6" fillId="6" borderId="6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 wrapText="1"/>
    </xf>
    <xf numFmtId="0" fontId="6" fillId="6" borderId="27" xfId="0" applyFont="1" applyFill="1" applyBorder="1" applyAlignment="1">
      <alignment horizontal="center" vertical="center"/>
    </xf>
    <xf numFmtId="1" fontId="6" fillId="6" borderId="18" xfId="0" applyNumberFormat="1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 wrapText="1"/>
    </xf>
    <xf numFmtId="0" fontId="7" fillId="10" borderId="36" xfId="0" applyFont="1" applyFill="1" applyBorder="1" applyAlignment="1">
      <alignment horizontal="center" vertical="center" wrapText="1"/>
    </xf>
    <xf numFmtId="17" fontId="7" fillId="10" borderId="36" xfId="0" applyNumberFormat="1" applyFont="1" applyFill="1" applyBorder="1" applyAlignment="1">
      <alignment horizontal="center" vertical="center" wrapText="1"/>
    </xf>
    <xf numFmtId="0" fontId="7" fillId="10" borderId="37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/>
    </xf>
    <xf numFmtId="1" fontId="6" fillId="6" borderId="4" xfId="0" applyNumberFormat="1" applyFont="1" applyFill="1" applyBorder="1" applyAlignment="1">
      <alignment horizontal="center" vertical="center"/>
    </xf>
    <xf numFmtId="0" fontId="6" fillId="0" borderId="23" xfId="0" applyFont="1" applyBorder="1"/>
    <xf numFmtId="2" fontId="7" fillId="0" borderId="25" xfId="0" applyNumberFormat="1" applyFont="1" applyBorder="1" applyAlignment="1">
      <alignment horizontal="center" vertical="center"/>
    </xf>
    <xf numFmtId="0" fontId="7" fillId="10" borderId="31" xfId="0" applyFont="1" applyFill="1" applyBorder="1" applyAlignment="1">
      <alignment horizontal="center" vertical="center" wrapText="1"/>
    </xf>
    <xf numFmtId="1" fontId="6" fillId="6" borderId="39" xfId="0" applyNumberFormat="1" applyFont="1" applyFill="1" applyBorder="1" applyAlignment="1">
      <alignment horizontal="center" vertical="center"/>
    </xf>
    <xf numFmtId="1" fontId="6" fillId="6" borderId="40" xfId="0" applyNumberFormat="1" applyFont="1" applyFill="1" applyBorder="1" applyAlignment="1">
      <alignment horizontal="center" vertical="center"/>
    </xf>
    <xf numFmtId="1" fontId="7" fillId="6" borderId="41" xfId="0" applyNumberFormat="1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 wrapText="1"/>
    </xf>
    <xf numFmtId="2" fontId="6" fillId="0" borderId="42" xfId="0" applyNumberFormat="1" applyFont="1" applyBorder="1" applyAlignment="1">
      <alignment horizontal="center" vertical="center"/>
    </xf>
    <xf numFmtId="2" fontId="6" fillId="0" borderId="39" xfId="0" applyNumberFormat="1" applyFont="1" applyBorder="1" applyAlignment="1">
      <alignment horizontal="center" vertical="center"/>
    </xf>
    <xf numFmtId="2" fontId="7" fillId="0" borderId="41" xfId="0" applyNumberFormat="1" applyFont="1" applyBorder="1" applyAlignment="1">
      <alignment horizontal="center" vertical="center"/>
    </xf>
    <xf numFmtId="0" fontId="7" fillId="10" borderId="38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1" fontId="6" fillId="6" borderId="42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/>
    </xf>
    <xf numFmtId="2" fontId="6" fillId="0" borderId="22" xfId="0" applyNumberFormat="1" applyFont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/>
    </xf>
    <xf numFmtId="0" fontId="6" fillId="12" borderId="27" xfId="0" applyFont="1" applyFill="1" applyBorder="1" applyAlignment="1">
      <alignment vertical="center"/>
    </xf>
    <xf numFmtId="0" fontId="6" fillId="12" borderId="27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1" fontId="7" fillId="6" borderId="24" xfId="0" applyNumberFormat="1" applyFont="1" applyFill="1" applyBorder="1" applyAlignment="1">
      <alignment horizontal="center" vertical="center" wrapText="1"/>
    </xf>
    <xf numFmtId="1" fontId="7" fillId="6" borderId="24" xfId="0" applyNumberFormat="1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1" fontId="7" fillId="6" borderId="25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6" fillId="13" borderId="21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1" fontId="6" fillId="6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3" fillId="15" borderId="1" xfId="0" applyFont="1" applyFill="1" applyBorder="1" applyAlignment="1">
      <alignment vertical="center" wrapText="1"/>
    </xf>
    <xf numFmtId="0" fontId="6" fillId="4" borderId="20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16" fillId="15" borderId="49" xfId="0" applyFont="1" applyFill="1" applyBorder="1" applyAlignment="1">
      <alignment horizontal="center" wrapText="1" readingOrder="1"/>
    </xf>
    <xf numFmtId="0" fontId="16" fillId="15" borderId="50" xfId="0" applyFont="1" applyFill="1" applyBorder="1" applyAlignment="1">
      <alignment horizontal="center" wrapText="1" readingOrder="1"/>
    </xf>
    <xf numFmtId="0" fontId="16" fillId="15" borderId="0" xfId="0" applyFont="1" applyFill="1" applyAlignment="1">
      <alignment horizontal="center" wrapText="1" readingOrder="1"/>
    </xf>
    <xf numFmtId="0" fontId="13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3" fillId="15" borderId="27" xfId="0" applyFont="1" applyFill="1" applyBorder="1" applyAlignment="1">
      <alignment vertical="center" wrapText="1"/>
    </xf>
    <xf numFmtId="0" fontId="7" fillId="0" borderId="29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 wrapText="1"/>
    </xf>
    <xf numFmtId="0" fontId="17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vertical="center" wrapText="1"/>
    </xf>
    <xf numFmtId="0" fontId="3" fillId="0" borderId="58" xfId="0" applyFont="1" applyBorder="1" applyAlignment="1">
      <alignment horizontal="center" vertical="center" wrapText="1"/>
    </xf>
    <xf numFmtId="2" fontId="3" fillId="0" borderId="58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6" fillId="0" borderId="0" xfId="0" applyNumberFormat="1" applyFont="1"/>
    <xf numFmtId="0" fontId="6" fillId="0" borderId="1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1" fontId="6" fillId="12" borderId="20" xfId="0" applyNumberFormat="1" applyFont="1" applyFill="1" applyBorder="1" applyAlignment="1">
      <alignment horizontal="center" vertical="center"/>
    </xf>
    <xf numFmtId="1" fontId="6" fillId="12" borderId="20" xfId="0" applyNumberFormat="1" applyFon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 vertical="center"/>
    </xf>
    <xf numFmtId="1" fontId="6" fillId="12" borderId="1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14" borderId="1" xfId="0" applyNumberFormat="1" applyFont="1" applyFill="1" applyBorder="1" applyAlignment="1">
      <alignment horizontal="center" vertical="center"/>
    </xf>
    <xf numFmtId="1" fontId="6" fillId="17" borderId="1" xfId="0" applyNumberFormat="1" applyFont="1" applyFill="1" applyBorder="1" applyAlignment="1">
      <alignment horizontal="center" vertical="center"/>
    </xf>
    <xf numFmtId="1" fontId="6" fillId="17" borderId="1" xfId="0" applyNumberFormat="1" applyFont="1" applyFill="1" applyBorder="1" applyAlignment="1">
      <alignment horizontal="center"/>
    </xf>
    <xf numFmtId="1" fontId="6" fillId="16" borderId="1" xfId="0" applyNumberFormat="1" applyFont="1" applyFill="1" applyBorder="1" applyAlignment="1">
      <alignment horizontal="center" vertical="center"/>
    </xf>
    <xf numFmtId="1" fontId="6" fillId="16" borderId="1" xfId="0" applyNumberFormat="1" applyFont="1" applyFill="1" applyBorder="1" applyAlignment="1">
      <alignment horizontal="center"/>
    </xf>
    <xf numFmtId="1" fontId="6" fillId="6" borderId="27" xfId="0" applyNumberFormat="1" applyFont="1" applyFill="1" applyBorder="1" applyAlignment="1">
      <alignment horizontal="center" vertical="center"/>
    </xf>
    <xf numFmtId="1" fontId="6" fillId="6" borderId="27" xfId="0" applyNumberFormat="1" applyFont="1" applyFill="1" applyBorder="1" applyAlignment="1">
      <alignment horizontal="center"/>
    </xf>
    <xf numFmtId="1" fontId="6" fillId="14" borderId="27" xfId="0" applyNumberFormat="1" applyFont="1" applyFill="1" applyBorder="1" applyAlignment="1">
      <alignment horizontal="center" vertical="center"/>
    </xf>
    <xf numFmtId="1" fontId="6" fillId="6" borderId="20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1" fontId="6" fillId="2" borderId="39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0" xfId="0" applyFont="1" applyFill="1"/>
    <xf numFmtId="1" fontId="6" fillId="2" borderId="6" xfId="0" applyNumberFormat="1" applyFont="1" applyFill="1" applyBorder="1" applyAlignment="1">
      <alignment horizontal="center" vertical="center"/>
    </xf>
    <xf numFmtId="1" fontId="6" fillId="2" borderId="42" xfId="0" applyNumberFormat="1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" fontId="6" fillId="2" borderId="40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6" fillId="5" borderId="0" xfId="0" applyFont="1" applyFill="1"/>
    <xf numFmtId="0" fontId="6" fillId="12" borderId="0" xfId="0" applyFont="1" applyFill="1"/>
    <xf numFmtId="0" fontId="6" fillId="18" borderId="0" xfId="0" applyFont="1" applyFill="1"/>
    <xf numFmtId="0" fontId="6" fillId="2" borderId="20" xfId="0" applyFont="1" applyFill="1" applyBorder="1" applyAlignment="1">
      <alignment vertical="center"/>
    </xf>
    <xf numFmtId="2" fontId="6" fillId="2" borderId="22" xfId="0" applyNumberFormat="1" applyFont="1" applyFill="1" applyBorder="1" applyAlignment="1">
      <alignment horizontal="center" vertical="center"/>
    </xf>
    <xf numFmtId="2" fontId="6" fillId="2" borderId="4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2" fontId="6" fillId="5" borderId="40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vertical="center" wrapText="1"/>
    </xf>
    <xf numFmtId="0" fontId="6" fillId="19" borderId="1" xfId="0" applyFont="1" applyFill="1" applyBorder="1" applyAlignment="1">
      <alignment horizontal="center" vertical="center"/>
    </xf>
    <xf numFmtId="0" fontId="6" fillId="19" borderId="20" xfId="0" applyFont="1" applyFill="1" applyBorder="1" applyAlignment="1">
      <alignment horizontal="center" vertical="center"/>
    </xf>
    <xf numFmtId="1" fontId="6" fillId="19" borderId="6" xfId="0" applyNumberFormat="1" applyFont="1" applyFill="1" applyBorder="1" applyAlignment="1">
      <alignment horizontal="center" vertical="center"/>
    </xf>
    <xf numFmtId="1" fontId="6" fillId="19" borderId="40" xfId="0" applyNumberFormat="1" applyFont="1" applyFill="1" applyBorder="1" applyAlignment="1">
      <alignment horizontal="center" vertical="center"/>
    </xf>
    <xf numFmtId="1" fontId="6" fillId="19" borderId="1" xfId="0" applyNumberFormat="1" applyFont="1" applyFill="1" applyBorder="1" applyAlignment="1">
      <alignment horizontal="center" vertical="center"/>
    </xf>
    <xf numFmtId="0" fontId="6" fillId="19" borderId="53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6" fillId="19" borderId="0" xfId="0" applyFont="1" applyFill="1"/>
    <xf numFmtId="0" fontId="11" fillId="6" borderId="2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1" fontId="6" fillId="2" borderId="18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19" borderId="21" xfId="0" applyFont="1" applyFill="1" applyBorder="1" applyAlignment="1">
      <alignment horizontal="center" vertical="center"/>
    </xf>
    <xf numFmtId="0" fontId="6" fillId="19" borderId="20" xfId="0" applyFont="1" applyFill="1" applyBorder="1" applyAlignment="1">
      <alignment vertical="center" wrapText="1"/>
    </xf>
    <xf numFmtId="1" fontId="6" fillId="19" borderId="22" xfId="0" applyNumberFormat="1" applyFont="1" applyFill="1" applyBorder="1" applyAlignment="1">
      <alignment horizontal="center" vertical="center"/>
    </xf>
    <xf numFmtId="1" fontId="6" fillId="19" borderId="42" xfId="0" applyNumberFormat="1" applyFont="1" applyFill="1" applyBorder="1" applyAlignment="1">
      <alignment horizontal="center" vertical="center"/>
    </xf>
    <xf numFmtId="1" fontId="6" fillId="19" borderId="20" xfId="0" applyNumberFormat="1" applyFont="1" applyFill="1" applyBorder="1" applyAlignment="1">
      <alignment horizontal="center" vertical="center"/>
    </xf>
    <xf numFmtId="0" fontId="6" fillId="19" borderId="55" xfId="0" applyFont="1" applyFill="1" applyBorder="1" applyAlignment="1">
      <alignment horizontal="center" vertical="center"/>
    </xf>
    <xf numFmtId="0" fontId="6" fillId="19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right" vertical="center" wrapText="1"/>
    </xf>
    <xf numFmtId="1" fontId="7" fillId="2" borderId="24" xfId="0" applyNumberFormat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vertical="center" wrapText="1"/>
    </xf>
    <xf numFmtId="0" fontId="6" fillId="5" borderId="27" xfId="0" applyFont="1" applyFill="1" applyBorder="1" applyAlignment="1">
      <alignment horizontal="center" vertical="center"/>
    </xf>
    <xf numFmtId="1" fontId="6" fillId="5" borderId="18" xfId="0" applyNumberFormat="1" applyFont="1" applyFill="1" applyBorder="1" applyAlignment="1">
      <alignment horizontal="center" vertical="center"/>
    </xf>
    <xf numFmtId="1" fontId="6" fillId="5" borderId="43" xfId="0" applyNumberFormat="1" applyFont="1" applyFill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6" fillId="5" borderId="5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right" vertical="center" wrapText="1"/>
    </xf>
    <xf numFmtId="0" fontId="7" fillId="5" borderId="24" xfId="0" applyFont="1" applyFill="1" applyBorder="1" applyAlignment="1">
      <alignment horizontal="center" vertical="center"/>
    </xf>
    <xf numFmtId="1" fontId="7" fillId="5" borderId="25" xfId="0" applyNumberFormat="1" applyFont="1" applyFill="1" applyBorder="1" applyAlignment="1">
      <alignment horizontal="center" vertical="center"/>
    </xf>
    <xf numFmtId="1" fontId="7" fillId="5" borderId="11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6" fillId="19" borderId="60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6" fillId="19" borderId="59" xfId="0" applyFont="1" applyFill="1" applyBorder="1" applyAlignment="1">
      <alignment horizontal="center" vertical="center"/>
    </xf>
    <xf numFmtId="2" fontId="7" fillId="2" borderId="40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" fontId="7" fillId="2" borderId="48" xfId="0" applyNumberFormat="1" applyFont="1" applyFill="1" applyBorder="1" applyAlignment="1">
      <alignment horizontal="center" vertical="center"/>
    </xf>
    <xf numFmtId="1" fontId="11" fillId="6" borderId="24" xfId="0" applyNumberFormat="1" applyFont="1" applyFill="1" applyBorder="1" applyAlignment="1">
      <alignment horizontal="center" vertical="center" wrapText="1"/>
    </xf>
    <xf numFmtId="1" fontId="11" fillId="6" borderId="11" xfId="0" applyNumberFormat="1" applyFont="1" applyFill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23" xfId="0" applyFont="1" applyBorder="1"/>
    <xf numFmtId="0" fontId="10" fillId="0" borderId="24" xfId="0" applyFont="1" applyBorder="1"/>
    <xf numFmtId="0" fontId="10" fillId="0" borderId="24" xfId="0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0" borderId="25" xfId="0" applyNumberFormat="1" applyFont="1" applyBorder="1" applyAlignment="1">
      <alignment horizontal="center" vertical="center"/>
    </xf>
    <xf numFmtId="0" fontId="7" fillId="10" borderId="51" xfId="0" applyFont="1" applyFill="1" applyBorder="1" applyAlignment="1">
      <alignment horizontal="center" vertical="center" wrapText="1"/>
    </xf>
    <xf numFmtId="1" fontId="6" fillId="2" borderId="44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wrapText="1"/>
    </xf>
    <xf numFmtId="1" fontId="7" fillId="2" borderId="51" xfId="0" applyNumberFormat="1" applyFont="1" applyFill="1" applyBorder="1" applyAlignment="1">
      <alignment horizontal="center" vertical="center"/>
    </xf>
    <xf numFmtId="17" fontId="7" fillId="10" borderId="25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9" fillId="8" borderId="36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vertical="center" wrapText="1"/>
    </xf>
    <xf numFmtId="17" fontId="7" fillId="10" borderId="24" xfId="0" applyNumberFormat="1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right" vertical="center"/>
    </xf>
    <xf numFmtId="0" fontId="9" fillId="8" borderId="62" xfId="0" applyFont="1" applyFill="1" applyBorder="1" applyAlignment="1">
      <alignment horizontal="right" vertical="center"/>
    </xf>
    <xf numFmtId="0" fontId="9" fillId="8" borderId="62" xfId="0" applyFont="1" applyFill="1" applyBorder="1" applyAlignment="1">
      <alignment horizontal="center" vertical="center"/>
    </xf>
    <xf numFmtId="1" fontId="7" fillId="2" borderId="23" xfId="0" applyNumberFormat="1" applyFont="1" applyFill="1" applyBorder="1" applyAlignment="1">
      <alignment horizontal="center" vertical="center"/>
    </xf>
    <xf numFmtId="1" fontId="11" fillId="0" borderId="36" xfId="0" applyNumberFormat="1" applyFont="1" applyBorder="1" applyAlignment="1">
      <alignment horizontal="center" vertical="center"/>
    </xf>
    <xf numFmtId="2" fontId="11" fillId="0" borderId="37" xfId="0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15" borderId="26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27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1" fontId="9" fillId="8" borderId="24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" fontId="9" fillId="8" borderId="36" xfId="0" applyNumberFormat="1" applyFont="1" applyFill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2" fillId="4" borderId="0" xfId="0" applyFont="1" applyFill="1"/>
    <xf numFmtId="0" fontId="23" fillId="0" borderId="0" xfId="0" applyFont="1"/>
    <xf numFmtId="0" fontId="6" fillId="2" borderId="20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27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right" vertical="center" wrapText="1"/>
    </xf>
    <xf numFmtId="1" fontId="7" fillId="2" borderId="24" xfId="0" applyNumberFormat="1" applyFont="1" applyFill="1" applyBorder="1" applyAlignment="1">
      <alignment horizontal="center"/>
    </xf>
    <xf numFmtId="2" fontId="7" fillId="2" borderId="25" xfId="0" applyNumberFormat="1" applyFont="1" applyFill="1" applyBorder="1" applyAlignment="1">
      <alignment horizontal="center" vertical="center"/>
    </xf>
    <xf numFmtId="2" fontId="6" fillId="2" borderId="19" xfId="0" applyNumberFormat="1" applyFont="1" applyFill="1" applyBorder="1" applyAlignment="1">
      <alignment horizontal="center" vertical="center"/>
    </xf>
    <xf numFmtId="2" fontId="7" fillId="2" borderId="48" xfId="0" applyNumberFormat="1" applyFont="1" applyFill="1" applyBorder="1" applyAlignment="1">
      <alignment horizontal="center" vertical="center"/>
    </xf>
    <xf numFmtId="2" fontId="6" fillId="5" borderId="18" xfId="0" applyNumberFormat="1" applyFont="1" applyFill="1" applyBorder="1" applyAlignment="1">
      <alignment horizontal="center" vertical="center"/>
    </xf>
    <xf numFmtId="2" fontId="7" fillId="5" borderId="25" xfId="0" applyNumberFormat="1" applyFont="1" applyFill="1" applyBorder="1" applyAlignment="1">
      <alignment horizontal="center" vertical="center"/>
    </xf>
    <xf numFmtId="1" fontId="10" fillId="0" borderId="30" xfId="0" applyNumberFormat="1" applyFont="1" applyBorder="1" applyAlignment="1">
      <alignment horizontal="center" vertical="center"/>
    </xf>
    <xf numFmtId="0" fontId="8" fillId="0" borderId="12" xfId="0" applyFont="1" applyBorder="1"/>
    <xf numFmtId="0" fontId="6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27" fillId="0" borderId="0" xfId="0" applyFont="1"/>
    <xf numFmtId="0" fontId="27" fillId="0" borderId="1" xfId="0" applyFont="1" applyBorder="1" applyAlignment="1">
      <alignment vertical="center"/>
    </xf>
    <xf numFmtId="0" fontId="27" fillId="0" borderId="1" xfId="0" applyFont="1" applyBorder="1"/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2" fontId="27" fillId="0" borderId="1" xfId="0" applyNumberFormat="1" applyFon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wrapText="1"/>
    </xf>
    <xf numFmtId="1" fontId="13" fillId="6" borderId="1" xfId="0" applyNumberFormat="1" applyFont="1" applyFill="1" applyBorder="1" applyAlignment="1">
      <alignment horizontal="center" vertical="center" wrapText="1" readingOrder="1"/>
    </xf>
    <xf numFmtId="0" fontId="7" fillId="9" borderId="1" xfId="0" applyFont="1" applyFill="1" applyBorder="1" applyAlignment="1">
      <alignment horizontal="center" vertical="center" wrapText="1"/>
    </xf>
    <xf numFmtId="17" fontId="7" fillId="9" borderId="1" xfId="0" applyNumberFormat="1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left" vertical="center" wrapText="1" readingOrder="1"/>
    </xf>
    <xf numFmtId="0" fontId="26" fillId="6" borderId="1" xfId="0" applyFont="1" applyFill="1" applyBorder="1" applyAlignment="1">
      <alignment horizontal="left" vertical="center" wrapText="1" readingOrder="1"/>
    </xf>
    <xf numFmtId="1" fontId="26" fillId="6" borderId="1" xfId="0" applyNumberFormat="1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 wrapText="1"/>
    </xf>
    <xf numFmtId="1" fontId="6" fillId="6" borderId="63" xfId="0" applyNumberFormat="1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27" xfId="0" applyFont="1" applyFill="1" applyBorder="1" applyAlignment="1">
      <alignment horizontal="left" vertical="center" wrapText="1"/>
    </xf>
    <xf numFmtId="0" fontId="6" fillId="6" borderId="44" xfId="0" applyFont="1" applyFill="1" applyBorder="1" applyAlignment="1">
      <alignment horizontal="left" vertical="center" wrapText="1"/>
    </xf>
    <xf numFmtId="0" fontId="6" fillId="2" borderId="26" xfId="0" applyFont="1" applyFill="1" applyBorder="1" applyAlignment="1">
      <alignment horizontal="center" vertical="center"/>
    </xf>
    <xf numFmtId="0" fontId="6" fillId="6" borderId="0" xfId="0" applyFont="1" applyFill="1"/>
    <xf numFmtId="0" fontId="7" fillId="6" borderId="34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 wrapText="1"/>
    </xf>
    <xf numFmtId="0" fontId="7" fillId="6" borderId="48" xfId="0" applyFont="1" applyFill="1" applyBorder="1" applyAlignment="1">
      <alignment horizontal="center" vertical="center" wrapText="1"/>
    </xf>
    <xf numFmtId="17" fontId="7" fillId="6" borderId="35" xfId="0" applyNumberFormat="1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3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2" fontId="7" fillId="2" borderId="10" xfId="0" applyNumberFormat="1" applyFont="1" applyFill="1" applyBorder="1" applyAlignment="1">
      <alignment horizontal="center" vertical="center"/>
    </xf>
    <xf numFmtId="3" fontId="6" fillId="0" borderId="0" xfId="0" applyNumberFormat="1" applyFont="1"/>
    <xf numFmtId="1" fontId="10" fillId="6" borderId="24" xfId="0" applyNumberFormat="1" applyFont="1" applyFill="1" applyBorder="1" applyAlignment="1">
      <alignment horizontal="center" vertical="center"/>
    </xf>
    <xf numFmtId="0" fontId="30" fillId="21" borderId="64" xfId="0" applyFont="1" applyFill="1" applyBorder="1" applyAlignment="1">
      <alignment vertical="center" wrapText="1"/>
    </xf>
    <xf numFmtId="0" fontId="31" fillId="22" borderId="64" xfId="0" applyFont="1" applyFill="1" applyBorder="1" applyAlignment="1">
      <alignment horizontal="center" vertical="center" wrapText="1" readingOrder="1"/>
    </xf>
    <xf numFmtId="0" fontId="32" fillId="23" borderId="65" xfId="0" applyFont="1" applyFill="1" applyBorder="1" applyAlignment="1">
      <alignment horizontal="left" vertical="center" wrapText="1" readingOrder="1"/>
    </xf>
    <xf numFmtId="0" fontId="32" fillId="23" borderId="65" xfId="0" applyFont="1" applyFill="1" applyBorder="1" applyAlignment="1">
      <alignment horizontal="center" vertical="center" wrapText="1" readingOrder="1"/>
    </xf>
    <xf numFmtId="0" fontId="32" fillId="22" borderId="65" xfId="0" applyFont="1" applyFill="1" applyBorder="1" applyAlignment="1">
      <alignment horizontal="center" vertical="center" wrapText="1" readingOrder="1"/>
    </xf>
    <xf numFmtId="0" fontId="33" fillId="22" borderId="65" xfId="0" applyFont="1" applyFill="1" applyBorder="1" applyAlignment="1">
      <alignment horizontal="center" vertical="center" wrapText="1" readingOrder="1"/>
    </xf>
    <xf numFmtId="0" fontId="32" fillId="24" borderId="66" xfId="0" applyFont="1" applyFill="1" applyBorder="1" applyAlignment="1">
      <alignment horizontal="left" vertical="center" wrapText="1" readingOrder="1"/>
    </xf>
    <xf numFmtId="0" fontId="32" fillId="24" borderId="66" xfId="0" applyFont="1" applyFill="1" applyBorder="1" applyAlignment="1">
      <alignment horizontal="center" vertical="center" wrapText="1" readingOrder="1"/>
    </xf>
    <xf numFmtId="0" fontId="32" fillId="22" borderId="66" xfId="0" applyFont="1" applyFill="1" applyBorder="1" applyAlignment="1">
      <alignment horizontal="center" vertical="center" wrapText="1" readingOrder="1"/>
    </xf>
    <xf numFmtId="0" fontId="33" fillId="22" borderId="66" xfId="0" applyFont="1" applyFill="1" applyBorder="1" applyAlignment="1">
      <alignment horizontal="center" vertical="center" wrapText="1" readingOrder="1"/>
    </xf>
    <xf numFmtId="0" fontId="32" fillId="23" borderId="66" xfId="0" applyFont="1" applyFill="1" applyBorder="1" applyAlignment="1">
      <alignment horizontal="left" vertical="center" wrapText="1" readingOrder="1"/>
    </xf>
    <xf numFmtId="0" fontId="32" fillId="23" borderId="66" xfId="0" applyFont="1" applyFill="1" applyBorder="1" applyAlignment="1">
      <alignment horizontal="center" vertical="center" wrapText="1" readingOrder="1"/>
    </xf>
    <xf numFmtId="0" fontId="34" fillId="24" borderId="66" xfId="0" applyFont="1" applyFill="1" applyBorder="1" applyAlignment="1">
      <alignment horizontal="right" vertical="center" wrapText="1" readingOrder="1"/>
    </xf>
    <xf numFmtId="0" fontId="34" fillId="24" borderId="66" xfId="0" applyFont="1" applyFill="1" applyBorder="1" applyAlignment="1">
      <alignment horizontal="center" vertical="center" wrapText="1" readingOrder="1"/>
    </xf>
    <xf numFmtId="0" fontId="34" fillId="22" borderId="66" xfId="0" applyFont="1" applyFill="1" applyBorder="1" applyAlignment="1">
      <alignment horizontal="center" vertical="center" wrapText="1" readingOrder="1"/>
    </xf>
    <xf numFmtId="0" fontId="35" fillId="22" borderId="66" xfId="0" applyFont="1" applyFill="1" applyBorder="1" applyAlignment="1">
      <alignment horizontal="center" vertical="center" wrapText="1" readingOrder="1"/>
    </xf>
    <xf numFmtId="0" fontId="34" fillId="23" borderId="66" xfId="0" applyFont="1" applyFill="1" applyBorder="1" applyAlignment="1">
      <alignment horizontal="right" vertical="center" wrapText="1" readingOrder="1"/>
    </xf>
    <xf numFmtId="0" fontId="34" fillId="23" borderId="66" xfId="0" applyFont="1" applyFill="1" applyBorder="1" applyAlignment="1">
      <alignment horizontal="center" vertical="center" wrapText="1" readingOrder="1"/>
    </xf>
    <xf numFmtId="2" fontId="32" fillId="23" borderId="65" xfId="0" applyNumberFormat="1" applyFont="1" applyFill="1" applyBorder="1" applyAlignment="1">
      <alignment horizontal="center" vertical="center" wrapText="1" readingOrder="1"/>
    </xf>
    <xf numFmtId="0" fontId="32" fillId="21" borderId="64" xfId="0" applyFont="1" applyFill="1" applyBorder="1" applyAlignment="1">
      <alignment horizontal="center" vertical="center" wrapText="1" readingOrder="1"/>
    </xf>
    <xf numFmtId="0" fontId="6" fillId="25" borderId="1" xfId="0" applyFont="1" applyFill="1" applyBorder="1" applyAlignment="1">
      <alignment horizontal="center" vertical="center"/>
    </xf>
    <xf numFmtId="0" fontId="6" fillId="25" borderId="0" xfId="0" applyFont="1" applyFill="1"/>
    <xf numFmtId="0" fontId="36" fillId="25" borderId="0" xfId="0" applyFont="1" applyFill="1"/>
    <xf numFmtId="0" fontId="37" fillId="26" borderId="49" xfId="0" applyFont="1" applyFill="1" applyBorder="1" applyAlignment="1">
      <alignment horizontal="center" vertical="center" wrapText="1" readingOrder="1"/>
    </xf>
    <xf numFmtId="0" fontId="15" fillId="15" borderId="49" xfId="0" applyFont="1" applyFill="1" applyBorder="1" applyAlignment="1">
      <alignment horizontal="center" vertical="center" wrapText="1"/>
    </xf>
    <xf numFmtId="0" fontId="38" fillId="15" borderId="49" xfId="0" applyFont="1" applyFill="1" applyBorder="1" applyAlignment="1">
      <alignment horizontal="center" wrapText="1" readingOrder="1"/>
    </xf>
    <xf numFmtId="0" fontId="39" fillId="15" borderId="49" xfId="0" applyFont="1" applyFill="1" applyBorder="1" applyAlignment="1">
      <alignment horizontal="center" vertical="center" wrapText="1" readingOrder="1"/>
    </xf>
    <xf numFmtId="0" fontId="39" fillId="15" borderId="49" xfId="0" applyFont="1" applyFill="1" applyBorder="1" applyAlignment="1">
      <alignment horizontal="center" wrapText="1" readingOrder="1"/>
    </xf>
    <xf numFmtId="0" fontId="38" fillId="15" borderId="49" xfId="0" applyFont="1" applyFill="1" applyBorder="1" applyAlignment="1">
      <alignment horizontal="center" vertical="center" wrapText="1" readingOrder="1"/>
    </xf>
    <xf numFmtId="1" fontId="39" fillId="15" borderId="49" xfId="0" applyNumberFormat="1" applyFont="1" applyFill="1" applyBorder="1" applyAlignment="1">
      <alignment horizontal="center" wrapText="1" readingOrder="1"/>
    </xf>
    <xf numFmtId="1" fontId="39" fillId="15" borderId="50" xfId="0" applyNumberFormat="1" applyFont="1" applyFill="1" applyBorder="1" applyAlignment="1">
      <alignment horizontal="center" wrapText="1" readingOrder="1"/>
    </xf>
    <xf numFmtId="1" fontId="38" fillId="15" borderId="49" xfId="0" applyNumberFormat="1" applyFont="1" applyFill="1" applyBorder="1" applyAlignment="1">
      <alignment horizontal="center" wrapText="1" readingOrder="1"/>
    </xf>
    <xf numFmtId="0" fontId="40" fillId="15" borderId="49" xfId="0" applyFont="1" applyFill="1" applyBorder="1" applyAlignment="1">
      <alignment horizontal="center" vertical="center" wrapText="1" readingOrder="1"/>
    </xf>
    <xf numFmtId="0" fontId="27" fillId="27" borderId="1" xfId="0" applyFont="1" applyFill="1" applyBorder="1" applyAlignment="1">
      <alignment horizontal="center"/>
    </xf>
    <xf numFmtId="0" fontId="37" fillId="21" borderId="64" xfId="0" applyFont="1" applyFill="1" applyBorder="1" applyAlignment="1">
      <alignment horizontal="left" vertical="center" wrapText="1" readingOrder="1"/>
    </xf>
    <xf numFmtId="0" fontId="38" fillId="21" borderId="64" xfId="0" applyFont="1" applyFill="1" applyBorder="1" applyAlignment="1">
      <alignment horizontal="center" vertical="center" wrapText="1" readingOrder="1"/>
    </xf>
    <xf numFmtId="0" fontId="38" fillId="22" borderId="64" xfId="0" applyFont="1" applyFill="1" applyBorder="1" applyAlignment="1">
      <alignment horizontal="center" vertical="center" wrapText="1" readingOrder="1"/>
    </xf>
    <xf numFmtId="0" fontId="38" fillId="23" borderId="65" xfId="0" applyFont="1" applyFill="1" applyBorder="1" applyAlignment="1">
      <alignment horizontal="left" vertical="center" wrapText="1" readingOrder="1"/>
    </xf>
    <xf numFmtId="0" fontId="38" fillId="23" borderId="65" xfId="0" applyFont="1" applyFill="1" applyBorder="1" applyAlignment="1">
      <alignment horizontal="center" vertical="center" wrapText="1" readingOrder="1"/>
    </xf>
    <xf numFmtId="0" fontId="38" fillId="22" borderId="65" xfId="0" applyFont="1" applyFill="1" applyBorder="1" applyAlignment="1">
      <alignment horizontal="center" vertical="center" wrapText="1" readingOrder="1"/>
    </xf>
    <xf numFmtId="0" fontId="38" fillId="24" borderId="66" xfId="0" applyFont="1" applyFill="1" applyBorder="1" applyAlignment="1">
      <alignment horizontal="left" vertical="center" wrapText="1" readingOrder="1"/>
    </xf>
    <xf numFmtId="0" fontId="38" fillId="24" borderId="66" xfId="0" applyFont="1" applyFill="1" applyBorder="1" applyAlignment="1">
      <alignment horizontal="center" vertical="center" wrapText="1" readingOrder="1"/>
    </xf>
    <xf numFmtId="0" fontId="38" fillId="22" borderId="66" xfId="0" applyFont="1" applyFill="1" applyBorder="1" applyAlignment="1">
      <alignment horizontal="center" vertical="center" wrapText="1" readingOrder="1"/>
    </xf>
    <xf numFmtId="0" fontId="39" fillId="23" borderId="66" xfId="0" applyFont="1" applyFill="1" applyBorder="1" applyAlignment="1">
      <alignment horizontal="right" vertical="center" wrapText="1" readingOrder="1"/>
    </xf>
    <xf numFmtId="0" fontId="39" fillId="23" borderId="66" xfId="0" applyFont="1" applyFill="1" applyBorder="1" applyAlignment="1">
      <alignment horizontal="center" vertical="center" wrapText="1" readingOrder="1"/>
    </xf>
    <xf numFmtId="0" fontId="39" fillId="22" borderId="66" xfId="0" applyFont="1" applyFill="1" applyBorder="1" applyAlignment="1">
      <alignment horizontal="center" vertical="center" wrapText="1" readingOrder="1"/>
    </xf>
    <xf numFmtId="0" fontId="39" fillId="24" borderId="66" xfId="0" applyFont="1" applyFill="1" applyBorder="1" applyAlignment="1">
      <alignment horizontal="right" vertical="center" wrapText="1" readingOrder="1"/>
    </xf>
    <xf numFmtId="0" fontId="39" fillId="24" borderId="66" xfId="0" applyFont="1" applyFill="1" applyBorder="1" applyAlignment="1">
      <alignment horizontal="center" vertical="center" wrapText="1" readingOrder="1"/>
    </xf>
    <xf numFmtId="0" fontId="38" fillId="23" borderId="66" xfId="0" applyFont="1" applyFill="1" applyBorder="1" applyAlignment="1">
      <alignment horizontal="left" vertical="center" wrapText="1" readingOrder="1"/>
    </xf>
    <xf numFmtId="0" fontId="38" fillId="23" borderId="66" xfId="0" applyFont="1" applyFill="1" applyBorder="1" applyAlignment="1">
      <alignment horizontal="center" vertical="center" wrapText="1" readingOrder="1"/>
    </xf>
    <xf numFmtId="2" fontId="38" fillId="24" borderId="66" xfId="0" applyNumberFormat="1" applyFont="1" applyFill="1" applyBorder="1" applyAlignment="1">
      <alignment horizontal="center" vertical="center" wrapText="1" readingOrder="1"/>
    </xf>
    <xf numFmtId="2" fontId="39" fillId="23" borderId="66" xfId="0" applyNumberFormat="1" applyFont="1" applyFill="1" applyBorder="1" applyAlignment="1">
      <alignment horizontal="center" vertical="center" wrapText="1" readingOrder="1"/>
    </xf>
    <xf numFmtId="2" fontId="39" fillId="24" borderId="66" xfId="0" applyNumberFormat="1" applyFont="1" applyFill="1" applyBorder="1" applyAlignment="1">
      <alignment horizontal="center" vertical="center" wrapText="1" readingOrder="1"/>
    </xf>
    <xf numFmtId="1" fontId="38" fillId="24" borderId="66" xfId="0" applyNumberFormat="1" applyFont="1" applyFill="1" applyBorder="1" applyAlignment="1">
      <alignment horizontal="center" vertical="center" wrapText="1" readingOrder="1"/>
    </xf>
    <xf numFmtId="1" fontId="39" fillId="23" borderId="66" xfId="0" applyNumberFormat="1" applyFont="1" applyFill="1" applyBorder="1" applyAlignment="1">
      <alignment horizontal="center" vertical="center" wrapText="1" readingOrder="1"/>
    </xf>
    <xf numFmtId="1" fontId="39" fillId="24" borderId="66" xfId="0" applyNumberFormat="1" applyFont="1" applyFill="1" applyBorder="1" applyAlignment="1">
      <alignment horizontal="center" vertical="center" wrapText="1" readingOrder="1"/>
    </xf>
    <xf numFmtId="0" fontId="7" fillId="2" borderId="2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6" borderId="27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1" fontId="6" fillId="8" borderId="6" xfId="0" applyNumberFormat="1" applyFont="1" applyFill="1" applyBorder="1" applyAlignment="1">
      <alignment horizontal="center" vertical="center"/>
    </xf>
    <xf numFmtId="1" fontId="6" fillId="8" borderId="40" xfId="0" applyNumberFormat="1" applyFont="1" applyFill="1" applyBorder="1" applyAlignment="1">
      <alignment horizontal="center" vertical="center"/>
    </xf>
    <xf numFmtId="0" fontId="6" fillId="8" borderId="53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right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/>
    </xf>
    <xf numFmtId="1" fontId="7" fillId="8" borderId="51" xfId="0" applyNumberFormat="1" applyFont="1" applyFill="1" applyBorder="1" applyAlignment="1">
      <alignment horizontal="center" vertical="center"/>
    </xf>
    <xf numFmtId="1" fontId="6" fillId="8" borderId="48" xfId="0" applyNumberFormat="1" applyFont="1" applyFill="1" applyBorder="1" applyAlignment="1">
      <alignment horizontal="center" vertical="center"/>
    </xf>
    <xf numFmtId="1" fontId="7" fillId="8" borderId="11" xfId="0" applyNumberFormat="1" applyFont="1" applyFill="1" applyBorder="1" applyAlignment="1">
      <alignment horizontal="center" vertical="center"/>
    </xf>
    <xf numFmtId="1" fontId="7" fillId="8" borderId="48" xfId="0" applyNumberFormat="1" applyFont="1" applyFill="1" applyBorder="1" applyAlignment="1">
      <alignment horizontal="center" vertical="center"/>
    </xf>
    <xf numFmtId="0" fontId="6" fillId="14" borderId="26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vertical="center" wrapText="1"/>
    </xf>
    <xf numFmtId="0" fontId="6" fillId="14" borderId="27" xfId="0" applyFont="1" applyFill="1" applyBorder="1" applyAlignment="1">
      <alignment horizontal="center" vertical="center" wrapText="1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43" xfId="0" applyNumberFormat="1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54" xfId="0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" fillId="14" borderId="23" xfId="0" applyFont="1" applyFill="1" applyBorder="1" applyAlignment="1">
      <alignment horizontal="center" vertical="center"/>
    </xf>
    <xf numFmtId="0" fontId="7" fillId="14" borderId="24" xfId="0" applyFont="1" applyFill="1" applyBorder="1" applyAlignment="1">
      <alignment horizontal="right" vertical="center" wrapText="1"/>
    </xf>
    <xf numFmtId="0" fontId="7" fillId="14" borderId="24" xfId="0" applyFont="1" applyFill="1" applyBorder="1" applyAlignment="1">
      <alignment horizontal="center" vertical="center"/>
    </xf>
    <xf numFmtId="0" fontId="7" fillId="14" borderId="51" xfId="0" applyFont="1" applyFill="1" applyBorder="1" applyAlignment="1">
      <alignment horizontal="center" vertical="center"/>
    </xf>
    <xf numFmtId="0" fontId="6" fillId="14" borderId="48" xfId="0" applyFont="1" applyFill="1" applyBorder="1" applyAlignment="1">
      <alignment horizontal="center" vertical="center"/>
    </xf>
    <xf numFmtId="1" fontId="7" fillId="14" borderId="11" xfId="0" applyNumberFormat="1" applyFont="1" applyFill="1" applyBorder="1" applyAlignment="1">
      <alignment horizontal="center" vertical="center"/>
    </xf>
    <xf numFmtId="1" fontId="6" fillId="14" borderId="48" xfId="0" applyNumberFormat="1" applyFont="1" applyFill="1" applyBorder="1" applyAlignment="1">
      <alignment horizontal="center" vertical="center"/>
    </xf>
    <xf numFmtId="1" fontId="7" fillId="14" borderId="30" xfId="0" applyNumberFormat="1" applyFont="1" applyFill="1" applyBorder="1" applyAlignment="1">
      <alignment horizontal="center" vertical="center"/>
    </xf>
    <xf numFmtId="1" fontId="7" fillId="14" borderId="25" xfId="0" applyNumberFormat="1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44" xfId="0" applyFont="1" applyFill="1" applyBorder="1" applyAlignment="1">
      <alignment vertical="center" wrapText="1"/>
    </xf>
    <xf numFmtId="1" fontId="6" fillId="2" borderId="20" xfId="0" applyNumberFormat="1" applyFont="1" applyFill="1" applyBorder="1" applyAlignment="1">
      <alignment horizontal="center"/>
    </xf>
    <xf numFmtId="2" fontId="6" fillId="2" borderId="55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" fontId="6" fillId="2" borderId="1" xfId="0" applyNumberFormat="1" applyFont="1" applyFill="1" applyBorder="1" applyAlignment="1">
      <alignment horizontal="center"/>
    </xf>
    <xf numFmtId="2" fontId="6" fillId="2" borderId="53" xfId="0" applyNumberFormat="1" applyFont="1" applyFill="1" applyBorder="1" applyAlignment="1">
      <alignment horizontal="center" vertical="center"/>
    </xf>
    <xf numFmtId="0" fontId="36" fillId="2" borderId="5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" fontId="36" fillId="2" borderId="20" xfId="0" applyNumberFormat="1" applyFont="1" applyFill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36" fillId="2" borderId="22" xfId="0" applyFont="1" applyFill="1" applyBorder="1" applyAlignment="1">
      <alignment horizontal="center" vertical="center"/>
    </xf>
    <xf numFmtId="0" fontId="36" fillId="2" borderId="0" xfId="0" applyFont="1" applyFill="1"/>
    <xf numFmtId="1" fontId="15" fillId="2" borderId="20" xfId="0" applyNumberFormat="1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1" fontId="6" fillId="2" borderId="27" xfId="0" applyNumberFormat="1" applyFont="1" applyFill="1" applyBorder="1" applyAlignment="1">
      <alignment horizontal="center"/>
    </xf>
    <xf numFmtId="1" fontId="6" fillId="2" borderId="44" xfId="0" applyNumberFormat="1" applyFont="1" applyFill="1" applyBorder="1" applyAlignment="1">
      <alignment horizontal="center"/>
    </xf>
    <xf numFmtId="2" fontId="6" fillId="2" borderId="54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horizontal="center" vertical="center"/>
    </xf>
    <xf numFmtId="1" fontId="6" fillId="16" borderId="6" xfId="0" applyNumberFormat="1" applyFont="1" applyFill="1" applyBorder="1" applyAlignment="1">
      <alignment horizontal="center" vertical="center"/>
    </xf>
    <xf numFmtId="1" fontId="6" fillId="16" borderId="40" xfId="0" applyNumberFormat="1" applyFont="1" applyFill="1" applyBorder="1" applyAlignment="1">
      <alignment horizontal="center" vertical="center"/>
    </xf>
    <xf numFmtId="0" fontId="6" fillId="16" borderId="53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26" xfId="0" applyFont="1" applyFill="1" applyBorder="1" applyAlignment="1">
      <alignment horizontal="center" vertical="center"/>
    </xf>
    <xf numFmtId="0" fontId="6" fillId="16" borderId="27" xfId="0" applyFont="1" applyFill="1" applyBorder="1" applyAlignment="1">
      <alignment vertical="center" wrapText="1"/>
    </xf>
    <xf numFmtId="0" fontId="6" fillId="16" borderId="27" xfId="0" applyFont="1" applyFill="1" applyBorder="1" applyAlignment="1">
      <alignment horizontal="center" vertical="center"/>
    </xf>
    <xf numFmtId="1" fontId="6" fillId="16" borderId="18" xfId="0" applyNumberFormat="1" applyFont="1" applyFill="1" applyBorder="1" applyAlignment="1">
      <alignment horizontal="center" vertical="center"/>
    </xf>
    <xf numFmtId="1" fontId="6" fillId="16" borderId="43" xfId="0" applyNumberFormat="1" applyFont="1" applyFill="1" applyBorder="1" applyAlignment="1">
      <alignment horizontal="center" vertical="center"/>
    </xf>
    <xf numFmtId="1" fontId="6" fillId="16" borderId="27" xfId="0" applyNumberFormat="1" applyFont="1" applyFill="1" applyBorder="1" applyAlignment="1">
      <alignment horizontal="center" vertical="center"/>
    </xf>
    <xf numFmtId="0" fontId="6" fillId="16" borderId="18" xfId="0" applyFont="1" applyFill="1" applyBorder="1" applyAlignment="1">
      <alignment horizontal="center" vertical="center"/>
    </xf>
    <xf numFmtId="0" fontId="7" fillId="16" borderId="23" xfId="0" applyFont="1" applyFill="1" applyBorder="1" applyAlignment="1">
      <alignment horizontal="center" vertical="center"/>
    </xf>
    <xf numFmtId="0" fontId="7" fillId="16" borderId="30" xfId="0" applyFont="1" applyFill="1" applyBorder="1" applyAlignment="1">
      <alignment horizontal="center" vertical="center"/>
    </xf>
    <xf numFmtId="0" fontId="7" fillId="16" borderId="24" xfId="0" applyFont="1" applyFill="1" applyBorder="1" applyAlignment="1">
      <alignment horizontal="right" vertical="center" wrapText="1"/>
    </xf>
    <xf numFmtId="0" fontId="7" fillId="16" borderId="24" xfId="0" applyFont="1" applyFill="1" applyBorder="1" applyAlignment="1">
      <alignment horizontal="center" vertical="center" wrapText="1"/>
    </xf>
    <xf numFmtId="0" fontId="7" fillId="16" borderId="24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1" fontId="7" fillId="16" borderId="25" xfId="0" applyNumberFormat="1" applyFont="1" applyFill="1" applyBorder="1" applyAlignment="1">
      <alignment horizontal="center" vertical="center"/>
    </xf>
    <xf numFmtId="1" fontId="7" fillId="16" borderId="11" xfId="0" applyNumberFormat="1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vertical="center"/>
    </xf>
    <xf numFmtId="1" fontId="6" fillId="14" borderId="1" xfId="0" applyNumberFormat="1" applyFont="1" applyFill="1" applyBorder="1" applyAlignment="1">
      <alignment horizontal="center"/>
    </xf>
    <xf numFmtId="2" fontId="6" fillId="14" borderId="6" xfId="0" applyNumberFormat="1" applyFont="1" applyFill="1" applyBorder="1" applyAlignment="1">
      <alignment horizontal="center" vertical="center"/>
    </xf>
    <xf numFmtId="2" fontId="6" fillId="14" borderId="40" xfId="0" applyNumberFormat="1" applyFont="1" applyFill="1" applyBorder="1" applyAlignment="1">
      <alignment horizontal="center" vertical="center"/>
    </xf>
    <xf numFmtId="0" fontId="6" fillId="14" borderId="53" xfId="0" applyFont="1" applyFill="1" applyBorder="1" applyAlignment="1">
      <alignment horizontal="center" vertical="center"/>
    </xf>
    <xf numFmtId="0" fontId="6" fillId="14" borderId="22" xfId="0" applyFont="1" applyFill="1" applyBorder="1" applyAlignment="1">
      <alignment horizontal="center" vertical="center"/>
    </xf>
    <xf numFmtId="1" fontId="7" fillId="14" borderId="1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2" fontId="7" fillId="14" borderId="6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/>
    </xf>
    <xf numFmtId="2" fontId="6" fillId="8" borderId="6" xfId="0" applyNumberFormat="1" applyFont="1" applyFill="1" applyBorder="1" applyAlignment="1">
      <alignment horizontal="center" vertical="center"/>
    </xf>
    <xf numFmtId="2" fontId="6" fillId="8" borderId="40" xfId="0" applyNumberFormat="1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2" fontId="6" fillId="8" borderId="43" xfId="0" applyNumberFormat="1" applyFont="1" applyFill="1" applyBorder="1" applyAlignment="1">
      <alignment horizontal="center" vertical="center"/>
    </xf>
    <xf numFmtId="0" fontId="6" fillId="8" borderId="61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/>
    </xf>
    <xf numFmtId="2" fontId="7" fillId="8" borderId="18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/>
    </xf>
    <xf numFmtId="2" fontId="6" fillId="16" borderId="6" xfId="0" applyNumberFormat="1" applyFont="1" applyFill="1" applyBorder="1" applyAlignment="1">
      <alignment horizontal="center" vertical="center"/>
    </xf>
    <xf numFmtId="2" fontId="6" fillId="16" borderId="40" xfId="0" applyNumberFormat="1" applyFont="1" applyFill="1" applyBorder="1" applyAlignment="1">
      <alignment horizontal="center" vertical="center"/>
    </xf>
    <xf numFmtId="0" fontId="6" fillId="16" borderId="20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6" borderId="22" xfId="0" applyFont="1" applyFill="1" applyBorder="1" applyAlignment="1">
      <alignment horizontal="center" vertical="center"/>
    </xf>
    <xf numFmtId="0" fontId="6" fillId="16" borderId="45" xfId="0" applyFont="1" applyFill="1" applyBorder="1" applyAlignment="1">
      <alignment horizontal="center" vertical="center"/>
    </xf>
    <xf numFmtId="0" fontId="6" fillId="16" borderId="17" xfId="0" applyFont="1" applyFill="1" applyBorder="1" applyAlignment="1">
      <alignment horizontal="center" vertical="center"/>
    </xf>
    <xf numFmtId="0" fontId="7" fillId="16" borderId="36" xfId="0" applyFont="1" applyFill="1" applyBorder="1" applyAlignment="1">
      <alignment horizontal="right" vertical="center" wrapText="1"/>
    </xf>
    <xf numFmtId="2" fontId="6" fillId="16" borderId="0" xfId="0" applyNumberFormat="1" applyFont="1" applyFill="1" applyAlignment="1">
      <alignment horizontal="center" vertical="center"/>
    </xf>
    <xf numFmtId="1" fontId="7" fillId="8" borderId="24" xfId="0" applyNumberFormat="1" applyFont="1" applyFill="1" applyBorder="1" applyAlignment="1">
      <alignment horizontal="center" vertical="center"/>
    </xf>
    <xf numFmtId="1" fontId="7" fillId="8" borderId="25" xfId="0" applyNumberFormat="1" applyFont="1" applyFill="1" applyBorder="1" applyAlignment="1">
      <alignment horizontal="center" vertical="center"/>
    </xf>
    <xf numFmtId="0" fontId="6" fillId="16" borderId="54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2" fontId="7" fillId="8" borderId="48" xfId="0" applyNumberFormat="1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2" fontId="6" fillId="16" borderId="18" xfId="0" applyNumberFormat="1" applyFont="1" applyFill="1" applyBorder="1" applyAlignment="1">
      <alignment horizontal="center" vertical="center"/>
    </xf>
    <xf numFmtId="2" fontId="7" fillId="16" borderId="25" xfId="0" applyNumberFormat="1" applyFont="1" applyFill="1" applyBorder="1" applyAlignment="1">
      <alignment horizontal="center" vertical="center"/>
    </xf>
    <xf numFmtId="1" fontId="7" fillId="2" borderId="24" xfId="0" applyNumberFormat="1" applyFont="1" applyFill="1" applyBorder="1" applyAlignment="1">
      <alignment horizontal="center" vertical="center" wrapText="1"/>
    </xf>
    <xf numFmtId="1" fontId="7" fillId="5" borderId="24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" fontId="6" fillId="4" borderId="20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41" fillId="15" borderId="49" xfId="0" applyFont="1" applyFill="1" applyBorder="1" applyAlignment="1">
      <alignment horizontal="center" wrapText="1" readingOrder="1"/>
    </xf>
    <xf numFmtId="0" fontId="42" fillId="15" borderId="49" xfId="0" applyFont="1" applyFill="1" applyBorder="1" applyAlignment="1">
      <alignment horizontal="center" wrapText="1" readingOrder="1"/>
    </xf>
    <xf numFmtId="0" fontId="42" fillId="15" borderId="49" xfId="0" applyFont="1" applyFill="1" applyBorder="1" applyAlignment="1">
      <alignment horizontal="center" vertical="center" wrapText="1" readingOrder="1"/>
    </xf>
    <xf numFmtId="0" fontId="27" fillId="4" borderId="1" xfId="0" applyFont="1" applyFill="1" applyBorder="1" applyAlignment="1">
      <alignment horizontal="center" vertical="center"/>
    </xf>
    <xf numFmtId="1" fontId="27" fillId="0" borderId="0" xfId="0" applyNumberFormat="1" applyFont="1" applyAlignment="1">
      <alignment horizontal="left"/>
    </xf>
    <xf numFmtId="1" fontId="27" fillId="0" borderId="0" xfId="0" applyNumberFormat="1" applyFont="1"/>
    <xf numFmtId="0" fontId="26" fillId="21" borderId="64" xfId="0" applyFont="1" applyFill="1" applyBorder="1" applyAlignment="1">
      <alignment horizontal="center" vertical="center" wrapText="1" readingOrder="1"/>
    </xf>
    <xf numFmtId="0" fontId="26" fillId="23" borderId="65" xfId="0" applyFont="1" applyFill="1" applyBorder="1" applyAlignment="1">
      <alignment horizontal="center" vertical="center" wrapText="1" readingOrder="1"/>
    </xf>
    <xf numFmtId="2" fontId="26" fillId="21" borderId="64" xfId="0" applyNumberFormat="1" applyFont="1" applyFill="1" applyBorder="1" applyAlignment="1">
      <alignment horizontal="center" vertical="center" wrapText="1" readingOrder="1"/>
    </xf>
    <xf numFmtId="2" fontId="26" fillId="23" borderId="65" xfId="0" applyNumberFormat="1" applyFont="1" applyFill="1" applyBorder="1" applyAlignment="1">
      <alignment horizontal="center" vertical="center" wrapText="1" readingOrder="1"/>
    </xf>
    <xf numFmtId="0" fontId="15" fillId="21" borderId="64" xfId="0" applyFont="1" applyFill="1" applyBorder="1" applyAlignment="1">
      <alignment horizontal="center" vertical="center" wrapText="1"/>
    </xf>
    <xf numFmtId="0" fontId="15" fillId="22" borderId="64" xfId="0" applyFont="1" applyFill="1" applyBorder="1" applyAlignment="1">
      <alignment horizontal="center" vertical="center" wrapText="1"/>
    </xf>
    <xf numFmtId="0" fontId="39" fillId="23" borderId="65" xfId="0" applyFont="1" applyFill="1" applyBorder="1" applyAlignment="1">
      <alignment horizontal="right" vertical="center" wrapText="1" readingOrder="1"/>
    </xf>
    <xf numFmtId="0" fontId="39" fillId="23" borderId="65" xfId="0" applyFont="1" applyFill="1" applyBorder="1" applyAlignment="1">
      <alignment horizontal="center" vertical="center" wrapText="1" readingOrder="1"/>
    </xf>
    <xf numFmtId="0" fontId="39" fillId="22" borderId="65" xfId="0" applyFont="1" applyFill="1" applyBorder="1" applyAlignment="1">
      <alignment horizontal="center" vertical="center" wrapText="1" readingOrder="1"/>
    </xf>
    <xf numFmtId="0" fontId="15" fillId="23" borderId="66" xfId="0" applyFont="1" applyFill="1" applyBorder="1" applyAlignment="1">
      <alignment horizontal="center" vertical="center" wrapText="1"/>
    </xf>
    <xf numFmtId="0" fontId="15" fillId="22" borderId="66" xfId="0" applyFont="1" applyFill="1" applyBorder="1" applyAlignment="1">
      <alignment horizontal="center" vertical="center" wrapText="1"/>
    </xf>
    <xf numFmtId="2" fontId="39" fillId="23" borderId="65" xfId="0" applyNumberFormat="1" applyFont="1" applyFill="1" applyBorder="1" applyAlignment="1">
      <alignment horizontal="center" vertical="center" wrapText="1" readingOrder="1"/>
    </xf>
    <xf numFmtId="1" fontId="26" fillId="21" borderId="64" xfId="0" applyNumberFormat="1" applyFont="1" applyFill="1" applyBorder="1" applyAlignment="1">
      <alignment horizontal="center" vertical="center" wrapText="1" readingOrder="1"/>
    </xf>
    <xf numFmtId="1" fontId="26" fillId="23" borderId="65" xfId="0" applyNumberFormat="1" applyFont="1" applyFill="1" applyBorder="1" applyAlignment="1">
      <alignment horizontal="center" vertical="center" wrapText="1" readingOrder="1"/>
    </xf>
    <xf numFmtId="0" fontId="6" fillId="6" borderId="55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6" borderId="27" xfId="0" applyFont="1" applyFill="1" applyBorder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7" fillId="8" borderId="44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1" fontId="7" fillId="8" borderId="23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7" fillId="14" borderId="23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17" fontId="7" fillId="10" borderId="1" xfId="0" applyNumberFormat="1" applyFont="1" applyFill="1" applyBorder="1" applyAlignment="1">
      <alignment horizontal="center" vertical="center" wrapText="1"/>
    </xf>
    <xf numFmtId="17" fontId="7" fillId="6" borderId="1" xfId="0" applyNumberFormat="1" applyFont="1" applyFill="1" applyBorder="1" applyAlignment="1">
      <alignment horizontal="center" vertical="center" wrapText="1"/>
    </xf>
    <xf numFmtId="165" fontId="7" fillId="8" borderId="23" xfId="0" applyNumberFormat="1" applyFont="1" applyFill="1" applyBorder="1" applyAlignment="1">
      <alignment horizontal="center" vertical="center"/>
    </xf>
    <xf numFmtId="1" fontId="13" fillId="6" borderId="1" xfId="0" applyNumberFormat="1" applyFont="1" applyFill="1" applyBorder="1" applyAlignment="1">
      <alignment horizontal="center" vertical="center" wrapText="1"/>
    </xf>
    <xf numFmtId="0" fontId="8" fillId="0" borderId="48" xfId="0" applyFont="1" applyBorder="1" applyAlignment="1">
      <alignment wrapText="1"/>
    </xf>
    <xf numFmtId="0" fontId="20" fillId="0" borderId="74" xfId="0" applyFont="1" applyBorder="1" applyAlignment="1">
      <alignment wrapText="1"/>
    </xf>
    <xf numFmtId="0" fontId="20" fillId="0" borderId="76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74" xfId="0" applyFont="1" applyBorder="1"/>
    <xf numFmtId="0" fontId="20" fillId="0" borderId="76" xfId="0" applyFont="1" applyBorder="1"/>
    <xf numFmtId="0" fontId="20" fillId="0" borderId="62" xfId="0" applyFont="1" applyBorder="1"/>
    <xf numFmtId="0" fontId="20" fillId="6" borderId="11" xfId="0" applyFont="1" applyFill="1" applyBorder="1"/>
    <xf numFmtId="0" fontId="8" fillId="6" borderId="10" xfId="0" applyFont="1" applyFill="1" applyBorder="1" applyAlignment="1">
      <alignment vertical="center"/>
    </xf>
    <xf numFmtId="0" fontId="20" fillId="6" borderId="13" xfId="0" applyFont="1" applyFill="1" applyBorder="1"/>
    <xf numFmtId="0" fontId="20" fillId="6" borderId="31" xfId="0" applyFont="1" applyFill="1" applyBorder="1"/>
    <xf numFmtId="0" fontId="20" fillId="6" borderId="14" xfId="0" applyFont="1" applyFill="1" applyBorder="1"/>
    <xf numFmtId="0" fontId="20" fillId="6" borderId="15" xfId="0" applyFont="1" applyFill="1" applyBorder="1"/>
    <xf numFmtId="0" fontId="20" fillId="6" borderId="0" xfId="0" applyFont="1" applyFill="1"/>
    <xf numFmtId="0" fontId="20" fillId="6" borderId="16" xfId="0" applyFont="1" applyFill="1" applyBorder="1"/>
    <xf numFmtId="0" fontId="20" fillId="6" borderId="28" xfId="0" applyFont="1" applyFill="1" applyBorder="1"/>
    <xf numFmtId="0" fontId="20" fillId="6" borderId="32" xfId="0" applyFont="1" applyFill="1" applyBorder="1"/>
    <xf numFmtId="0" fontId="20" fillId="6" borderId="33" xfId="0" applyFont="1" applyFill="1" applyBorder="1"/>
    <xf numFmtId="0" fontId="20" fillId="0" borderId="12" xfId="0" applyFont="1" applyBorder="1"/>
    <xf numFmtId="1" fontId="6" fillId="16" borderId="44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1" fontId="15" fillId="2" borderId="1" xfId="0" applyNumberFormat="1" applyFont="1" applyFill="1" applyBorder="1" applyAlignment="1">
      <alignment horizontal="center"/>
    </xf>
    <xf numFmtId="1" fontId="15" fillId="2" borderId="20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 vertical="center"/>
    </xf>
    <xf numFmtId="2" fontId="15" fillId="2" borderId="53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1" fontId="7" fillId="16" borderId="44" xfId="0" applyNumberFormat="1" applyFont="1" applyFill="1" applyBorder="1" applyAlignment="1">
      <alignment horizontal="center" vertical="center"/>
    </xf>
    <xf numFmtId="1" fontId="6" fillId="16" borderId="44" xfId="0" applyNumberFormat="1" applyFont="1" applyFill="1" applyBorder="1" applyAlignment="1">
      <alignment horizontal="center"/>
    </xf>
    <xf numFmtId="1" fontId="6" fillId="16" borderId="19" xfId="0" applyNumberFormat="1" applyFont="1" applyFill="1" applyBorder="1" applyAlignment="1">
      <alignment horizontal="center" vertical="center"/>
    </xf>
    <xf numFmtId="0" fontId="7" fillId="16" borderId="29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vertical="center" wrapText="1"/>
    </xf>
    <xf numFmtId="1" fontId="27" fillId="0" borderId="1" xfId="0" applyNumberFormat="1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7" fillId="28" borderId="1" xfId="0" applyFont="1" applyFill="1" applyBorder="1" applyAlignment="1">
      <alignment horizontal="center" vertical="center"/>
    </xf>
    <xf numFmtId="0" fontId="27" fillId="29" borderId="1" xfId="0" applyFont="1" applyFill="1" applyBorder="1" applyAlignment="1">
      <alignment horizontal="center" vertical="center"/>
    </xf>
    <xf numFmtId="1" fontId="7" fillId="16" borderId="24" xfId="0" applyNumberFormat="1" applyFont="1" applyFill="1" applyBorder="1" applyAlignment="1">
      <alignment horizontal="center" vertical="center"/>
    </xf>
    <xf numFmtId="1" fontId="6" fillId="5" borderId="26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0" fontId="20" fillId="0" borderId="77" xfId="0" applyFont="1" applyBorder="1"/>
    <xf numFmtId="0" fontId="8" fillId="0" borderId="79" xfId="0" applyFont="1" applyBorder="1" applyAlignment="1">
      <alignment vertical="center" wrapText="1"/>
    </xf>
    <xf numFmtId="0" fontId="8" fillId="0" borderId="80" xfId="0" applyFont="1" applyBorder="1" applyAlignment="1">
      <alignment wrapText="1"/>
    </xf>
    <xf numFmtId="0" fontId="20" fillId="0" borderId="80" xfId="0" applyFont="1" applyBorder="1" applyAlignment="1">
      <alignment wrapText="1"/>
    </xf>
    <xf numFmtId="0" fontId="8" fillId="0" borderId="79" xfId="0" applyFont="1" applyBorder="1" applyAlignment="1">
      <alignment wrapText="1"/>
    </xf>
    <xf numFmtId="0" fontId="20" fillId="0" borderId="79" xfId="0" applyFont="1" applyBorder="1"/>
    <xf numFmtId="0" fontId="20" fillId="0" borderId="78" xfId="0" applyFont="1" applyBorder="1"/>
    <xf numFmtId="0" fontId="20" fillId="0" borderId="8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8" fillId="3" borderId="78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6" borderId="20" xfId="0" applyFont="1" applyFill="1" applyBorder="1" applyAlignment="1">
      <alignment horizontal="left" vertical="center" wrapText="1"/>
    </xf>
    <xf numFmtId="0" fontId="6" fillId="6" borderId="36" xfId="0" applyFont="1" applyFill="1" applyBorder="1" applyAlignment="1">
      <alignment horizontal="center" vertical="center"/>
    </xf>
    <xf numFmtId="14" fontId="13" fillId="6" borderId="30" xfId="0" applyNumberFormat="1" applyFont="1" applyFill="1" applyBorder="1" applyAlignment="1">
      <alignment horizontal="center" vertical="center" textRotation="90" wrapText="1"/>
    </xf>
    <xf numFmtId="0" fontId="11" fillId="6" borderId="16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6" fillId="30" borderId="23" xfId="0" applyFont="1" applyFill="1" applyBorder="1" applyAlignment="1">
      <alignment horizontal="center" vertical="center"/>
    </xf>
    <xf numFmtId="0" fontId="6" fillId="30" borderId="24" xfId="0" applyFont="1" applyFill="1" applyBorder="1"/>
    <xf numFmtId="0" fontId="11" fillId="30" borderId="11" xfId="0" applyFont="1" applyFill="1" applyBorder="1" applyAlignment="1">
      <alignment vertical="center" wrapText="1"/>
    </xf>
    <xf numFmtId="0" fontId="7" fillId="30" borderId="24" xfId="0" applyFont="1" applyFill="1" applyBorder="1" applyAlignment="1">
      <alignment horizontal="center" vertical="center"/>
    </xf>
    <xf numFmtId="1" fontId="7" fillId="30" borderId="24" xfId="0" applyNumberFormat="1" applyFont="1" applyFill="1" applyBorder="1" applyAlignment="1">
      <alignment horizontal="center" vertical="center"/>
    </xf>
    <xf numFmtId="0" fontId="7" fillId="30" borderId="25" xfId="0" applyFont="1" applyFill="1" applyBorder="1" applyAlignment="1">
      <alignment horizontal="center" vertical="center"/>
    </xf>
    <xf numFmtId="0" fontId="7" fillId="30" borderId="24" xfId="0" applyFont="1" applyFill="1" applyBorder="1" applyAlignment="1">
      <alignment horizontal="left" vertical="center" wrapText="1"/>
    </xf>
    <xf numFmtId="0" fontId="11" fillId="6" borderId="32" xfId="0" applyFont="1" applyFill="1" applyBorder="1" applyAlignment="1">
      <alignment vertical="center" wrapText="1"/>
    </xf>
    <xf numFmtId="1" fontId="7" fillId="30" borderId="25" xfId="0" applyNumberFormat="1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vertical="center" wrapText="1"/>
    </xf>
    <xf numFmtId="0" fontId="6" fillId="6" borderId="18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17" fontId="7" fillId="6" borderId="37" xfId="0" applyNumberFormat="1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14" fontId="13" fillId="6" borderId="38" xfId="0" applyNumberFormat="1" applyFont="1" applyFill="1" applyBorder="1" applyAlignment="1">
      <alignment horizontal="center" vertical="center" textRotation="90" wrapText="1"/>
    </xf>
    <xf numFmtId="0" fontId="6" fillId="6" borderId="3" xfId="0" applyFont="1" applyFill="1" applyBorder="1" applyAlignment="1">
      <alignment wrapText="1"/>
    </xf>
    <xf numFmtId="1" fontId="6" fillId="6" borderId="3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/>
    <xf numFmtId="0" fontId="6" fillId="6" borderId="8" xfId="0" applyFont="1" applyFill="1" applyBorder="1" applyAlignment="1">
      <alignment horizontal="center" vertical="center"/>
    </xf>
    <xf numFmtId="1" fontId="6" fillId="6" borderId="29" xfId="0" applyNumberFormat="1" applyFont="1" applyFill="1" applyBorder="1" applyAlignment="1">
      <alignment horizontal="center" vertical="center"/>
    </xf>
    <xf numFmtId="1" fontId="6" fillId="31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" fontId="6" fillId="32" borderId="1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6" borderId="6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 readingOrder="1"/>
    </xf>
    <xf numFmtId="0" fontId="6" fillId="2" borderId="17" xfId="0" applyFont="1" applyFill="1" applyBorder="1" applyAlignment="1">
      <alignment horizontal="center" vertical="center"/>
    </xf>
    <xf numFmtId="1" fontId="6" fillId="2" borderId="17" xfId="0" applyNumberFormat="1" applyFont="1" applyFill="1" applyBorder="1" applyAlignment="1">
      <alignment horizontal="center" vertical="center"/>
    </xf>
    <xf numFmtId="1" fontId="6" fillId="2" borderId="63" xfId="0" applyNumberFormat="1" applyFont="1" applyFill="1" applyBorder="1" applyAlignment="1">
      <alignment horizontal="center" vertical="center"/>
    </xf>
    <xf numFmtId="165" fontId="7" fillId="2" borderId="23" xfId="0" applyNumberFormat="1" applyFont="1" applyFill="1" applyBorder="1" applyAlignment="1">
      <alignment horizontal="center" vertical="center"/>
    </xf>
    <xf numFmtId="1" fontId="7" fillId="30" borderId="36" xfId="0" applyNumberFormat="1" applyFont="1" applyFill="1" applyBorder="1" applyAlignment="1">
      <alignment horizontal="center" vertical="center"/>
    </xf>
    <xf numFmtId="0" fontId="7" fillId="30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0" fontId="7" fillId="30" borderId="34" xfId="0" applyFont="1" applyFill="1" applyBorder="1" applyAlignment="1">
      <alignment horizontal="center" vertical="center"/>
    </xf>
    <xf numFmtId="0" fontId="7" fillId="30" borderId="36" xfId="0" applyFont="1" applyFill="1" applyBorder="1"/>
    <xf numFmtId="0" fontId="7" fillId="30" borderId="75" xfId="0" applyFont="1" applyFill="1" applyBorder="1" applyAlignment="1">
      <alignment horizontal="center" vertical="center"/>
    </xf>
    <xf numFmtId="0" fontId="7" fillId="30" borderId="29" xfId="0" applyFont="1" applyFill="1" applyBorder="1"/>
    <xf numFmtId="0" fontId="6" fillId="30" borderId="75" xfId="0" applyFont="1" applyFill="1" applyBorder="1" applyAlignment="1">
      <alignment horizontal="center" vertical="center"/>
    </xf>
    <xf numFmtId="0" fontId="6" fillId="6" borderId="24" xfId="0" applyFont="1" applyFill="1" applyBorder="1"/>
    <xf numFmtId="0" fontId="11" fillId="6" borderId="11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horizontal="center" vertical="center"/>
    </xf>
    <xf numFmtId="1" fontId="6" fillId="6" borderId="0" xfId="0" applyNumberFormat="1" applyFont="1" applyFill="1"/>
    <xf numFmtId="0" fontId="20" fillId="9" borderId="75" xfId="0" applyFont="1" applyFill="1" applyBorder="1"/>
    <xf numFmtId="0" fontId="8" fillId="9" borderId="29" xfId="0" applyFont="1" applyFill="1" applyBorder="1" applyAlignment="1">
      <alignment horizontal="center" vertical="center"/>
    </xf>
    <xf numFmtId="1" fontId="8" fillId="9" borderId="29" xfId="0" applyNumberFormat="1" applyFont="1" applyFill="1" applyBorder="1" applyAlignment="1">
      <alignment horizontal="center" vertical="center"/>
    </xf>
    <xf numFmtId="1" fontId="8" fillId="9" borderId="24" xfId="0" applyNumberFormat="1" applyFont="1" applyFill="1" applyBorder="1" applyAlignment="1">
      <alignment horizontal="center" vertical="center"/>
    </xf>
    <xf numFmtId="0" fontId="8" fillId="9" borderId="32" xfId="0" applyFont="1" applyFill="1" applyBorder="1" applyAlignment="1">
      <alignment vertical="center" wrapText="1"/>
    </xf>
    <xf numFmtId="0" fontId="7" fillId="30" borderId="29" xfId="0" applyFont="1" applyFill="1" applyBorder="1" applyAlignment="1">
      <alignment horizontal="left" vertical="center" wrapText="1"/>
    </xf>
    <xf numFmtId="1" fontId="7" fillId="0" borderId="1" xfId="0" applyNumberFormat="1" applyFont="1" applyBorder="1"/>
    <xf numFmtId="1" fontId="7" fillId="30" borderId="44" xfId="0" applyNumberFormat="1" applyFont="1" applyFill="1" applyBorder="1" applyAlignment="1">
      <alignment horizontal="center" vertical="center"/>
    </xf>
    <xf numFmtId="1" fontId="6" fillId="12" borderId="0" xfId="0" applyNumberFormat="1" applyFont="1" applyFill="1"/>
    <xf numFmtId="0" fontId="7" fillId="30" borderId="44" xfId="0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7" fillId="6" borderId="35" xfId="0" applyFont="1" applyFill="1" applyBorder="1" applyAlignment="1">
      <alignment horizontal="left" vertical="center" wrapText="1"/>
    </xf>
    <xf numFmtId="0" fontId="7" fillId="6" borderId="24" xfId="0" applyFont="1" applyFill="1" applyBorder="1" applyAlignment="1">
      <alignment horizontal="left" vertical="center"/>
    </xf>
    <xf numFmtId="0" fontId="7" fillId="6" borderId="36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7" fillId="30" borderId="36" xfId="0" applyFont="1" applyFill="1" applyBorder="1" applyAlignment="1">
      <alignment horizontal="left" vertical="center" wrapText="1"/>
    </xf>
    <xf numFmtId="0" fontId="20" fillId="9" borderId="29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6" fillId="27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13" fillId="6" borderId="20" xfId="0" applyNumberFormat="1" applyFont="1" applyFill="1" applyBorder="1" applyAlignment="1">
      <alignment horizontal="center" vertical="center" wrapText="1" readingOrder="1"/>
    </xf>
    <xf numFmtId="165" fontId="6" fillId="0" borderId="0" xfId="0" applyNumberFormat="1" applyFont="1"/>
    <xf numFmtId="166" fontId="6" fillId="8" borderId="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readingOrder="1"/>
    </xf>
    <xf numFmtId="9" fontId="6" fillId="0" borderId="1" xfId="1" applyFont="1" applyFill="1" applyBorder="1" applyAlignment="1">
      <alignment horizontal="center" vertical="center"/>
    </xf>
    <xf numFmtId="0" fontId="20" fillId="0" borderId="79" xfId="0" applyFont="1" applyBorder="1" applyAlignment="1">
      <alignment vertical="center" wrapText="1"/>
    </xf>
    <xf numFmtId="2" fontId="7" fillId="2" borderId="23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vertical="center"/>
    </xf>
    <xf numFmtId="165" fontId="13" fillId="6" borderId="1" xfId="0" applyNumberFormat="1" applyFont="1" applyFill="1" applyBorder="1" applyAlignment="1">
      <alignment horizontal="center" vertical="center" wrapText="1" readingOrder="1"/>
    </xf>
    <xf numFmtId="166" fontId="7" fillId="2" borderId="23" xfId="0" applyNumberFormat="1" applyFont="1" applyFill="1" applyBorder="1" applyAlignment="1">
      <alignment horizontal="center" vertical="center"/>
    </xf>
    <xf numFmtId="0" fontId="1" fillId="0" borderId="0" xfId="2" applyFont="1"/>
    <xf numFmtId="0" fontId="43" fillId="0" borderId="0" xfId="2"/>
    <xf numFmtId="0" fontId="46" fillId="0" borderId="0" xfId="2" applyFont="1"/>
    <xf numFmtId="0" fontId="43" fillId="0" borderId="0" xfId="2" applyAlignment="1">
      <alignment horizontal="center"/>
    </xf>
    <xf numFmtId="0" fontId="1" fillId="0" borderId="0" xfId="2" applyFont="1" applyAlignment="1">
      <alignment horizontal="center"/>
    </xf>
    <xf numFmtId="0" fontId="16" fillId="15" borderId="49" xfId="0" applyFont="1" applyFill="1" applyBorder="1" applyAlignment="1">
      <alignment horizontal="center" vertical="center" wrapText="1" readingOrder="1"/>
    </xf>
    <xf numFmtId="14" fontId="10" fillId="33" borderId="1" xfId="0" applyNumberFormat="1" applyFont="1" applyFill="1" applyBorder="1" applyAlignment="1">
      <alignment horizontal="center" vertical="center" wrapText="1"/>
    </xf>
    <xf numFmtId="1" fontId="7" fillId="3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8" fillId="6" borderId="74" xfId="0" applyFont="1" applyFill="1" applyBorder="1" applyAlignment="1">
      <alignment horizontal="left" vertical="center"/>
    </xf>
    <xf numFmtId="0" fontId="8" fillId="6" borderId="76" xfId="0" applyFont="1" applyFill="1" applyBorder="1" applyAlignment="1">
      <alignment horizontal="left" vertical="center"/>
    </xf>
    <xf numFmtId="0" fontId="8" fillId="6" borderId="62" xfId="0" applyFont="1" applyFill="1" applyBorder="1" applyAlignment="1">
      <alignment horizontal="left" vertical="center"/>
    </xf>
    <xf numFmtId="0" fontId="8" fillId="0" borderId="74" xfId="0" applyFont="1" applyBorder="1" applyAlignment="1">
      <alignment horizontal="left" vertical="center"/>
    </xf>
    <xf numFmtId="0" fontId="8" fillId="0" borderId="76" xfId="0" applyFont="1" applyBorder="1" applyAlignment="1">
      <alignment horizontal="left" vertical="center"/>
    </xf>
    <xf numFmtId="0" fontId="8" fillId="0" borderId="62" xfId="0" applyFont="1" applyBorder="1" applyAlignment="1">
      <alignment horizontal="left" vertical="center"/>
    </xf>
    <xf numFmtId="0" fontId="8" fillId="2" borderId="77" xfId="0" applyFont="1" applyFill="1" applyBorder="1" applyAlignment="1">
      <alignment horizontal="center" vertical="center" wrapText="1"/>
    </xf>
    <xf numFmtId="0" fontId="8" fillId="2" borderId="7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8" borderId="23" xfId="0" applyFont="1" applyFill="1" applyBorder="1" applyAlignment="1">
      <alignment horizontal="right" vertical="center"/>
    </xf>
    <xf numFmtId="0" fontId="9" fillId="8" borderId="24" xfId="0" applyFont="1" applyFill="1" applyBorder="1" applyAlignment="1">
      <alignment horizontal="right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left" vertical="center"/>
    </xf>
    <xf numFmtId="0" fontId="8" fillId="9" borderId="24" xfId="0" applyFont="1" applyFill="1" applyBorder="1" applyAlignment="1">
      <alignment horizontal="left" vertical="center"/>
    </xf>
    <xf numFmtId="0" fontId="8" fillId="9" borderId="25" xfId="0" applyFont="1" applyFill="1" applyBorder="1" applyAlignment="1">
      <alignment horizontal="left" vertical="center"/>
    </xf>
    <xf numFmtId="0" fontId="9" fillId="8" borderId="34" xfId="0" applyFont="1" applyFill="1" applyBorder="1" applyAlignment="1">
      <alignment horizontal="right" vertical="center"/>
    </xf>
    <xf numFmtId="0" fontId="9" fillId="8" borderId="36" xfId="0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wrapText="1"/>
    </xf>
    <xf numFmtId="0" fontId="6" fillId="6" borderId="16" xfId="0" applyFont="1" applyFill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164" fontId="11" fillId="20" borderId="23" xfId="0" applyNumberFormat="1" applyFont="1" applyFill="1" applyBorder="1" applyAlignment="1">
      <alignment horizontal="center" vertical="center"/>
    </xf>
    <xf numFmtId="0" fontId="14" fillId="6" borderId="24" xfId="0" applyFont="1" applyFill="1" applyBorder="1" applyAlignment="1"/>
    <xf numFmtId="0" fontId="14" fillId="6" borderId="51" xfId="0" applyFont="1" applyFill="1" applyBorder="1" applyAlignment="1"/>
    <xf numFmtId="0" fontId="14" fillId="6" borderId="25" xfId="0" applyFont="1" applyFill="1" applyBorder="1" applyAlignment="1"/>
    <xf numFmtId="0" fontId="6" fillId="6" borderId="1" xfId="0" applyFont="1" applyFill="1" applyBorder="1" applyAlignment="1">
      <alignment horizontal="left" vertical="center"/>
    </xf>
    <xf numFmtId="0" fontId="6" fillId="6" borderId="27" xfId="0" applyFont="1" applyFill="1" applyBorder="1" applyAlignment="1">
      <alignment horizontal="left" vertical="center"/>
    </xf>
    <xf numFmtId="0" fontId="6" fillId="6" borderId="20" xfId="0" applyFont="1" applyFill="1" applyBorder="1" applyAlignment="1">
      <alignment horizontal="left" vertical="center"/>
    </xf>
    <xf numFmtId="0" fontId="6" fillId="6" borderId="44" xfId="0" applyFont="1" applyFill="1" applyBorder="1" applyAlignment="1">
      <alignment horizontal="left" vertical="center"/>
    </xf>
    <xf numFmtId="0" fontId="6" fillId="6" borderId="27" xfId="0" applyFont="1" applyFill="1" applyBorder="1" applyAlignment="1">
      <alignment horizontal="left" vertical="center" wrapText="1"/>
    </xf>
    <xf numFmtId="0" fontId="6" fillId="6" borderId="44" xfId="0" applyFont="1" applyFill="1" applyBorder="1" applyAlignment="1">
      <alignment horizontal="left" vertical="center" wrapText="1"/>
    </xf>
    <xf numFmtId="0" fontId="6" fillId="6" borderId="20" xfId="0" applyFont="1" applyFill="1" applyBorder="1" applyAlignment="1">
      <alignment horizontal="left" vertical="center" wrapText="1"/>
    </xf>
    <xf numFmtId="0" fontId="11" fillId="6" borderId="28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  <xf numFmtId="0" fontId="11" fillId="6" borderId="3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60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left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45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left" vertical="center" wrapText="1"/>
    </xf>
    <xf numFmtId="0" fontId="6" fillId="6" borderId="75" xfId="0" applyFont="1" applyFill="1" applyBorder="1" applyAlignment="1">
      <alignment horizontal="center" vertical="center"/>
    </xf>
    <xf numFmtId="164" fontId="11" fillId="11" borderId="23" xfId="0" applyNumberFormat="1" applyFont="1" applyFill="1" applyBorder="1" applyAlignment="1">
      <alignment horizontal="center" vertical="center"/>
    </xf>
    <xf numFmtId="0" fontId="14" fillId="0" borderId="24" xfId="0" applyFont="1" applyBorder="1" applyAlignment="1"/>
    <xf numFmtId="0" fontId="14" fillId="0" borderId="51" xfId="0" applyFont="1" applyBorder="1" applyAlignment="1"/>
    <xf numFmtId="0" fontId="14" fillId="0" borderId="25" xfId="0" applyFont="1" applyBorder="1" applyAlignment="1"/>
    <xf numFmtId="0" fontId="11" fillId="10" borderId="28" xfId="0" applyFont="1" applyFill="1" applyBorder="1" applyAlignment="1">
      <alignment horizontal="center" vertical="center" wrapText="1"/>
    </xf>
    <xf numFmtId="0" fontId="11" fillId="10" borderId="32" xfId="0" applyFont="1" applyFill="1" applyBorder="1" applyAlignment="1">
      <alignment horizontal="center" vertical="center" wrapText="1"/>
    </xf>
    <xf numFmtId="0" fontId="11" fillId="10" borderId="33" xfId="0" applyFont="1" applyFill="1" applyBorder="1" applyAlignment="1">
      <alignment horizontal="center" vertical="center" wrapText="1"/>
    </xf>
    <xf numFmtId="0" fontId="7" fillId="14" borderId="27" xfId="0" applyFont="1" applyFill="1" applyBorder="1" applyAlignment="1">
      <alignment horizontal="center" vertical="center"/>
    </xf>
    <xf numFmtId="0" fontId="7" fillId="14" borderId="2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29" fillId="9" borderId="53" xfId="0" applyFont="1" applyFill="1" applyBorder="1" applyAlignment="1">
      <alignment horizontal="center" vertical="center"/>
    </xf>
    <xf numFmtId="0" fontId="29" fillId="9" borderId="40" xfId="0" applyFont="1" applyFill="1" applyBorder="1" applyAlignment="1">
      <alignment horizontal="center" vertical="center"/>
    </xf>
    <xf numFmtId="0" fontId="29" fillId="9" borderId="59" xfId="0" applyFont="1" applyFill="1" applyBorder="1" applyAlignment="1">
      <alignment horizontal="center" vertical="center"/>
    </xf>
    <xf numFmtId="0" fontId="25" fillId="9" borderId="53" xfId="0" applyFont="1" applyFill="1" applyBorder="1" applyAlignment="1">
      <alignment horizontal="center" vertical="center" wrapText="1" readingOrder="1"/>
    </xf>
    <xf numFmtId="0" fontId="25" fillId="9" borderId="59" xfId="0" applyFont="1" applyFill="1" applyBorder="1" applyAlignment="1">
      <alignment horizontal="center" vertical="center" wrapText="1" readingOrder="1"/>
    </xf>
    <xf numFmtId="0" fontId="7" fillId="9" borderId="53" xfId="0" applyFont="1" applyFill="1" applyBorder="1" applyAlignment="1">
      <alignment horizontal="center" vertical="center" wrapText="1"/>
    </xf>
    <xf numFmtId="0" fontId="7" fillId="9" borderId="59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 readingOrder="1"/>
    </xf>
    <xf numFmtId="1" fontId="13" fillId="6" borderId="27" xfId="0" applyNumberFormat="1" applyFont="1" applyFill="1" applyBorder="1" applyAlignment="1">
      <alignment horizontal="center" vertical="center" wrapText="1" readingOrder="1"/>
    </xf>
    <xf numFmtId="1" fontId="13" fillId="6" borderId="44" xfId="0" applyNumberFormat="1" applyFont="1" applyFill="1" applyBorder="1" applyAlignment="1">
      <alignment horizontal="center" vertical="center" wrapText="1" readingOrder="1"/>
    </xf>
    <xf numFmtId="1" fontId="13" fillId="6" borderId="20" xfId="0" applyNumberFormat="1" applyFont="1" applyFill="1" applyBorder="1" applyAlignment="1">
      <alignment horizontal="center" vertical="center" wrapText="1" readingOrder="1"/>
    </xf>
    <xf numFmtId="0" fontId="37" fillId="26" borderId="67" xfId="0" applyFont="1" applyFill="1" applyBorder="1" applyAlignment="1">
      <alignment horizontal="center" wrapText="1" readingOrder="1"/>
    </xf>
    <xf numFmtId="0" fontId="37" fillId="26" borderId="68" xfId="0" applyFont="1" applyFill="1" applyBorder="1" applyAlignment="1">
      <alignment horizontal="center" wrapText="1" readingOrder="1"/>
    </xf>
    <xf numFmtId="0" fontId="37" fillId="26" borderId="56" xfId="0" applyFont="1" applyFill="1" applyBorder="1" applyAlignment="1">
      <alignment horizontal="center" wrapText="1" readingOrder="1"/>
    </xf>
    <xf numFmtId="0" fontId="37" fillId="26" borderId="69" xfId="0" applyFont="1" applyFill="1" applyBorder="1" applyAlignment="1">
      <alignment horizontal="center" wrapText="1" readingOrder="1"/>
    </xf>
    <xf numFmtId="0" fontId="37" fillId="26" borderId="70" xfId="0" applyFont="1" applyFill="1" applyBorder="1" applyAlignment="1">
      <alignment horizontal="center" wrapText="1" readingOrder="1"/>
    </xf>
    <xf numFmtId="0" fontId="37" fillId="26" borderId="71" xfId="0" applyFont="1" applyFill="1" applyBorder="1" applyAlignment="1">
      <alignment horizontal="center" wrapText="1" readingOrder="1"/>
    </xf>
    <xf numFmtId="0" fontId="37" fillId="26" borderId="72" xfId="0" applyFont="1" applyFill="1" applyBorder="1" applyAlignment="1">
      <alignment horizontal="center" wrapText="1" readingOrder="1"/>
    </xf>
    <xf numFmtId="0" fontId="37" fillId="26" borderId="73" xfId="0" applyFont="1" applyFill="1" applyBorder="1" applyAlignment="1">
      <alignment horizontal="center" wrapText="1" readingOrder="1"/>
    </xf>
    <xf numFmtId="0" fontId="37" fillId="26" borderId="58" xfId="0" applyFont="1" applyFill="1" applyBorder="1" applyAlignment="1">
      <alignment horizontal="center" wrapText="1" readingOrder="1"/>
    </xf>
    <xf numFmtId="0" fontId="38" fillId="15" borderId="67" xfId="0" applyFont="1" applyFill="1" applyBorder="1" applyAlignment="1">
      <alignment horizontal="center" wrapText="1" readingOrder="1"/>
    </xf>
    <xf numFmtId="0" fontId="38" fillId="15" borderId="68" xfId="0" applyFont="1" applyFill="1" applyBorder="1" applyAlignment="1">
      <alignment horizontal="center" wrapText="1" readingOrder="1"/>
    </xf>
    <xf numFmtId="0" fontId="38" fillId="15" borderId="56" xfId="0" applyFont="1" applyFill="1" applyBorder="1" applyAlignment="1">
      <alignment horizontal="center" wrapText="1" readingOrder="1"/>
    </xf>
    <xf numFmtId="0" fontId="24" fillId="4" borderId="53" xfId="0" applyFont="1" applyFill="1" applyBorder="1" applyAlignment="1">
      <alignment horizontal="center" vertical="center" wrapText="1"/>
    </xf>
    <xf numFmtId="0" fontId="24" fillId="4" borderId="59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6" fillId="16" borderId="1" xfId="0" applyNumberFormat="1" applyFont="1" applyFill="1" applyBorder="1" applyAlignment="1">
      <alignment horizontal="center" vertical="center"/>
    </xf>
    <xf numFmtId="1" fontId="6" fillId="6" borderId="27" xfId="0" applyNumberFormat="1" applyFont="1" applyFill="1" applyBorder="1" applyAlignment="1">
      <alignment horizontal="center" vertical="center"/>
    </xf>
    <xf numFmtId="1" fontId="6" fillId="6" borderId="20" xfId="0" applyNumberFormat="1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1" fontId="6" fillId="17" borderId="1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12" borderId="46" xfId="0" applyFont="1" applyFill="1" applyBorder="1" applyAlignment="1">
      <alignment horizontal="center" vertical="center"/>
    </xf>
    <xf numFmtId="0" fontId="7" fillId="12" borderId="47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</cellXfs>
  <cellStyles count="3">
    <cellStyle name="Normal" xfId="0" builtinId="0"/>
    <cellStyle name="Normal 3" xfId="2" xr:uid="{89946687-9423-4EBE-A4DE-D5AB66338FBF}"/>
    <cellStyle name="Percent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Piling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267830051388497E-2"/>
                  <c:y val="0.120626597885608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D1-484F-A7AD-8F774665605C}"/>
                </c:ext>
              </c:extLst>
            </c:dLbl>
            <c:dLbl>
              <c:idx val="1"/>
              <c:layout>
                <c:manualLayout>
                  <c:x val="-2.84789644012945E-2"/>
                  <c:y val="0.133333377077879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D1-484F-A7AD-8F7746656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Graphs!$D$2:$D$3</c:f>
              <c:strCache>
                <c:ptCount val="2"/>
                <c:pt idx="0">
                  <c:v>Furnace </c:v>
                </c:pt>
                <c:pt idx="1">
                  <c:v>Stock House</c:v>
                </c:pt>
              </c:strCache>
            </c:strRef>
          </c:cat>
          <c:val>
            <c:numRef>
              <c:f>Graphs!$E$2:$E$3</c:f>
              <c:numCache>
                <c:formatCode>General</c:formatCode>
                <c:ptCount val="2"/>
                <c:pt idx="0">
                  <c:v>7102</c:v>
                </c:pt>
                <c:pt idx="1">
                  <c:v>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1-484F-A7AD-8F774665605C}"/>
            </c:ext>
          </c:extLst>
        </c:ser>
        <c:ser>
          <c:idx val="1"/>
          <c:order val="1"/>
          <c:tx>
            <c:strRef>
              <c:f>Graphs!$F$1</c:f>
              <c:strCache>
                <c:ptCount val="1"/>
                <c:pt idx="0">
                  <c:v>Dwg Issued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350524808752684E-2"/>
                  <c:y val="0.11498244485135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D1-484F-A7AD-8F774665605C}"/>
                </c:ext>
              </c:extLst>
            </c:dLbl>
            <c:dLbl>
              <c:idx val="1"/>
              <c:layout>
                <c:manualLayout>
                  <c:x val="-1.5533980582524367E-2"/>
                  <c:y val="0.141666713145247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D1-484F-A7AD-8F7746656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Graphs!$D$2:$D$3</c:f>
              <c:strCache>
                <c:ptCount val="2"/>
                <c:pt idx="0">
                  <c:v>Furnace </c:v>
                </c:pt>
                <c:pt idx="1">
                  <c:v>Stock House</c:v>
                </c:pt>
              </c:strCache>
            </c:strRef>
          </c:cat>
          <c:val>
            <c:numRef>
              <c:f>Graphs!$F$2:$F$3</c:f>
              <c:numCache>
                <c:formatCode>General</c:formatCode>
                <c:ptCount val="2"/>
                <c:pt idx="0">
                  <c:v>7040</c:v>
                </c:pt>
                <c:pt idx="1">
                  <c:v>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1-484F-A7AD-8F774665605C}"/>
            </c:ext>
          </c:extLst>
        </c:ser>
        <c:ser>
          <c:idx val="2"/>
          <c:order val="2"/>
          <c:tx>
            <c:strRef>
              <c:f>Graphs!$H$1</c:f>
              <c:strCache>
                <c:ptCount val="1"/>
                <c:pt idx="0">
                  <c:v>Work Done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5889967637540453E-3"/>
                  <c:y val="0.1359826561622887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D1-484F-A7AD-8F7746656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Graphs!$D$2:$D$3</c:f>
              <c:strCache>
                <c:ptCount val="2"/>
                <c:pt idx="0">
                  <c:v>Furnace </c:v>
                </c:pt>
                <c:pt idx="1">
                  <c:v>Stock House</c:v>
                </c:pt>
              </c:strCache>
            </c:strRef>
          </c:cat>
          <c:val>
            <c:numRef>
              <c:f>Graphs!$H$2:$H$3</c:f>
              <c:numCache>
                <c:formatCode>General</c:formatCode>
                <c:ptCount val="2"/>
                <c:pt idx="0">
                  <c:v>6827</c:v>
                </c:pt>
                <c:pt idx="1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1-484F-A7AD-8F774665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61616959"/>
        <c:axId val="461636095"/>
      </c:barChart>
      <c:catAx>
        <c:axId val="46161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461636095"/>
        <c:crosses val="autoZero"/>
        <c:auto val="1"/>
        <c:lblAlgn val="ctr"/>
        <c:lblOffset val="100"/>
        <c:noMultiLvlLbl val="0"/>
      </c:catAx>
      <c:valAx>
        <c:axId val="46163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161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528434859643787E-2"/>
                  <c:y val="0.138770696937241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13-405B-A03E-BB17B054D75A}"/>
                </c:ext>
              </c:extLst>
            </c:dLbl>
            <c:dLbl>
              <c:idx val="1"/>
              <c:layout>
                <c:manualLayout>
                  <c:x val="-2.58899676375404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13-405B-A03E-BB17B054D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Graphs!$D$4:$D$5</c:f>
              <c:strCache>
                <c:ptCount val="2"/>
                <c:pt idx="0">
                  <c:v>Furnace </c:v>
                </c:pt>
                <c:pt idx="1">
                  <c:v>Stock House</c:v>
                </c:pt>
              </c:strCache>
            </c:strRef>
          </c:cat>
          <c:val>
            <c:numRef>
              <c:f>Graphs!$E$4:$E$5</c:f>
              <c:numCache>
                <c:formatCode>0</c:formatCode>
                <c:ptCount val="2"/>
                <c:pt idx="0">
                  <c:v>85188.5</c:v>
                </c:pt>
                <c:pt idx="1">
                  <c:v>7804.5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3-405B-A03E-BB17B054D75A}"/>
            </c:ext>
          </c:extLst>
        </c:ser>
        <c:ser>
          <c:idx val="1"/>
          <c:order val="1"/>
          <c:tx>
            <c:strRef>
              <c:f>Graphs!$F$1</c:f>
              <c:strCache>
                <c:ptCount val="1"/>
                <c:pt idx="0">
                  <c:v>Dwg Issued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669902912621356E-3"/>
                  <c:y val="0.1750000574147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13-405B-A03E-BB17B054D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Graphs!$D$4:$D$5</c:f>
              <c:strCache>
                <c:ptCount val="2"/>
                <c:pt idx="0">
                  <c:v>Furnace </c:v>
                </c:pt>
                <c:pt idx="1">
                  <c:v>Stock House</c:v>
                </c:pt>
              </c:strCache>
            </c:strRef>
          </c:cat>
          <c:val>
            <c:numRef>
              <c:f>Graphs!$F$4:$F$5</c:f>
              <c:numCache>
                <c:formatCode>0</c:formatCode>
                <c:ptCount val="2"/>
                <c:pt idx="0">
                  <c:v>79565.5</c:v>
                </c:pt>
                <c:pt idx="1">
                  <c:v>6714.5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3-405B-A03E-BB17B054D75A}"/>
            </c:ext>
          </c:extLst>
        </c:ser>
        <c:ser>
          <c:idx val="2"/>
          <c:order val="2"/>
          <c:tx>
            <c:strRef>
              <c:f>Graphs!$H$1</c:f>
              <c:strCache>
                <c:ptCount val="1"/>
                <c:pt idx="0">
                  <c:v>Work Done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355987055016135E-2"/>
                  <c:y val="0.183333393482084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13-405B-A03E-BB17B054D75A}"/>
                </c:ext>
              </c:extLst>
            </c:dLbl>
            <c:dLbl>
              <c:idx val="1"/>
              <c:layout>
                <c:manualLayout>
                  <c:x val="2.5889967637540454E-2"/>
                  <c:y val="-7.638803150981008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13-405B-A03E-BB17B054D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Graphs!$D$4:$D$5</c:f>
              <c:strCache>
                <c:ptCount val="2"/>
                <c:pt idx="0">
                  <c:v>Furnace </c:v>
                </c:pt>
                <c:pt idx="1">
                  <c:v>Stock House</c:v>
                </c:pt>
              </c:strCache>
            </c:strRef>
          </c:cat>
          <c:val>
            <c:numRef>
              <c:f>Graphs!$H$4:$H$5</c:f>
              <c:numCache>
                <c:formatCode>0</c:formatCode>
                <c:ptCount val="2"/>
                <c:pt idx="0">
                  <c:v>56132.41</c:v>
                </c:pt>
                <c:pt idx="1">
                  <c:v>6359.5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13-405B-A03E-BB17B054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61616959"/>
        <c:axId val="461636095"/>
      </c:barChart>
      <c:catAx>
        <c:axId val="46161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461636095"/>
        <c:crosses val="autoZero"/>
        <c:auto val="1"/>
        <c:lblAlgn val="ctr"/>
        <c:lblOffset val="100"/>
        <c:noMultiLvlLbl val="0"/>
      </c:catAx>
      <c:valAx>
        <c:axId val="46163609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6161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Structural</a:t>
            </a:r>
            <a:r>
              <a:rPr lang="en-US" baseline="0"/>
              <a:t> Erection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380795365097489E-2"/>
                  <c:y val="0.133861427882257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CC-4DC6-83CB-C18B30F494EF}"/>
                </c:ext>
              </c:extLst>
            </c:dLbl>
            <c:dLbl>
              <c:idx val="1"/>
              <c:layout>
                <c:manualLayout>
                  <c:x val="-1.2975994206371846E-2"/>
                  <c:y val="0.1064026734448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CC-4DC6-83CB-C18B30F49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Graphs!$D$7:$D$10</c:f>
              <c:strCache>
                <c:ptCount val="4"/>
                <c:pt idx="0">
                  <c:v>L&amp;T</c:v>
                </c:pt>
                <c:pt idx="1">
                  <c:v>JSSL</c:v>
                </c:pt>
                <c:pt idx="2">
                  <c:v>DSE</c:v>
                </c:pt>
                <c:pt idx="3">
                  <c:v>Others</c:v>
                </c:pt>
              </c:strCache>
            </c:strRef>
          </c:cat>
          <c:val>
            <c:numRef>
              <c:f>Graphs!$E$7:$E$10</c:f>
              <c:numCache>
                <c:formatCode>0</c:formatCode>
                <c:ptCount val="4"/>
                <c:pt idx="0">
                  <c:v>51654.661000000007</c:v>
                </c:pt>
                <c:pt idx="1">
                  <c:v>7545.26</c:v>
                </c:pt>
                <c:pt idx="2">
                  <c:v>5290</c:v>
                </c:pt>
                <c:pt idx="3" formatCode="General">
                  <c:v>1972.9180000000001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C-4DC6-83CB-C18B30F494EF}"/>
            </c:ext>
          </c:extLst>
        </c:ser>
        <c:ser>
          <c:idx val="1"/>
          <c:order val="1"/>
          <c:tx>
            <c:strRef>
              <c:f>Graphs!$F$1</c:f>
              <c:strCache>
                <c:ptCount val="1"/>
                <c:pt idx="0">
                  <c:v>Dwg Issued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951988412743691E-3"/>
                  <c:y val="0.133861427882257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CC-4DC6-83CB-C18B30F494EF}"/>
                </c:ext>
              </c:extLst>
            </c:dLbl>
            <c:dLbl>
              <c:idx val="1"/>
              <c:layout>
                <c:manualLayout>
                  <c:x val="0"/>
                  <c:y val="5.4917508874772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CC-4DC6-83CB-C18B30F494EF}"/>
                </c:ext>
              </c:extLst>
            </c:dLbl>
            <c:dLbl>
              <c:idx val="3"/>
              <c:layout>
                <c:manualLayout>
                  <c:x val="1.0380795365097383E-2"/>
                  <c:y val="-1.258511706612233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CC-4DC6-83CB-C18B30F49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Graphs!$D$7:$D$10</c:f>
              <c:strCache>
                <c:ptCount val="4"/>
                <c:pt idx="0">
                  <c:v>L&amp;T</c:v>
                </c:pt>
                <c:pt idx="1">
                  <c:v>JSSL</c:v>
                </c:pt>
                <c:pt idx="2">
                  <c:v>DSE</c:v>
                </c:pt>
                <c:pt idx="3">
                  <c:v>Others</c:v>
                </c:pt>
              </c:strCache>
            </c:strRef>
          </c:cat>
          <c:val>
            <c:numRef>
              <c:f>Graphs!$F$7:$F$10</c:f>
              <c:numCache>
                <c:formatCode>0</c:formatCode>
                <c:ptCount val="4"/>
                <c:pt idx="0">
                  <c:v>46887.540999999997</c:v>
                </c:pt>
                <c:pt idx="1">
                  <c:v>4635.5</c:v>
                </c:pt>
                <c:pt idx="2">
                  <c:v>3933</c:v>
                </c:pt>
                <c:pt idx="3" formatCode="General">
                  <c:v>672.91800000000001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C-4DC6-83CB-C18B30F494EF}"/>
            </c:ext>
          </c:extLst>
        </c:ser>
        <c:ser>
          <c:idx val="2"/>
          <c:order val="2"/>
          <c:tx>
            <c:strRef>
              <c:f>Graphs!$H$1</c:f>
              <c:strCache>
                <c:ptCount val="1"/>
                <c:pt idx="0">
                  <c:v>Work Done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09835017749544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CC-4DC6-83CB-C18B30F494EF}"/>
                </c:ext>
              </c:extLst>
            </c:dLbl>
            <c:dLbl>
              <c:idx val="1"/>
              <c:layout>
                <c:manualLayout>
                  <c:x val="1.2975994206371895E-2"/>
                  <c:y val="3.43234430467325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CC-4DC6-83CB-C18B30F494EF}"/>
                </c:ext>
              </c:extLst>
            </c:dLbl>
            <c:dLbl>
              <c:idx val="2"/>
              <c:layout>
                <c:manualLayout>
                  <c:x val="1.5571193047646216E-2"/>
                  <c:y val="-1.258511706612233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CC-4DC6-83CB-C18B30F49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Graphs!$D$7:$D$10</c:f>
              <c:strCache>
                <c:ptCount val="4"/>
                <c:pt idx="0">
                  <c:v>L&amp;T</c:v>
                </c:pt>
                <c:pt idx="1">
                  <c:v>JSSL</c:v>
                </c:pt>
                <c:pt idx="2">
                  <c:v>DSE</c:v>
                </c:pt>
                <c:pt idx="3">
                  <c:v>Others</c:v>
                </c:pt>
              </c:strCache>
            </c:strRef>
          </c:cat>
          <c:val>
            <c:numRef>
              <c:f>Graphs!$H$7:$H$10</c:f>
              <c:numCache>
                <c:formatCode>0</c:formatCode>
                <c:ptCount val="4"/>
                <c:pt idx="0">
                  <c:v>13207.5</c:v>
                </c:pt>
                <c:pt idx="1">
                  <c:v>1873.1100000000001</c:v>
                </c:pt>
                <c:pt idx="2" formatCode="General">
                  <c:v>939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CC-4DC6-83CB-C18B30F4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61616959"/>
        <c:axId val="461636095"/>
      </c:barChart>
      <c:catAx>
        <c:axId val="46161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461636095"/>
        <c:crosses val="autoZero"/>
        <c:auto val="1"/>
        <c:lblAlgn val="ctr"/>
        <c:lblOffset val="100"/>
        <c:noMultiLvlLbl val="0"/>
      </c:catAx>
      <c:valAx>
        <c:axId val="46163609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6161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Structural Erection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Graphs!$K$1</c:f>
              <c:strCache>
                <c:ptCount val="1"/>
                <c:pt idx="0">
                  <c:v>Plan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Graphs!$D$7:$D$9</c:f>
              <c:strCache>
                <c:ptCount val="3"/>
                <c:pt idx="0">
                  <c:v>L&amp;T</c:v>
                </c:pt>
                <c:pt idx="1">
                  <c:v>JSSL</c:v>
                </c:pt>
                <c:pt idx="2">
                  <c:v>DSE</c:v>
                </c:pt>
              </c:strCache>
            </c:strRef>
          </c:cat>
          <c:val>
            <c:numRef>
              <c:f>Graphs!$K$7:$K$9</c:f>
              <c:numCache>
                <c:formatCode>0</c:formatCode>
                <c:ptCount val="3"/>
                <c:pt idx="0">
                  <c:v>1993</c:v>
                </c:pt>
                <c:pt idx="1">
                  <c:v>550</c:v>
                </c:pt>
                <c:pt idx="2">
                  <c:v>86.67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9-487F-A39F-7D8843A03FF3}"/>
            </c:ext>
          </c:extLst>
        </c:ser>
        <c:ser>
          <c:idx val="1"/>
          <c:order val="1"/>
          <c:tx>
            <c:strRef>
              <c:f>Graphs!$L$1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Graphs!$D$7:$D$9</c:f>
              <c:strCache>
                <c:ptCount val="3"/>
                <c:pt idx="0">
                  <c:v>L&amp;T</c:v>
                </c:pt>
                <c:pt idx="1">
                  <c:v>JSSL</c:v>
                </c:pt>
                <c:pt idx="2">
                  <c:v>DSE</c:v>
                </c:pt>
              </c:strCache>
            </c:strRef>
          </c:cat>
          <c:val>
            <c:numRef>
              <c:f>Graphs!$L$7:$L$9</c:f>
              <c:numCache>
                <c:formatCode>0</c:formatCode>
                <c:ptCount val="3"/>
                <c:pt idx="0">
                  <c:v>553.6</c:v>
                </c:pt>
                <c:pt idx="1">
                  <c:v>283.04000000000002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9-487F-A39F-7D8843A0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59599"/>
        <c:axId val="444670831"/>
      </c:barChart>
      <c:lineChart>
        <c:grouping val="standard"/>
        <c:varyColors val="0"/>
        <c:ser>
          <c:idx val="2"/>
          <c:order val="2"/>
          <c:tx>
            <c:strRef>
              <c:f>Graphs!$M$1</c:f>
              <c:strCache>
                <c:ptCount val="1"/>
                <c:pt idx="0">
                  <c:v>FTD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596719377580791E-3"/>
                  <c:y val="-0.464641999648587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9-487F-A39F-7D8843A03FF3}"/>
                </c:ext>
              </c:extLst>
            </c:dLbl>
            <c:dLbl>
              <c:idx val="1"/>
              <c:layout>
                <c:manualLayout>
                  <c:x val="-1.0237901300452209E-2"/>
                  <c:y val="-0.2581840626823457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9-487F-A39F-7D8843A03FF3}"/>
                </c:ext>
              </c:extLst>
            </c:dLbl>
            <c:dLbl>
              <c:idx val="2"/>
              <c:layout>
                <c:manualLayout>
                  <c:x val="-1.6332254942765391E-2"/>
                  <c:y val="-0.27936951138038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9-487F-A39F-7D8843A03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Graphs!$M$7:$M$9</c:f>
              <c:numCache>
                <c:formatCode>0</c:formatCode>
                <c:ptCount val="3"/>
                <c:pt idx="0">
                  <c:v>26</c:v>
                </c:pt>
                <c:pt idx="1">
                  <c:v>30.71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9-487F-A39F-7D8843A0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65007"/>
        <c:axId val="462561263"/>
      </c:lineChart>
      <c:catAx>
        <c:axId val="4446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444670831"/>
        <c:crosses val="autoZero"/>
        <c:auto val="1"/>
        <c:lblAlgn val="ctr"/>
        <c:lblOffset val="100"/>
        <c:noMultiLvlLbl val="0"/>
      </c:catAx>
      <c:valAx>
        <c:axId val="44467083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44659599"/>
        <c:crosses val="autoZero"/>
        <c:crossBetween val="between"/>
      </c:valAx>
      <c:valAx>
        <c:axId val="462561263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462565007"/>
        <c:crosses val="max"/>
        <c:crossBetween val="between"/>
      </c:valAx>
      <c:catAx>
        <c:axId val="462565007"/>
        <c:scaling>
          <c:orientation val="minMax"/>
        </c:scaling>
        <c:delete val="1"/>
        <c:axPos val="b"/>
        <c:majorTickMark val="out"/>
        <c:minorTickMark val="none"/>
        <c:tickLblPos val="nextTo"/>
        <c:crossAx val="46256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Civil 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Graphs!$K$1</c:f>
              <c:strCache>
                <c:ptCount val="1"/>
                <c:pt idx="0">
                  <c:v>Plan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Graphs!$D$6</c:f>
              <c:strCache>
                <c:ptCount val="1"/>
                <c:pt idx="0">
                  <c:v>Civil</c:v>
                </c:pt>
              </c:strCache>
            </c:strRef>
          </c:cat>
          <c:val>
            <c:numRef>
              <c:f>Graphs!$K$6</c:f>
              <c:numCache>
                <c:formatCode>0</c:formatCode>
                <c:ptCount val="1"/>
                <c:pt idx="0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9-4832-BA1D-AA203BC52397}"/>
            </c:ext>
          </c:extLst>
        </c:ser>
        <c:ser>
          <c:idx val="1"/>
          <c:order val="1"/>
          <c:tx>
            <c:strRef>
              <c:f>Graphs!$L$1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Graphs!$D$6</c:f>
              <c:strCache>
                <c:ptCount val="1"/>
                <c:pt idx="0">
                  <c:v>Civil</c:v>
                </c:pt>
              </c:strCache>
            </c:strRef>
          </c:cat>
          <c:val>
            <c:numRef>
              <c:f>Graphs!$L$6</c:f>
              <c:numCache>
                <c:formatCode>0</c:formatCode>
                <c:ptCount val="1"/>
                <c:pt idx="0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9-4832-BA1D-AA203BC5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59599"/>
        <c:axId val="444670831"/>
      </c:barChart>
      <c:lineChart>
        <c:grouping val="standard"/>
        <c:varyColors val="0"/>
        <c:ser>
          <c:idx val="2"/>
          <c:order val="2"/>
          <c:tx>
            <c:strRef>
              <c:f>Graphs!$M$1</c:f>
              <c:strCache>
                <c:ptCount val="1"/>
                <c:pt idx="0">
                  <c:v>FTD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78873041878694E-2"/>
                  <c:y val="-0.5426125565066967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769453075601176"/>
                      <c:h val="0.179702005175730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119-4832-BA1D-AA203BC52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Graphs!$D$6</c:f>
              <c:strCache>
                <c:ptCount val="1"/>
                <c:pt idx="0">
                  <c:v>Civil</c:v>
                </c:pt>
              </c:strCache>
            </c:strRef>
          </c:cat>
          <c:val>
            <c:numRef>
              <c:f>Graphs!$M$6</c:f>
              <c:numCache>
                <c:formatCode>0</c:formatCode>
                <c:ptCount val="1"/>
                <c:pt idx="0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19-4832-BA1D-AA203BC5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59599"/>
        <c:axId val="444670831"/>
      </c:lineChart>
      <c:catAx>
        <c:axId val="444659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670831"/>
        <c:crosses val="autoZero"/>
        <c:auto val="1"/>
        <c:lblAlgn val="ctr"/>
        <c:lblOffset val="100"/>
        <c:noMultiLvlLbl val="0"/>
      </c:catAx>
      <c:valAx>
        <c:axId val="44467083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446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Piling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Graphs!$K$1</c:f>
              <c:strCache>
                <c:ptCount val="1"/>
                <c:pt idx="0">
                  <c:v>Plan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Graphs!$C$2</c:f>
              <c:strCache>
                <c:ptCount val="1"/>
                <c:pt idx="0">
                  <c:v>Piling</c:v>
                </c:pt>
              </c:strCache>
            </c:strRef>
          </c:cat>
          <c:val>
            <c:numRef>
              <c:f>Graphs!$K$2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2D8-BED1-FCEEEA39C11E}"/>
            </c:ext>
          </c:extLst>
        </c:ser>
        <c:ser>
          <c:idx val="1"/>
          <c:order val="1"/>
          <c:tx>
            <c:strRef>
              <c:f>Graphs!$L$1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Graphs!$C$2</c:f>
              <c:strCache>
                <c:ptCount val="1"/>
                <c:pt idx="0">
                  <c:v>Piling</c:v>
                </c:pt>
              </c:strCache>
            </c:strRef>
          </c:cat>
          <c:val>
            <c:numRef>
              <c:f>Graphs!$L$2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2D8-BED1-FCEEEA39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59599"/>
        <c:axId val="444670831"/>
      </c:barChart>
      <c:lineChart>
        <c:grouping val="standard"/>
        <c:varyColors val="0"/>
        <c:ser>
          <c:idx val="2"/>
          <c:order val="2"/>
          <c:tx>
            <c:strRef>
              <c:f>Graphs!$M$1</c:f>
              <c:strCache>
                <c:ptCount val="1"/>
                <c:pt idx="0">
                  <c:v>FTD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10521464167027857"/>
                  <c:y val="-0.564084723670358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73995111381786"/>
                      <c:h val="0.156109842485062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797-42D8-BED1-FCEEEA39C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Graphs!$C$2</c:f>
              <c:strCache>
                <c:ptCount val="1"/>
                <c:pt idx="0">
                  <c:v>Piling</c:v>
                </c:pt>
              </c:strCache>
            </c:strRef>
          </c:cat>
          <c:val>
            <c:numRef>
              <c:f>Graphs!$M$2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7-42D8-BED1-FCEEEA39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59599"/>
        <c:axId val="444670831"/>
      </c:lineChart>
      <c:catAx>
        <c:axId val="444659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670831"/>
        <c:crosses val="autoZero"/>
        <c:auto val="1"/>
        <c:lblAlgn val="ctr"/>
        <c:lblOffset val="100"/>
        <c:noMultiLvlLbl val="0"/>
      </c:catAx>
      <c:valAx>
        <c:axId val="444670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46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13138</xdr:colOff>
      <xdr:row>0</xdr:row>
      <xdr:rowOff>39414</xdr:rowOff>
    </xdr:from>
    <xdr:to>
      <xdr:col>1</xdr:col>
      <xdr:colOff>1787769</xdr:colOff>
      <xdr:row>1</xdr:row>
      <xdr:rowOff>216776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8" y="39414"/>
          <a:ext cx="2382766" cy="426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26</xdr:row>
      <xdr:rowOff>161925</xdr:rowOff>
    </xdr:from>
    <xdr:to>
      <xdr:col>22</xdr:col>
      <xdr:colOff>130785</xdr:colOff>
      <xdr:row>48</xdr:row>
      <xdr:rowOff>118329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pSpPr/>
      </xdr:nvGrpSpPr>
      <xdr:grpSpPr>
        <a:xfrm>
          <a:off x="626874" y="5301690"/>
          <a:ext cx="15274323" cy="4065227"/>
          <a:chOff x="623886" y="6153150"/>
          <a:chExt cx="14870724" cy="4147404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GrpSpPr/>
        </xdr:nvGrpSpPr>
        <xdr:grpSpPr>
          <a:xfrm>
            <a:off x="623886" y="6576218"/>
            <a:ext cx="14870724" cy="3724336"/>
            <a:chOff x="11884268" y="342105"/>
            <a:chExt cx="14711730" cy="3709682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GraphicFramePr/>
          </xdr:nvGraphicFramePr>
          <xdr:xfrm>
            <a:off x="11884268" y="342900"/>
            <a:ext cx="4893652" cy="37000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aphicFramePr>
              <a:graphicFrameLocks/>
            </xdr:cNvGraphicFramePr>
          </xdr:nvGraphicFramePr>
          <xdr:xfrm>
            <a:off x="16800147" y="342105"/>
            <a:ext cx="4893652" cy="37000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E00-00000B000000}"/>
                </a:ext>
              </a:extLst>
            </xdr:cNvPr>
            <xdr:cNvGraphicFramePr>
              <a:graphicFrameLocks/>
            </xdr:cNvGraphicFramePr>
          </xdr:nvGraphicFramePr>
          <xdr:xfrm>
            <a:off x="21702346" y="351692"/>
            <a:ext cx="4893652" cy="37000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/>
        </xdr:nvSpPr>
        <xdr:spPr>
          <a:xfrm>
            <a:off x="5781675" y="6153150"/>
            <a:ext cx="4388412" cy="4774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400" b="1"/>
              <a:t>Project NameOVERALL PROGRESS</a:t>
            </a:r>
          </a:p>
        </xdr:txBody>
      </xdr:sp>
    </xdr:grpSp>
    <xdr:clientData/>
  </xdr:twoCellAnchor>
  <xdr:twoCellAnchor>
    <xdr:from>
      <xdr:col>0</xdr:col>
      <xdr:colOff>377266</xdr:colOff>
      <xdr:row>14</xdr:row>
      <xdr:rowOff>8219</xdr:rowOff>
    </xdr:from>
    <xdr:to>
      <xdr:col>12</xdr:col>
      <xdr:colOff>318469</xdr:colOff>
      <xdr:row>26</xdr:row>
      <xdr:rowOff>122797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pSpPr/>
      </xdr:nvGrpSpPr>
      <xdr:grpSpPr>
        <a:xfrm>
          <a:off x="377266" y="2906807"/>
          <a:ext cx="9585732" cy="2355755"/>
          <a:chOff x="347383" y="4505326"/>
          <a:chExt cx="9209028" cy="2400578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GrpSpPr/>
        </xdr:nvGrpSpPr>
        <xdr:grpSpPr>
          <a:xfrm>
            <a:off x="347383" y="4878477"/>
            <a:ext cx="9209028" cy="2027427"/>
            <a:chOff x="347383" y="4116149"/>
            <a:chExt cx="9216582" cy="2027427"/>
          </a:xfrm>
        </xdr:grpSpPr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GraphicFramePr/>
          </xdr:nvGraphicFramePr>
          <xdr:xfrm>
            <a:off x="5045352" y="4116149"/>
            <a:ext cx="4518613" cy="20240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aphicFramePr>
              <a:graphicFrameLocks/>
            </xdr:cNvGraphicFramePr>
          </xdr:nvGraphicFramePr>
          <xdr:xfrm>
            <a:off x="2688817" y="4117694"/>
            <a:ext cx="2337471" cy="20240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E00-000008000000}"/>
                </a:ext>
              </a:extLst>
            </xdr:cNvPr>
            <xdr:cNvGraphicFramePr>
              <a:graphicFrameLocks/>
            </xdr:cNvGraphicFramePr>
          </xdr:nvGraphicFramePr>
          <xdr:xfrm>
            <a:off x="347383" y="4119514"/>
            <a:ext cx="2327039" cy="20240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/>
        </xdr:nvSpPr>
        <xdr:spPr>
          <a:xfrm>
            <a:off x="2924174" y="4505326"/>
            <a:ext cx="4095751" cy="400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600" b="1"/>
              <a:t>Project Name MONTHLY PLAN</a:t>
            </a:r>
            <a:r>
              <a:rPr lang="en-US" sz="1600" b="1" baseline="0"/>
              <a:t> VS ACTUAL</a:t>
            </a:r>
            <a:endParaRPr lang="en-US" sz="1600" b="1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0.39094</cdr:x>
      <cdr:y>0.20729</cdr:y>
    </cdr:from>
    <cdr:to>
      <cdr:x>0.47567</cdr:x>
      <cdr:y>0.27995</cdr:y>
    </cdr:to>
    <cdr:sp macro="" textlink="Graphs!$I$2">
      <cdr:nvSpPr>
        <cdr:cNvPr id="2" name="TextBox 2"/>
        <cdr:cNvSpPr txBox="1"/>
      </cdr:nvSpPr>
      <cdr:spPr>
        <a:xfrm xmlns:a="http://schemas.openxmlformats.org/drawingml/2006/main">
          <a:off x="1986284" y="754765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B43FB2E-9467-430D-A49B-245DA234016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0.28414</cdr:x>
      <cdr:y>0.18854</cdr:y>
    </cdr:from>
    <cdr:to>
      <cdr:x>0.36887</cdr:x>
      <cdr:y>0.2612</cdr:y>
    </cdr:to>
    <cdr:sp macro="" textlink="Graphs!$G$2">
      <cdr:nvSpPr>
        <cdr:cNvPr id="4" name="TextBox 2"/>
        <cdr:cNvSpPr txBox="1"/>
      </cdr:nvSpPr>
      <cdr:spPr>
        <a:xfrm xmlns:a="http://schemas.openxmlformats.org/drawingml/2006/main">
          <a:off x="1443656" y="686495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B84F19B-708C-4CF4-A471-6A1B97E9751C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0.72298</cdr:x>
      <cdr:y>0.62604</cdr:y>
    </cdr:from>
    <cdr:to>
      <cdr:x>0.80771</cdr:x>
      <cdr:y>0.6987</cdr:y>
    </cdr:to>
    <cdr:sp macro="" textlink="Graphs!$G$3">
      <cdr:nvSpPr>
        <cdr:cNvPr id="5" name="TextBox 2"/>
        <cdr:cNvSpPr txBox="1"/>
      </cdr:nvSpPr>
      <cdr:spPr>
        <a:xfrm xmlns:a="http://schemas.openxmlformats.org/drawingml/2006/main">
          <a:off x="3673310" y="2279479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B818236-ACDF-41EA-9B72-A50586939C6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0.82006</cdr:x>
      <cdr:y>0.62917</cdr:y>
    </cdr:from>
    <cdr:to>
      <cdr:x>0.90479</cdr:x>
      <cdr:y>0.70183</cdr:y>
    </cdr:to>
    <cdr:sp macro="" textlink="Graphs!$I$3">
      <cdr:nvSpPr>
        <cdr:cNvPr id="6" name="TextBox 2"/>
        <cdr:cNvSpPr txBox="1"/>
      </cdr:nvSpPr>
      <cdr:spPr>
        <a:xfrm xmlns:a="http://schemas.openxmlformats.org/drawingml/2006/main">
          <a:off x="4166553" y="2290876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64959FE-DF87-4A38-AF7F-D0484B689CC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93%</a:t>
          </a:fld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0.40259</cdr:x>
      <cdr:y>0.39166</cdr:y>
    </cdr:from>
    <cdr:to>
      <cdr:x>0.48732</cdr:x>
      <cdr:y>0.46432</cdr:y>
    </cdr:to>
    <cdr:sp macro="" textlink="Graphs!$I$4">
      <cdr:nvSpPr>
        <cdr:cNvPr id="2" name="TextBox 2"/>
        <cdr:cNvSpPr txBox="1"/>
      </cdr:nvSpPr>
      <cdr:spPr>
        <a:xfrm xmlns:a="http://schemas.openxmlformats.org/drawingml/2006/main">
          <a:off x="2045476" y="1426076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AB12101-83CE-484F-90FC-16F85B53C8E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66%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0.30744</cdr:x>
      <cdr:y>0.19792</cdr:y>
    </cdr:from>
    <cdr:to>
      <cdr:x>0.39217</cdr:x>
      <cdr:y>0.27058</cdr:y>
    </cdr:to>
    <cdr:sp macro="" textlink="Graphs!$G$4">
      <cdr:nvSpPr>
        <cdr:cNvPr id="4" name="TextBox 2"/>
        <cdr:cNvSpPr txBox="1"/>
      </cdr:nvSpPr>
      <cdr:spPr>
        <a:xfrm xmlns:a="http://schemas.openxmlformats.org/drawingml/2006/main">
          <a:off x="1562038" y="720648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0E2C2A7-E3AE-457B-9BED-F43B9C810E5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93%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0.65114</cdr:x>
      <cdr:y>0.55729</cdr:y>
    </cdr:from>
    <cdr:to>
      <cdr:x>0.73587</cdr:x>
      <cdr:y>0.62995</cdr:y>
    </cdr:to>
    <cdr:sp macro="" textlink="Graphs!$G$3">
      <cdr:nvSpPr>
        <cdr:cNvPr id="5" name="TextBox 2"/>
        <cdr:cNvSpPr txBox="1"/>
      </cdr:nvSpPr>
      <cdr:spPr>
        <a:xfrm xmlns:a="http://schemas.openxmlformats.org/drawingml/2006/main">
          <a:off x="3308306" y="2029153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B818236-ACDF-41EA-9B72-A50586939C6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0.77152</cdr:x>
      <cdr:y>0.63542</cdr:y>
    </cdr:from>
    <cdr:to>
      <cdr:x>0.85625</cdr:x>
      <cdr:y>0.70808</cdr:y>
    </cdr:to>
    <cdr:sp macro="" textlink="Graphs!$I$3">
      <cdr:nvSpPr>
        <cdr:cNvPr id="6" name="TextBox 2"/>
        <cdr:cNvSpPr txBox="1"/>
      </cdr:nvSpPr>
      <cdr:spPr>
        <a:xfrm xmlns:a="http://schemas.openxmlformats.org/drawingml/2006/main">
          <a:off x="3919932" y="2313633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64959FE-DF87-4A38-AF7F-D0484B689CC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93%</a:t>
          </a:fld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0.38911</cdr:x>
      <cdr:y>0.68869</cdr:y>
    </cdr:from>
    <cdr:to>
      <cdr:x>0.47384</cdr:x>
      <cdr:y>0.76135</cdr:y>
    </cdr:to>
    <cdr:sp macro="" textlink="Graphs!$I$8">
      <cdr:nvSpPr>
        <cdr:cNvPr id="2" name="TextBox 2"/>
        <cdr:cNvSpPr txBox="1"/>
      </cdr:nvSpPr>
      <cdr:spPr>
        <a:xfrm xmlns:a="http://schemas.openxmlformats.org/drawingml/2006/main">
          <a:off x="1976987" y="2507595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993AF65-A27D-41BD-AC2B-2F9578DDF606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25%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0.13077</cdr:x>
      <cdr:y>0.25535</cdr:y>
    </cdr:from>
    <cdr:to>
      <cdr:x>0.2155</cdr:x>
      <cdr:y>0.32801</cdr:y>
    </cdr:to>
    <cdr:sp macro="" textlink="Graphs!$G$7">
      <cdr:nvSpPr>
        <cdr:cNvPr id="4" name="TextBox 2"/>
        <cdr:cNvSpPr txBox="1"/>
      </cdr:nvSpPr>
      <cdr:spPr>
        <a:xfrm xmlns:a="http://schemas.openxmlformats.org/drawingml/2006/main">
          <a:off x="664415" y="929757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616C8AF-4E85-428D-83FC-C691086684D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91%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0.5628</cdr:x>
      <cdr:y>0.6167</cdr:y>
    </cdr:from>
    <cdr:to>
      <cdr:x>0.64753</cdr:x>
      <cdr:y>0.68936</cdr:y>
    </cdr:to>
    <cdr:sp macro="" textlink="Graphs!$G$9">
      <cdr:nvSpPr>
        <cdr:cNvPr id="5" name="TextBox 2"/>
        <cdr:cNvSpPr txBox="1"/>
      </cdr:nvSpPr>
      <cdr:spPr>
        <a:xfrm xmlns:a="http://schemas.openxmlformats.org/drawingml/2006/main">
          <a:off x="2859469" y="2245471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CB56251-CBCC-4287-887E-3126C5F3F72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74%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0.64725</cdr:x>
      <cdr:y>0.68492</cdr:y>
    </cdr:from>
    <cdr:to>
      <cdr:x>0.73198</cdr:x>
      <cdr:y>0.75758</cdr:y>
    </cdr:to>
    <cdr:sp macro="" textlink="Graphs!$I$9">
      <cdr:nvSpPr>
        <cdr:cNvPr id="6" name="TextBox 2"/>
        <cdr:cNvSpPr txBox="1"/>
      </cdr:nvSpPr>
      <cdr:spPr>
        <a:xfrm xmlns:a="http://schemas.openxmlformats.org/drawingml/2006/main">
          <a:off x="3288542" y="2493868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362840B-A036-4CA8-A09B-63E9D82B293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0.31582</cdr:x>
      <cdr:y>0.65729</cdr:y>
    </cdr:from>
    <cdr:to>
      <cdr:x>0.40055</cdr:x>
      <cdr:y>0.72995</cdr:y>
    </cdr:to>
    <cdr:sp macro="" textlink="Graphs!$G$8">
      <cdr:nvSpPr>
        <cdr:cNvPr id="7" name="TextBox 2"/>
        <cdr:cNvSpPr txBox="1"/>
      </cdr:nvSpPr>
      <cdr:spPr>
        <a:xfrm xmlns:a="http://schemas.openxmlformats.org/drawingml/2006/main">
          <a:off x="1604615" y="2393264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A455685-19FE-4EB8-B18D-9188207223F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61%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0.17657</cdr:x>
      <cdr:y>0.64541</cdr:y>
    </cdr:from>
    <cdr:to>
      <cdr:x>0.2613</cdr:x>
      <cdr:y>0.71807</cdr:y>
    </cdr:to>
    <cdr:sp macro="" textlink="Graphs!$I$7">
      <cdr:nvSpPr>
        <cdr:cNvPr id="8" name="TextBox 2"/>
        <cdr:cNvSpPr txBox="1"/>
      </cdr:nvSpPr>
      <cdr:spPr>
        <a:xfrm xmlns:a="http://schemas.openxmlformats.org/drawingml/2006/main">
          <a:off x="897115" y="2350008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5B156B6-5DD7-47E0-832B-6929E46B5C8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26%</a:t>
          </a:fld>
          <a:endParaRPr lang="en-US" sz="1100" b="1"/>
        </a:p>
      </cdr:txBody>
    </cdr:sp>
  </cdr:relSizeAnchor>
  <cdr:relSizeAnchor xmlns:cdr="http://schemas.openxmlformats.org/drawingml/2006/chartDrawing">
    <cdr:from>
      <cdr:x>0.81889</cdr:x>
      <cdr:y>0.67512</cdr:y>
    </cdr:from>
    <cdr:to>
      <cdr:x>0.90362</cdr:x>
      <cdr:y>0.74778</cdr:y>
    </cdr:to>
    <cdr:sp macro="" textlink="Graphs!$G$10">
      <cdr:nvSpPr>
        <cdr:cNvPr id="9" name="TextBox 2"/>
        <cdr:cNvSpPr txBox="1"/>
      </cdr:nvSpPr>
      <cdr:spPr>
        <a:xfrm xmlns:a="http://schemas.openxmlformats.org/drawingml/2006/main">
          <a:off x="4160609" y="2458185"/>
          <a:ext cx="4305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99C8BD1-F38A-4DA0-8FB8-7DE6DDB4D0E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34%</a:t>
          </a:fld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2"/>
  <sheetViews>
    <sheetView zoomScale="85" zoomScaleNormal="85" workbookViewId="0">
      <selection activeCell="H21" sqref="H21"/>
    </sheetView>
  </sheetViews>
  <sheetFormatPr defaultRowHeight="14.5" x14ac:dyDescent="0.35"/>
  <cols>
    <col min="2" max="2" width="27.54296875" customWidth="1"/>
    <col min="3" max="3" width="10" bestFit="1" customWidth="1"/>
    <col min="4" max="4" width="10" customWidth="1"/>
    <col min="5" max="5" width="8.81640625" hidden="1" customWidth="1"/>
    <col min="6" max="6" width="11.453125" customWidth="1"/>
    <col min="7" max="7" width="16.54296875" customWidth="1"/>
    <col min="8" max="9" width="10.1796875" customWidth="1"/>
    <col min="10" max="10" width="9.453125" customWidth="1"/>
    <col min="11" max="11" width="9.7265625" customWidth="1"/>
    <col min="12" max="12" width="10" customWidth="1"/>
    <col min="13" max="13" width="10.453125" customWidth="1"/>
    <col min="14" max="14" width="12.81640625" customWidth="1"/>
    <col min="15" max="15" width="35.7265625" customWidth="1"/>
  </cols>
  <sheetData>
    <row r="1" spans="1:15" ht="19" thickBot="1" x14ac:dyDescent="0.5">
      <c r="A1" s="767"/>
      <c r="B1" s="768"/>
      <c r="C1" s="761" t="s">
        <v>0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3"/>
    </row>
    <row r="2" spans="1:15" ht="19" thickBot="1" x14ac:dyDescent="0.5">
      <c r="A2" s="769"/>
      <c r="B2" s="770"/>
      <c r="C2" s="761" t="s">
        <v>1</v>
      </c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3"/>
    </row>
    <row r="3" spans="1:15" ht="19" thickBot="1" x14ac:dyDescent="0.5">
      <c r="A3" s="13" t="s">
        <v>2</v>
      </c>
      <c r="B3" s="14" t="s">
        <v>3</v>
      </c>
      <c r="C3" s="4"/>
      <c r="D3" s="4"/>
      <c r="E3" s="4"/>
      <c r="F3" s="4"/>
      <c r="G3" s="4"/>
      <c r="H3" s="4"/>
      <c r="I3" s="4"/>
      <c r="J3" s="4"/>
      <c r="K3" s="4"/>
      <c r="L3" s="19"/>
      <c r="M3" s="20"/>
      <c r="O3" s="17"/>
    </row>
    <row r="4" spans="1:15" ht="30" customHeight="1" x14ac:dyDescent="0.35">
      <c r="A4" s="772" t="s">
        <v>4</v>
      </c>
      <c r="B4" s="771" t="s">
        <v>5</v>
      </c>
      <c r="C4" s="771" t="s">
        <v>6</v>
      </c>
      <c r="D4" s="764" t="s">
        <v>7</v>
      </c>
      <c r="E4" s="764" t="s">
        <v>8</v>
      </c>
      <c r="F4" s="764" t="s">
        <v>9</v>
      </c>
      <c r="G4" s="764" t="s">
        <v>10</v>
      </c>
      <c r="H4" s="771" t="s">
        <v>11</v>
      </c>
      <c r="I4" s="771"/>
      <c r="J4" s="771"/>
      <c r="K4" s="771"/>
      <c r="L4" s="764" t="s">
        <v>12</v>
      </c>
      <c r="M4" s="764" t="s">
        <v>13</v>
      </c>
      <c r="N4" s="764" t="s">
        <v>14</v>
      </c>
      <c r="O4" s="759" t="s">
        <v>15</v>
      </c>
    </row>
    <row r="5" spans="1:15" ht="29.25" customHeight="1" x14ac:dyDescent="0.35">
      <c r="A5" s="773"/>
      <c r="B5" s="766"/>
      <c r="C5" s="766"/>
      <c r="D5" s="765"/>
      <c r="E5" s="765"/>
      <c r="F5" s="765"/>
      <c r="G5" s="765"/>
      <c r="H5" s="3" t="s">
        <v>16</v>
      </c>
      <c r="I5" s="3" t="s">
        <v>17</v>
      </c>
      <c r="J5" s="3" t="s">
        <v>18</v>
      </c>
      <c r="K5" s="3" t="s">
        <v>19</v>
      </c>
      <c r="L5" s="765"/>
      <c r="M5" s="766"/>
      <c r="N5" s="765"/>
      <c r="O5" s="760"/>
    </row>
    <row r="6" spans="1:15" ht="20.149999999999999" customHeight="1" x14ac:dyDescent="0.35">
      <c r="A6" s="6">
        <v>1</v>
      </c>
      <c r="B6" s="21" t="s">
        <v>20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7"/>
    </row>
    <row r="7" spans="1:15" ht="20.149999999999999" customHeight="1" x14ac:dyDescent="0.35">
      <c r="A7" s="8" t="s">
        <v>21</v>
      </c>
      <c r="B7" s="22" t="s">
        <v>22</v>
      </c>
      <c r="C7" s="1" t="s">
        <v>23</v>
      </c>
      <c r="D7" s="1">
        <v>6500</v>
      </c>
      <c r="E7" s="2">
        <v>6514</v>
      </c>
      <c r="F7" s="1">
        <v>4339</v>
      </c>
      <c r="G7" s="1">
        <v>2012</v>
      </c>
      <c r="H7" s="1">
        <v>1000</v>
      </c>
      <c r="I7" s="1">
        <v>99</v>
      </c>
      <c r="J7" s="1">
        <f>40+21</f>
        <v>61</v>
      </c>
      <c r="K7" s="16">
        <v>41</v>
      </c>
      <c r="L7" s="16">
        <v>2111</v>
      </c>
      <c r="M7" s="1">
        <f>D7-L7</f>
        <v>4389</v>
      </c>
      <c r="N7" s="18">
        <f>L7/D7%</f>
        <v>32.476923076923079</v>
      </c>
      <c r="O7" s="7"/>
    </row>
    <row r="8" spans="1:15" ht="20.149999999999999" customHeight="1" x14ac:dyDescent="0.35">
      <c r="A8" s="8" t="s">
        <v>24</v>
      </c>
      <c r="B8" s="22" t="s">
        <v>25</v>
      </c>
      <c r="C8" s="1" t="s">
        <v>23</v>
      </c>
      <c r="D8" s="1">
        <v>6500</v>
      </c>
      <c r="E8" s="2">
        <v>6514</v>
      </c>
      <c r="F8" s="1">
        <v>4339</v>
      </c>
      <c r="G8" s="1">
        <f>55+691</f>
        <v>746</v>
      </c>
      <c r="H8" s="1"/>
      <c r="I8" s="1">
        <f>23+36</f>
        <v>59</v>
      </c>
      <c r="J8" s="1">
        <f>15+23</f>
        <v>38</v>
      </c>
      <c r="K8" s="1">
        <v>36</v>
      </c>
      <c r="L8" s="1">
        <v>850</v>
      </c>
      <c r="M8" s="1">
        <f>D8-L8</f>
        <v>5650</v>
      </c>
      <c r="N8" s="18">
        <f>L8/D8%</f>
        <v>13.076923076923077</v>
      </c>
      <c r="O8" s="7"/>
    </row>
    <row r="9" spans="1:15" ht="21" customHeight="1" x14ac:dyDescent="0.35">
      <c r="A9" s="8" t="s">
        <v>26</v>
      </c>
      <c r="B9" s="22" t="s">
        <v>27</v>
      </c>
      <c r="C9" s="1" t="s">
        <v>28</v>
      </c>
      <c r="D9" s="1">
        <v>105000</v>
      </c>
      <c r="E9" s="2"/>
      <c r="F9" s="1">
        <v>22865</v>
      </c>
      <c r="G9" s="1">
        <v>0</v>
      </c>
      <c r="H9" s="1">
        <v>750</v>
      </c>
      <c r="I9" s="1">
        <v>0</v>
      </c>
      <c r="J9" s="1">
        <v>0</v>
      </c>
      <c r="K9" s="16">
        <f>H9/31</f>
        <v>24.193548387096776</v>
      </c>
      <c r="L9" s="1">
        <f>G9+J9</f>
        <v>0</v>
      </c>
      <c r="M9" s="1">
        <f>D9-L9</f>
        <v>105000</v>
      </c>
      <c r="N9" s="18">
        <f>L9/D9%</f>
        <v>0</v>
      </c>
      <c r="O9" s="7"/>
    </row>
    <row r="10" spans="1:15" ht="20.149999999999999" customHeight="1" x14ac:dyDescent="0.35">
      <c r="A10" s="6">
        <v>2</v>
      </c>
      <c r="B10" s="21" t="s">
        <v>29</v>
      </c>
      <c r="C10" s="1"/>
      <c r="D10" s="12">
        <f>D11+D13</f>
        <v>51634</v>
      </c>
      <c r="E10" s="5"/>
      <c r="F10" s="1"/>
      <c r="G10" s="1"/>
      <c r="H10" s="1"/>
      <c r="I10" s="1"/>
      <c r="J10" s="1"/>
      <c r="K10" s="1"/>
      <c r="L10" s="1"/>
      <c r="M10" s="1"/>
      <c r="N10" s="1"/>
      <c r="O10" s="7"/>
    </row>
    <row r="11" spans="1:15" ht="20.149999999999999" customHeight="1" x14ac:dyDescent="0.35">
      <c r="A11" s="8" t="s">
        <v>21</v>
      </c>
      <c r="B11" s="22" t="s">
        <v>30</v>
      </c>
      <c r="C11" s="1" t="s">
        <v>31</v>
      </c>
      <c r="D11" s="1">
        <v>33585</v>
      </c>
      <c r="E11" s="2"/>
      <c r="F11" s="1">
        <f>472+571</f>
        <v>1043</v>
      </c>
      <c r="G11" s="1">
        <v>0</v>
      </c>
      <c r="H11" s="1">
        <v>150</v>
      </c>
      <c r="I11" s="1">
        <v>0</v>
      </c>
      <c r="J11" s="16">
        <f>H11/31</f>
        <v>4.838709677419355</v>
      </c>
      <c r="K11" s="1">
        <v>0</v>
      </c>
      <c r="L11" s="1">
        <f>G11+I11</f>
        <v>0</v>
      </c>
      <c r="M11" s="1">
        <f t="shared" ref="M11:M22" si="0">D11-L11</f>
        <v>33585</v>
      </c>
      <c r="N11" s="1">
        <f t="shared" ref="N11:N22" si="1">L11/D11%</f>
        <v>0</v>
      </c>
      <c r="O11" s="24" t="s">
        <v>32</v>
      </c>
    </row>
    <row r="12" spans="1:15" ht="20.149999999999999" customHeight="1" x14ac:dyDescent="0.35">
      <c r="A12" s="8" t="s">
        <v>24</v>
      </c>
      <c r="B12" s="22" t="s">
        <v>33</v>
      </c>
      <c r="C12" s="1" t="s">
        <v>31</v>
      </c>
      <c r="D12" s="1">
        <v>33585</v>
      </c>
      <c r="E12" s="2"/>
      <c r="F12" s="1">
        <f>472+571</f>
        <v>1043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ref="L12:L22" si="2">G12+I12</f>
        <v>0</v>
      </c>
      <c r="M12" s="1">
        <f t="shared" si="0"/>
        <v>33585</v>
      </c>
      <c r="N12" s="1">
        <f t="shared" si="1"/>
        <v>0</v>
      </c>
      <c r="O12" s="7"/>
    </row>
    <row r="13" spans="1:15" ht="20.149999999999999" customHeight="1" x14ac:dyDescent="0.35">
      <c r="A13" s="8" t="s">
        <v>26</v>
      </c>
      <c r="B13" s="22" t="s">
        <v>34</v>
      </c>
      <c r="C13" s="1" t="s">
        <v>31</v>
      </c>
      <c r="D13" s="1">
        <v>18049</v>
      </c>
      <c r="E13" s="2"/>
      <c r="F13" s="1">
        <v>1400.32</v>
      </c>
      <c r="G13" s="1">
        <v>0</v>
      </c>
      <c r="H13" s="1">
        <v>192</v>
      </c>
      <c r="I13" s="1">
        <v>0</v>
      </c>
      <c r="J13" s="16">
        <f>H13/31</f>
        <v>6.193548387096774</v>
      </c>
      <c r="K13" s="1">
        <v>0</v>
      </c>
      <c r="L13" s="1">
        <f t="shared" si="2"/>
        <v>0</v>
      </c>
      <c r="M13" s="1">
        <f t="shared" si="0"/>
        <v>18049</v>
      </c>
      <c r="N13" s="1">
        <f t="shared" si="1"/>
        <v>0</v>
      </c>
      <c r="O13" s="7" t="s">
        <v>35</v>
      </c>
    </row>
    <row r="14" spans="1:15" ht="20.149999999999999" customHeight="1" x14ac:dyDescent="0.35">
      <c r="A14" s="8" t="s">
        <v>36</v>
      </c>
      <c r="B14" s="22" t="s">
        <v>37</v>
      </c>
      <c r="C14" s="1" t="s">
        <v>31</v>
      </c>
      <c r="D14" s="1">
        <v>18049</v>
      </c>
      <c r="E14" s="2"/>
      <c r="F14" s="1">
        <v>1400.32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2"/>
        <v>0</v>
      </c>
      <c r="M14" s="1">
        <f t="shared" si="0"/>
        <v>18049</v>
      </c>
      <c r="N14" s="1">
        <f t="shared" si="1"/>
        <v>0</v>
      </c>
      <c r="O14" s="7"/>
    </row>
    <row r="15" spans="1:15" ht="20.149999999999999" customHeight="1" x14ac:dyDescent="0.35">
      <c r="A15" s="6">
        <v>3</v>
      </c>
      <c r="B15" s="21" t="s">
        <v>38</v>
      </c>
      <c r="C15" s="1" t="s">
        <v>31</v>
      </c>
      <c r="D15" s="1">
        <f>17781+174</f>
        <v>17955</v>
      </c>
      <c r="E15" s="2"/>
      <c r="F15" s="1">
        <f>1713+410+600+174</f>
        <v>2897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2"/>
        <v>0</v>
      </c>
      <c r="M15" s="1">
        <f t="shared" si="0"/>
        <v>17955</v>
      </c>
      <c r="N15" s="1">
        <f t="shared" si="1"/>
        <v>0</v>
      </c>
      <c r="O15" s="7"/>
    </row>
    <row r="16" spans="1:15" ht="20.149999999999999" customHeight="1" x14ac:dyDescent="0.35">
      <c r="A16" s="6">
        <v>4</v>
      </c>
      <c r="B16" s="21" t="s">
        <v>39</v>
      </c>
      <c r="C16" s="1" t="s">
        <v>31</v>
      </c>
      <c r="D16" s="1">
        <f>17781+174</f>
        <v>17955</v>
      </c>
      <c r="E16" s="2"/>
      <c r="F16" s="1">
        <v>2897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2"/>
        <v>0</v>
      </c>
      <c r="M16" s="1">
        <f t="shared" si="0"/>
        <v>17955</v>
      </c>
      <c r="N16" s="1">
        <f t="shared" si="1"/>
        <v>0</v>
      </c>
      <c r="O16" s="7"/>
    </row>
    <row r="17" spans="1:15" ht="20.149999999999999" customHeight="1" x14ac:dyDescent="0.35">
      <c r="A17" s="6">
        <v>5</v>
      </c>
      <c r="B17" s="21" t="s">
        <v>40</v>
      </c>
      <c r="C17" s="1" t="s">
        <v>31</v>
      </c>
      <c r="D17" s="1">
        <v>34290</v>
      </c>
      <c r="E17" s="2"/>
      <c r="F17" s="1"/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2"/>
        <v>0</v>
      </c>
      <c r="M17" s="1">
        <f t="shared" si="0"/>
        <v>34290</v>
      </c>
      <c r="N17" s="1">
        <f t="shared" si="1"/>
        <v>0</v>
      </c>
      <c r="O17" s="7"/>
    </row>
    <row r="18" spans="1:15" ht="20.149999999999999" customHeight="1" x14ac:dyDescent="0.35">
      <c r="A18" s="6">
        <v>6</v>
      </c>
      <c r="B18" s="21" t="s">
        <v>41</v>
      </c>
      <c r="C18" s="1" t="s">
        <v>42</v>
      </c>
      <c r="D18" s="1">
        <f>448000+21800</f>
        <v>469800</v>
      </c>
      <c r="E18" s="2"/>
      <c r="F18" s="1">
        <v>5000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2"/>
        <v>0</v>
      </c>
      <c r="M18" s="1">
        <f t="shared" si="0"/>
        <v>469800</v>
      </c>
      <c r="N18" s="1">
        <f t="shared" si="1"/>
        <v>0</v>
      </c>
      <c r="O18" s="7"/>
    </row>
    <row r="19" spans="1:15" ht="20.149999999999999" customHeight="1" x14ac:dyDescent="0.35">
      <c r="A19" s="6">
        <v>7</v>
      </c>
      <c r="B19" s="21" t="s">
        <v>43</v>
      </c>
      <c r="C19" s="1" t="s">
        <v>44</v>
      </c>
      <c r="D19" s="1">
        <v>29.5</v>
      </c>
      <c r="E19" s="2"/>
      <c r="F19" s="1"/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2"/>
        <v>0</v>
      </c>
      <c r="M19" s="1">
        <f t="shared" si="0"/>
        <v>29.5</v>
      </c>
      <c r="N19" s="1">
        <f t="shared" si="1"/>
        <v>0</v>
      </c>
      <c r="O19" s="7"/>
    </row>
    <row r="20" spans="1:15" ht="20.149999999999999" customHeight="1" x14ac:dyDescent="0.35">
      <c r="A20" s="6">
        <v>8</v>
      </c>
      <c r="B20" s="21" t="s">
        <v>45</v>
      </c>
      <c r="C20" s="1" t="s">
        <v>44</v>
      </c>
      <c r="D20" s="1">
        <v>1255</v>
      </c>
      <c r="E20" s="2"/>
      <c r="F20" s="1"/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2"/>
        <v>0</v>
      </c>
      <c r="M20" s="1">
        <f t="shared" si="0"/>
        <v>1255</v>
      </c>
      <c r="N20" s="1">
        <f t="shared" si="1"/>
        <v>0</v>
      </c>
      <c r="O20" s="7"/>
    </row>
    <row r="21" spans="1:15" x14ac:dyDescent="0.35">
      <c r="A21" s="6">
        <v>9</v>
      </c>
      <c r="B21" s="21" t="s">
        <v>46</v>
      </c>
      <c r="C21" s="1" t="s">
        <v>23</v>
      </c>
      <c r="D21" s="1">
        <v>1275</v>
      </c>
      <c r="E21" s="2"/>
      <c r="F21" s="1"/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2"/>
        <v>0</v>
      </c>
      <c r="M21" s="1">
        <f t="shared" si="0"/>
        <v>1275</v>
      </c>
      <c r="N21" s="1">
        <f t="shared" si="1"/>
        <v>0</v>
      </c>
      <c r="O21" s="7"/>
    </row>
    <row r="22" spans="1:15" ht="15" thickBot="1" x14ac:dyDescent="0.4">
      <c r="A22" s="9">
        <v>10</v>
      </c>
      <c r="B22" s="23" t="s">
        <v>47</v>
      </c>
      <c r="C22" s="15" t="s">
        <v>23</v>
      </c>
      <c r="D22" s="15">
        <v>33</v>
      </c>
      <c r="E22" s="10"/>
      <c r="F22" s="15"/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">
        <f t="shared" si="2"/>
        <v>0</v>
      </c>
      <c r="M22" s="15">
        <f t="shared" si="0"/>
        <v>33</v>
      </c>
      <c r="N22" s="15">
        <f t="shared" si="1"/>
        <v>0</v>
      </c>
      <c r="O22" s="11"/>
    </row>
  </sheetData>
  <mergeCells count="15">
    <mergeCell ref="A1:B2"/>
    <mergeCell ref="H4:K4"/>
    <mergeCell ref="A4:A5"/>
    <mergeCell ref="B4:B5"/>
    <mergeCell ref="C4:C5"/>
    <mergeCell ref="D4:D5"/>
    <mergeCell ref="F4:F5"/>
    <mergeCell ref="G4:G5"/>
    <mergeCell ref="E4:E5"/>
    <mergeCell ref="O4:O5"/>
    <mergeCell ref="C1:O1"/>
    <mergeCell ref="C2:O2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106"/>
  <sheetViews>
    <sheetView topLeftCell="A74" zoomScale="55" zoomScaleNormal="55" workbookViewId="0">
      <pane xSplit="12" topLeftCell="M1" activePane="topRight" state="frozen"/>
      <selection activeCell="A56" sqref="A56"/>
      <selection pane="topRight" activeCell="AG16" sqref="AG16"/>
    </sheetView>
  </sheetViews>
  <sheetFormatPr defaultColWidth="9.1796875" defaultRowHeight="15.5" x14ac:dyDescent="0.35"/>
  <cols>
    <col min="1" max="1" width="7.26953125" style="25" bestFit="1" customWidth="1"/>
    <col min="2" max="2" width="10.1796875" style="25" customWidth="1"/>
    <col min="3" max="3" width="42.81640625" style="25" customWidth="1"/>
    <col min="4" max="4" width="12.26953125" style="25" bestFit="1" customWidth="1"/>
    <col min="5" max="5" width="11.453125" style="25" customWidth="1"/>
    <col min="6" max="6" width="12.453125" style="25" customWidth="1"/>
    <col min="7" max="7" width="13" style="25" customWidth="1"/>
    <col min="8" max="8" width="14.81640625" style="25" customWidth="1"/>
    <col min="9" max="9" width="10.54296875" style="25" customWidth="1"/>
    <col min="10" max="10" width="13.1796875" style="25" customWidth="1"/>
    <col min="11" max="11" width="10.81640625" style="25" customWidth="1"/>
    <col min="12" max="12" width="12" style="25" customWidth="1"/>
    <col min="13" max="13" width="1.7265625" style="25" customWidth="1"/>
    <col min="14" max="14" width="8.7265625" style="25" customWidth="1"/>
    <col min="15" max="22" width="5.453125" style="25" customWidth="1"/>
    <col min="23" max="23" width="8.26953125" style="25" bestFit="1" customWidth="1"/>
    <col min="24" max="24" width="6.453125" style="25" customWidth="1"/>
    <col min="25" max="25" width="5.453125" style="25" customWidth="1"/>
    <col min="26" max="26" width="5.81640625" style="25" bestFit="1" customWidth="1"/>
    <col min="27" max="28" width="5.453125" style="25" customWidth="1"/>
    <col min="29" max="29" width="8.54296875" style="25" bestFit="1" customWidth="1"/>
    <col min="30" max="38" width="5.453125" style="25" customWidth="1"/>
    <col min="39" max="39" width="6.81640625" style="25" bestFit="1" customWidth="1"/>
    <col min="40" max="42" width="5.453125" style="25" customWidth="1"/>
    <col min="43" max="43" width="5.453125" style="141" customWidth="1"/>
    <col min="44" max="45" width="5.453125" style="25" customWidth="1"/>
    <col min="46" max="46" width="13" style="25" customWidth="1"/>
    <col min="47" max="16384" width="9.1796875" style="25"/>
  </cols>
  <sheetData>
    <row r="1" spans="1:49" ht="15.75" customHeight="1" thickBot="1" x14ac:dyDescent="0.45">
      <c r="A1" s="857" t="s">
        <v>524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9"/>
      <c r="M1" s="50"/>
      <c r="N1" s="853">
        <v>44826</v>
      </c>
      <c r="O1" s="854"/>
      <c r="P1" s="854"/>
      <c r="Q1" s="854"/>
      <c r="R1" s="854"/>
      <c r="S1" s="854"/>
      <c r="T1" s="854"/>
      <c r="U1" s="854"/>
      <c r="V1" s="854"/>
      <c r="W1" s="854"/>
      <c r="X1" s="854"/>
      <c r="Y1" s="854"/>
      <c r="Z1" s="854"/>
      <c r="AA1" s="854"/>
      <c r="AB1" s="854"/>
      <c r="AC1" s="854"/>
      <c r="AD1" s="854"/>
      <c r="AE1" s="854"/>
      <c r="AF1" s="854"/>
      <c r="AG1" s="854"/>
      <c r="AH1" s="854"/>
      <c r="AI1" s="854"/>
      <c r="AJ1" s="854"/>
      <c r="AK1" s="854"/>
      <c r="AL1" s="854"/>
      <c r="AM1" s="854"/>
      <c r="AN1" s="854"/>
      <c r="AO1" s="854"/>
      <c r="AP1" s="854"/>
      <c r="AQ1" s="854"/>
      <c r="AR1" s="854"/>
      <c r="AS1" s="855"/>
      <c r="AT1" s="856"/>
    </row>
    <row r="2" spans="1:49" ht="73.5" customHeight="1" thickBot="1" x14ac:dyDescent="0.4">
      <c r="A2" s="41" t="s">
        <v>234</v>
      </c>
      <c r="B2" s="41" t="s">
        <v>108</v>
      </c>
      <c r="C2" s="41" t="s">
        <v>235</v>
      </c>
      <c r="D2" s="87" t="s">
        <v>448</v>
      </c>
      <c r="E2" s="82" t="s">
        <v>449</v>
      </c>
      <c r="F2" s="82" t="s">
        <v>450</v>
      </c>
      <c r="G2" s="244" t="s">
        <v>237</v>
      </c>
      <c r="H2" s="290" t="s">
        <v>238</v>
      </c>
      <c r="I2" s="41" t="s">
        <v>239</v>
      </c>
      <c r="J2" s="248" t="s">
        <v>525</v>
      </c>
      <c r="K2" s="82" t="s">
        <v>241</v>
      </c>
      <c r="L2" s="43" t="s">
        <v>242</v>
      </c>
      <c r="M2" s="68"/>
      <c r="N2" s="52" t="s">
        <v>243</v>
      </c>
      <c r="O2" s="658">
        <f>'Strl Fab Day Wise  Progress '!O2</f>
        <v>44805</v>
      </c>
      <c r="P2" s="658">
        <f>'Strl Fab Day Wise  Progress '!P2</f>
        <v>44806</v>
      </c>
      <c r="Q2" s="658">
        <f>'Strl Fab Day Wise  Progress '!Q2</f>
        <v>44807</v>
      </c>
      <c r="R2" s="658">
        <f>'Strl Fab Day Wise  Progress '!R2</f>
        <v>44808</v>
      </c>
      <c r="S2" s="658">
        <f>'Strl Fab Day Wise  Progress '!S2</f>
        <v>44809</v>
      </c>
      <c r="T2" s="658">
        <f>'Strl Fab Day Wise  Progress '!T2</f>
        <v>44810</v>
      </c>
      <c r="U2" s="658">
        <f>'Strl Fab Day Wise  Progress '!U2</f>
        <v>44811</v>
      </c>
      <c r="V2" s="658">
        <f>'Strl Fab Day Wise  Progress '!V2</f>
        <v>44812</v>
      </c>
      <c r="W2" s="658">
        <f>'Strl Fab Day Wise  Progress '!W2</f>
        <v>44813</v>
      </c>
      <c r="X2" s="658">
        <f>'Strl Fab Day Wise  Progress '!X2</f>
        <v>44814</v>
      </c>
      <c r="Y2" s="658">
        <f>'Strl Fab Day Wise  Progress '!Y2</f>
        <v>44815</v>
      </c>
      <c r="Z2" s="658">
        <f>'Strl Fab Day Wise  Progress '!Z2</f>
        <v>44816</v>
      </c>
      <c r="AA2" s="658">
        <f>'Strl Fab Day Wise  Progress '!AA2</f>
        <v>44817</v>
      </c>
      <c r="AB2" s="658">
        <f>'Strl Fab Day Wise  Progress '!AB2</f>
        <v>44818</v>
      </c>
      <c r="AC2" s="658">
        <f>'Strl Fab Day Wise  Progress '!AC2</f>
        <v>44819</v>
      </c>
      <c r="AD2" s="658">
        <f>'Strl Fab Day Wise  Progress '!AD2</f>
        <v>44820</v>
      </c>
      <c r="AE2" s="658">
        <f>'Strl Fab Day Wise  Progress '!AE2</f>
        <v>44821</v>
      </c>
      <c r="AF2" s="658">
        <f>'Strl Fab Day Wise  Progress '!AF2</f>
        <v>44822</v>
      </c>
      <c r="AG2" s="658">
        <f>'Strl Fab Day Wise  Progress '!AG2</f>
        <v>44823</v>
      </c>
      <c r="AH2" s="658">
        <f>'Strl Fab Day Wise  Progress '!AH2</f>
        <v>44824</v>
      </c>
      <c r="AI2" s="658">
        <f>'Strl Fab Day Wise  Progress '!AI2</f>
        <v>44825</v>
      </c>
      <c r="AJ2" s="658">
        <f>'Strl Fab Day Wise  Progress '!AJ2</f>
        <v>44826</v>
      </c>
      <c r="AK2" s="658">
        <f>'Strl Fab Day Wise  Progress '!AK2</f>
        <v>44827</v>
      </c>
      <c r="AL2" s="658">
        <f>'Strl Fab Day Wise  Progress '!AL2</f>
        <v>44828</v>
      </c>
      <c r="AM2" s="658">
        <f>'Strl Fab Day Wise  Progress '!AM2</f>
        <v>44829</v>
      </c>
      <c r="AN2" s="658">
        <f>'Strl Fab Day Wise  Progress '!AN2</f>
        <v>44830</v>
      </c>
      <c r="AO2" s="658">
        <f>'Strl Fab Day Wise  Progress '!AO2</f>
        <v>44831</v>
      </c>
      <c r="AP2" s="658">
        <f>'Strl Fab Day Wise  Progress '!AP2</f>
        <v>44832</v>
      </c>
      <c r="AQ2" s="658">
        <f>'Strl Fab Day Wise  Progress '!AQ2</f>
        <v>44833</v>
      </c>
      <c r="AR2" s="658">
        <f>'Strl Fab Day Wise  Progress '!AR2</f>
        <v>44834</v>
      </c>
      <c r="AS2" s="658">
        <f>'Strl Fab Day Wise  Progress '!AS2</f>
        <v>44835</v>
      </c>
      <c r="AT2" s="34" t="s">
        <v>244</v>
      </c>
    </row>
    <row r="3" spans="1:49" s="168" customFormat="1" x14ac:dyDescent="0.35">
      <c r="A3" s="867">
        <v>1</v>
      </c>
      <c r="B3" s="862" t="s">
        <v>113</v>
      </c>
      <c r="C3" s="252" t="s">
        <v>453</v>
      </c>
      <c r="D3" s="252"/>
      <c r="E3" s="179"/>
      <c r="F3" s="413"/>
      <c r="G3" s="285"/>
      <c r="H3" s="285"/>
      <c r="I3" s="289"/>
      <c r="J3" s="289"/>
      <c r="K3" s="289"/>
      <c r="L3" s="163"/>
      <c r="M3" s="164"/>
      <c r="N3" s="165"/>
      <c r="O3" s="285"/>
      <c r="P3" s="285"/>
      <c r="Q3" s="285"/>
      <c r="R3" s="285"/>
      <c r="S3" s="285"/>
      <c r="T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9"/>
      <c r="AR3" s="285"/>
      <c r="AS3" s="166"/>
      <c r="AT3" s="167"/>
    </row>
    <row r="4" spans="1:49" s="168" customFormat="1" ht="15.75" customHeight="1" x14ac:dyDescent="0.35">
      <c r="A4" s="867"/>
      <c r="B4" s="862"/>
      <c r="C4" s="463" t="s">
        <v>454</v>
      </c>
      <c r="D4" s="873">
        <v>3000</v>
      </c>
      <c r="E4" s="287">
        <v>884</v>
      </c>
      <c r="F4" s="286">
        <v>884</v>
      </c>
      <c r="G4" s="286">
        <f>599+98+13+133+17.25+16.2+7.6</f>
        <v>884.05000000000007</v>
      </c>
      <c r="H4" s="286">
        <f t="shared" ref="H4:H30" si="0">E4-G4</f>
        <v>-5.0000000000068212E-2</v>
      </c>
      <c r="I4" s="286">
        <v>768</v>
      </c>
      <c r="J4" s="556">
        <f t="shared" ref="J4:J43" si="1">I4+AT4</f>
        <v>774.5</v>
      </c>
      <c r="K4" s="286">
        <f>G4-J4</f>
        <v>109.55000000000007</v>
      </c>
      <c r="L4" s="169">
        <f>J4/G4%</f>
        <v>87.608166958882407</v>
      </c>
      <c r="M4" s="170"/>
      <c r="N4" s="869">
        <v>160</v>
      </c>
      <c r="O4" s="287">
        <v>0</v>
      </c>
      <c r="P4" s="287">
        <v>0</v>
      </c>
      <c r="Q4" s="285">
        <v>0</v>
      </c>
      <c r="R4" s="285">
        <v>0</v>
      </c>
      <c r="S4" s="287">
        <v>0</v>
      </c>
      <c r="T4" s="285">
        <v>2.5</v>
      </c>
      <c r="U4" s="286">
        <v>1</v>
      </c>
      <c r="V4" s="287">
        <v>0</v>
      </c>
      <c r="W4" s="287">
        <v>1</v>
      </c>
      <c r="X4" s="287">
        <v>2</v>
      </c>
      <c r="Y4" s="287">
        <v>0</v>
      </c>
      <c r="Z4" s="287">
        <v>0</v>
      </c>
      <c r="AA4" s="287">
        <v>0</v>
      </c>
      <c r="AB4" s="287">
        <v>0</v>
      </c>
      <c r="AC4" s="287">
        <v>0</v>
      </c>
      <c r="AD4" s="287">
        <v>0</v>
      </c>
      <c r="AE4" s="287">
        <v>0</v>
      </c>
      <c r="AF4" s="287">
        <v>0</v>
      </c>
      <c r="AG4" s="287">
        <v>0</v>
      </c>
      <c r="AH4" s="287"/>
      <c r="AI4" s="287"/>
      <c r="AJ4" s="287"/>
      <c r="AK4" s="287"/>
      <c r="AL4" s="287"/>
      <c r="AM4" s="287"/>
      <c r="AN4" s="287"/>
      <c r="AO4" s="287"/>
      <c r="AP4" s="287"/>
      <c r="AQ4" s="286"/>
      <c r="AR4" s="287"/>
      <c r="AS4" s="171"/>
      <c r="AT4" s="172">
        <f>SUM(O4:AS4)</f>
        <v>6.5</v>
      </c>
    </row>
    <row r="5" spans="1:49" s="168" customFormat="1" ht="15.75" customHeight="1" x14ac:dyDescent="0.35">
      <c r="A5" s="867"/>
      <c r="B5" s="862"/>
      <c r="C5" s="463" t="s">
        <v>455</v>
      </c>
      <c r="D5" s="874"/>
      <c r="E5" s="286">
        <v>1725.54</v>
      </c>
      <c r="F5" s="286">
        <v>1725.54</v>
      </c>
      <c r="G5" s="286">
        <v>1725.54</v>
      </c>
      <c r="H5" s="286">
        <f t="shared" si="0"/>
        <v>0</v>
      </c>
      <c r="I5" s="286">
        <v>856.9</v>
      </c>
      <c r="J5" s="556">
        <f t="shared" si="1"/>
        <v>890.9</v>
      </c>
      <c r="K5" s="286">
        <f t="shared" ref="K5:K43" si="2">G5-J5</f>
        <v>834.64</v>
      </c>
      <c r="L5" s="169">
        <f>J5/G5%</f>
        <v>51.630214309723335</v>
      </c>
      <c r="M5" s="170"/>
      <c r="N5" s="867"/>
      <c r="O5" s="287">
        <v>0</v>
      </c>
      <c r="P5" s="287">
        <v>0</v>
      </c>
      <c r="Q5" s="285">
        <v>0</v>
      </c>
      <c r="R5" s="285">
        <v>0</v>
      </c>
      <c r="S5" s="287">
        <v>0</v>
      </c>
      <c r="T5" s="285">
        <v>0</v>
      </c>
      <c r="U5" s="287">
        <v>0</v>
      </c>
      <c r="V5" s="285">
        <v>0</v>
      </c>
      <c r="W5" s="285">
        <v>5</v>
      </c>
      <c r="X5" s="285"/>
      <c r="Y5" s="287">
        <v>0</v>
      </c>
      <c r="Z5" s="287">
        <v>5</v>
      </c>
      <c r="AA5" s="287">
        <v>10</v>
      </c>
      <c r="AB5" s="287">
        <v>8</v>
      </c>
      <c r="AC5" s="287">
        <v>6</v>
      </c>
      <c r="AD5" s="287">
        <v>0</v>
      </c>
      <c r="AE5" s="287">
        <v>0</v>
      </c>
      <c r="AF5" s="287">
        <v>0</v>
      </c>
      <c r="AG5" s="287">
        <v>0</v>
      </c>
      <c r="AH5" s="287"/>
      <c r="AI5" s="287"/>
      <c r="AJ5" s="287"/>
      <c r="AK5" s="287"/>
      <c r="AL5" s="287"/>
      <c r="AM5" s="287"/>
      <c r="AN5" s="287"/>
      <c r="AO5" s="287"/>
      <c r="AP5" s="287"/>
      <c r="AQ5" s="286"/>
      <c r="AR5" s="287"/>
      <c r="AS5" s="171"/>
      <c r="AT5" s="169">
        <f>SUM(O5:AS5)</f>
        <v>34</v>
      </c>
    </row>
    <row r="6" spans="1:49" s="168" customFormat="1" ht="15.75" customHeight="1" x14ac:dyDescent="0.35">
      <c r="A6" s="867"/>
      <c r="B6" s="862"/>
      <c r="C6" s="463" t="s">
        <v>456</v>
      </c>
      <c r="D6" s="874"/>
      <c r="E6" s="287">
        <v>842</v>
      </c>
      <c r="F6" s="286">
        <v>842</v>
      </c>
      <c r="G6" s="286">
        <v>842</v>
      </c>
      <c r="H6" s="286">
        <f t="shared" si="0"/>
        <v>0</v>
      </c>
      <c r="I6" s="286">
        <v>0</v>
      </c>
      <c r="J6" s="286">
        <f t="shared" si="1"/>
        <v>0</v>
      </c>
      <c r="K6" s="286">
        <f t="shared" si="2"/>
        <v>842</v>
      </c>
      <c r="L6" s="169">
        <f>J6/G6%</f>
        <v>0</v>
      </c>
      <c r="M6" s="170"/>
      <c r="N6" s="868"/>
      <c r="O6" s="287">
        <v>0</v>
      </c>
      <c r="P6" s="287">
        <v>0</v>
      </c>
      <c r="Q6" s="285">
        <v>0</v>
      </c>
      <c r="R6" s="285">
        <v>0</v>
      </c>
      <c r="S6" s="287">
        <v>0</v>
      </c>
      <c r="T6" s="285">
        <v>0</v>
      </c>
      <c r="U6" s="287">
        <v>0</v>
      </c>
      <c r="V6" s="285">
        <v>0</v>
      </c>
      <c r="W6" s="285">
        <v>0</v>
      </c>
      <c r="X6" s="285"/>
      <c r="Y6" s="287">
        <v>0</v>
      </c>
      <c r="Z6" s="287">
        <v>0</v>
      </c>
      <c r="AA6" s="287">
        <v>0</v>
      </c>
      <c r="AB6" s="287">
        <v>0</v>
      </c>
      <c r="AC6" s="287">
        <v>0</v>
      </c>
      <c r="AD6" s="287">
        <v>0</v>
      </c>
      <c r="AE6" s="287">
        <v>0</v>
      </c>
      <c r="AF6" s="287">
        <v>0</v>
      </c>
      <c r="AG6" s="287">
        <v>0</v>
      </c>
      <c r="AH6" s="287"/>
      <c r="AI6" s="287"/>
      <c r="AJ6" s="287"/>
      <c r="AK6" s="287"/>
      <c r="AL6" s="287"/>
      <c r="AM6" s="287"/>
      <c r="AN6" s="287"/>
      <c r="AO6" s="287"/>
      <c r="AP6" s="287"/>
      <c r="AQ6" s="286"/>
      <c r="AR6" s="287"/>
      <c r="AS6" s="171"/>
      <c r="AT6" s="172">
        <f t="shared" ref="AT6:AT38" si="3">SUM(O6:AS6)</f>
        <v>0</v>
      </c>
    </row>
    <row r="7" spans="1:49" s="168" customFormat="1" ht="15.75" customHeight="1" x14ac:dyDescent="0.35">
      <c r="A7" s="868"/>
      <c r="B7" s="862"/>
      <c r="C7" s="463" t="s">
        <v>457</v>
      </c>
      <c r="D7" s="874"/>
      <c r="E7" s="287">
        <v>89</v>
      </c>
      <c r="F7" s="286">
        <v>89</v>
      </c>
      <c r="G7" s="286">
        <f>42+47</f>
        <v>89</v>
      </c>
      <c r="H7" s="286">
        <f t="shared" si="0"/>
        <v>0</v>
      </c>
      <c r="I7" s="286">
        <v>0</v>
      </c>
      <c r="J7" s="286">
        <f t="shared" si="1"/>
        <v>0</v>
      </c>
      <c r="K7" s="286">
        <f t="shared" si="2"/>
        <v>89</v>
      </c>
      <c r="L7" s="169">
        <v>0</v>
      </c>
      <c r="M7" s="170"/>
      <c r="N7" s="415">
        <v>0</v>
      </c>
      <c r="O7" s="287">
        <v>0</v>
      </c>
      <c r="P7" s="287">
        <v>0</v>
      </c>
      <c r="Q7" s="285">
        <v>0</v>
      </c>
      <c r="R7" s="285">
        <v>0</v>
      </c>
      <c r="S7" s="287">
        <v>0</v>
      </c>
      <c r="T7" s="285">
        <v>0</v>
      </c>
      <c r="U7" s="287">
        <v>0</v>
      </c>
      <c r="V7" s="285">
        <v>0</v>
      </c>
      <c r="W7" s="285">
        <v>0</v>
      </c>
      <c r="X7" s="285"/>
      <c r="Y7" s="287">
        <v>0</v>
      </c>
      <c r="Z7" s="287">
        <v>0</v>
      </c>
      <c r="AA7" s="287">
        <v>0</v>
      </c>
      <c r="AB7" s="287">
        <v>0</v>
      </c>
      <c r="AC7" s="287">
        <v>0</v>
      </c>
      <c r="AD7" s="287">
        <v>0</v>
      </c>
      <c r="AE7" s="287">
        <v>0</v>
      </c>
      <c r="AF7" s="287">
        <v>0</v>
      </c>
      <c r="AG7" s="287">
        <v>0</v>
      </c>
      <c r="AH7" s="287"/>
      <c r="AI7" s="287"/>
      <c r="AJ7" s="287"/>
      <c r="AK7" s="287"/>
      <c r="AL7" s="287"/>
      <c r="AM7" s="287"/>
      <c r="AN7" s="287"/>
      <c r="AO7" s="287"/>
      <c r="AP7" s="287"/>
      <c r="AQ7" s="286"/>
      <c r="AR7" s="287"/>
      <c r="AS7" s="171"/>
      <c r="AT7" s="172">
        <f t="shared" si="3"/>
        <v>0</v>
      </c>
    </row>
    <row r="8" spans="1:49" s="168" customFormat="1" ht="16.5" customHeight="1" x14ac:dyDescent="0.35">
      <c r="A8" s="414">
        <v>2</v>
      </c>
      <c r="B8" s="862"/>
      <c r="C8" s="464" t="s">
        <v>458</v>
      </c>
      <c r="D8" s="874"/>
      <c r="E8" s="286">
        <v>449.6</v>
      </c>
      <c r="F8" s="286">
        <v>449.6</v>
      </c>
      <c r="G8" s="286">
        <v>449.6</v>
      </c>
      <c r="H8" s="286">
        <f t="shared" si="0"/>
        <v>0</v>
      </c>
      <c r="I8" s="286">
        <v>0</v>
      </c>
      <c r="J8" s="286">
        <f t="shared" si="1"/>
        <v>0</v>
      </c>
      <c r="K8" s="286">
        <f t="shared" si="2"/>
        <v>449.6</v>
      </c>
      <c r="L8" s="169">
        <v>0</v>
      </c>
      <c r="M8" s="170"/>
      <c r="N8" s="415">
        <v>0</v>
      </c>
      <c r="O8" s="287">
        <v>0</v>
      </c>
      <c r="P8" s="287">
        <v>0</v>
      </c>
      <c r="Q8" s="285">
        <v>0</v>
      </c>
      <c r="R8" s="285">
        <v>0</v>
      </c>
      <c r="S8" s="287">
        <v>0</v>
      </c>
      <c r="T8" s="285">
        <v>0</v>
      </c>
      <c r="U8" s="287">
        <v>0</v>
      </c>
      <c r="V8" s="285">
        <v>0</v>
      </c>
      <c r="W8" s="285">
        <v>0</v>
      </c>
      <c r="X8" s="285"/>
      <c r="Y8" s="287">
        <v>0</v>
      </c>
      <c r="Z8" s="287">
        <v>0</v>
      </c>
      <c r="AA8" s="287">
        <v>0</v>
      </c>
      <c r="AB8" s="287">
        <v>0</v>
      </c>
      <c r="AC8" s="287">
        <v>0</v>
      </c>
      <c r="AD8" s="287">
        <v>0</v>
      </c>
      <c r="AE8" s="287">
        <v>0</v>
      </c>
      <c r="AF8" s="287">
        <v>0</v>
      </c>
      <c r="AG8" s="287">
        <v>0</v>
      </c>
      <c r="AH8" s="287"/>
      <c r="AI8" s="287"/>
      <c r="AJ8" s="287"/>
      <c r="AK8" s="287"/>
      <c r="AL8" s="287"/>
      <c r="AM8" s="287"/>
      <c r="AN8" s="287"/>
      <c r="AO8" s="287"/>
      <c r="AP8" s="287"/>
      <c r="AQ8" s="286"/>
      <c r="AR8" s="287"/>
      <c r="AS8" s="171"/>
      <c r="AT8" s="172">
        <f t="shared" si="3"/>
        <v>0</v>
      </c>
    </row>
    <row r="9" spans="1:49" s="168" customFormat="1" x14ac:dyDescent="0.35">
      <c r="A9" s="414">
        <v>3</v>
      </c>
      <c r="B9" s="862"/>
      <c r="C9" s="465" t="s">
        <v>329</v>
      </c>
      <c r="D9" s="417">
        <v>200</v>
      </c>
      <c r="E9" s="287">
        <v>200</v>
      </c>
      <c r="F9" s="286">
        <v>200</v>
      </c>
      <c r="G9" s="286">
        <v>200</v>
      </c>
      <c r="H9" s="286">
        <f t="shared" si="0"/>
        <v>0</v>
      </c>
      <c r="I9" s="286">
        <v>0</v>
      </c>
      <c r="J9" s="286">
        <f t="shared" si="1"/>
        <v>0</v>
      </c>
      <c r="K9" s="286">
        <f t="shared" si="2"/>
        <v>200</v>
      </c>
      <c r="L9" s="169">
        <v>0</v>
      </c>
      <c r="M9" s="173"/>
      <c r="N9" s="415">
        <v>0</v>
      </c>
      <c r="O9" s="287">
        <v>0</v>
      </c>
      <c r="P9" s="287">
        <v>0</v>
      </c>
      <c r="Q9" s="285">
        <v>0</v>
      </c>
      <c r="R9" s="285">
        <v>0</v>
      </c>
      <c r="S9" s="287">
        <v>0</v>
      </c>
      <c r="T9" s="285">
        <v>0</v>
      </c>
      <c r="U9" s="287">
        <v>0</v>
      </c>
      <c r="V9" s="285">
        <v>0</v>
      </c>
      <c r="W9" s="285">
        <v>0</v>
      </c>
      <c r="X9" s="285"/>
      <c r="Y9" s="287">
        <v>0</v>
      </c>
      <c r="Z9" s="287">
        <v>0</v>
      </c>
      <c r="AA9" s="287">
        <v>0</v>
      </c>
      <c r="AB9" s="287">
        <v>0</v>
      </c>
      <c r="AC9" s="287">
        <v>0</v>
      </c>
      <c r="AD9" s="287">
        <v>0</v>
      </c>
      <c r="AE9" s="287">
        <v>0</v>
      </c>
      <c r="AF9" s="287">
        <v>0</v>
      </c>
      <c r="AG9" s="287">
        <v>0</v>
      </c>
      <c r="AH9" s="287"/>
      <c r="AI9" s="287"/>
      <c r="AJ9" s="287"/>
      <c r="AK9" s="287"/>
      <c r="AL9" s="287"/>
      <c r="AM9" s="287"/>
      <c r="AN9" s="287"/>
      <c r="AO9" s="287"/>
      <c r="AP9" s="287"/>
      <c r="AQ9" s="286"/>
      <c r="AR9" s="287"/>
      <c r="AS9" s="171"/>
      <c r="AT9" s="172">
        <f t="shared" si="3"/>
        <v>0</v>
      </c>
      <c r="AW9" s="168">
        <f>1470-1062.1</f>
        <v>407.90000000000009</v>
      </c>
    </row>
    <row r="10" spans="1:49" s="168" customFormat="1" x14ac:dyDescent="0.35">
      <c r="A10" s="866">
        <v>4</v>
      </c>
      <c r="B10" s="862"/>
      <c r="C10" s="465" t="s">
        <v>249</v>
      </c>
      <c r="D10" s="418">
        <v>5000</v>
      </c>
      <c r="E10" s="286">
        <v>8014</v>
      </c>
      <c r="F10" s="286">
        <v>8014</v>
      </c>
      <c r="G10" s="286">
        <v>8014</v>
      </c>
      <c r="H10" s="286">
        <f t="shared" si="0"/>
        <v>0</v>
      </c>
      <c r="I10" s="286">
        <v>607.5</v>
      </c>
      <c r="J10" s="286">
        <f t="shared" si="1"/>
        <v>845.5</v>
      </c>
      <c r="K10" s="286">
        <f t="shared" si="2"/>
        <v>7168.5</v>
      </c>
      <c r="L10" s="169">
        <v>0</v>
      </c>
      <c r="M10" s="173"/>
      <c r="N10" s="415">
        <v>500</v>
      </c>
      <c r="O10" s="287">
        <v>0</v>
      </c>
      <c r="P10" s="287">
        <v>0</v>
      </c>
      <c r="Q10" s="285">
        <v>0</v>
      </c>
      <c r="R10" s="287">
        <v>48</v>
      </c>
      <c r="S10" s="287">
        <v>0</v>
      </c>
      <c r="T10" s="285">
        <v>0</v>
      </c>
      <c r="U10" s="287">
        <v>0</v>
      </c>
      <c r="V10" s="285">
        <v>45</v>
      </c>
      <c r="W10" s="285">
        <v>0</v>
      </c>
      <c r="X10" s="285">
        <v>48</v>
      </c>
      <c r="Y10" s="287">
        <v>0</v>
      </c>
      <c r="Z10" s="287">
        <v>0</v>
      </c>
      <c r="AA10" s="287">
        <v>0</v>
      </c>
      <c r="AB10" s="287">
        <v>0</v>
      </c>
      <c r="AC10" s="287">
        <v>0</v>
      </c>
      <c r="AD10" s="287">
        <v>93</v>
      </c>
      <c r="AE10" s="287">
        <v>0</v>
      </c>
      <c r="AF10" s="287">
        <v>4</v>
      </c>
      <c r="AG10" s="287">
        <v>0</v>
      </c>
      <c r="AH10" s="287"/>
      <c r="AI10" s="287"/>
      <c r="AJ10" s="287"/>
      <c r="AK10" s="287"/>
      <c r="AL10" s="287"/>
      <c r="AM10" s="287"/>
      <c r="AN10" s="287"/>
      <c r="AO10" s="287"/>
      <c r="AP10" s="287"/>
      <c r="AQ10" s="286"/>
      <c r="AR10" s="287"/>
      <c r="AS10" s="171"/>
      <c r="AT10" s="172">
        <f t="shared" si="3"/>
        <v>238</v>
      </c>
    </row>
    <row r="11" spans="1:49" s="168" customFormat="1" x14ac:dyDescent="0.35">
      <c r="A11" s="866"/>
      <c r="B11" s="862"/>
      <c r="C11" s="465" t="s">
        <v>459</v>
      </c>
      <c r="D11" s="417">
        <v>300</v>
      </c>
      <c r="E11" s="287">
        <v>338</v>
      </c>
      <c r="F11" s="286">
        <f>169+169</f>
        <v>338</v>
      </c>
      <c r="G11" s="286">
        <v>338</v>
      </c>
      <c r="H11" s="286">
        <f t="shared" si="0"/>
        <v>0</v>
      </c>
      <c r="I11" s="286">
        <v>0</v>
      </c>
      <c r="J11" s="286">
        <f t="shared" si="1"/>
        <v>0</v>
      </c>
      <c r="K11" s="286">
        <f t="shared" si="2"/>
        <v>338</v>
      </c>
      <c r="L11" s="169">
        <v>0</v>
      </c>
      <c r="M11" s="173"/>
      <c r="N11" s="415">
        <v>0</v>
      </c>
      <c r="O11" s="287">
        <v>0</v>
      </c>
      <c r="P11" s="287">
        <v>0</v>
      </c>
      <c r="Q11" s="285">
        <v>0</v>
      </c>
      <c r="R11" s="285">
        <v>0</v>
      </c>
      <c r="S11" s="287">
        <v>0</v>
      </c>
      <c r="T11" s="285">
        <v>0</v>
      </c>
      <c r="U11" s="287">
        <v>0</v>
      </c>
      <c r="V11" s="285">
        <v>0</v>
      </c>
      <c r="W11" s="285">
        <v>0</v>
      </c>
      <c r="X11" s="285"/>
      <c r="Y11" s="287">
        <v>0</v>
      </c>
      <c r="Z11" s="287">
        <v>0</v>
      </c>
      <c r="AA11" s="287">
        <v>0</v>
      </c>
      <c r="AB11" s="287">
        <v>0</v>
      </c>
      <c r="AC11" s="287">
        <v>0</v>
      </c>
      <c r="AD11" s="287">
        <v>0</v>
      </c>
      <c r="AE11" s="287">
        <v>0</v>
      </c>
      <c r="AF11" s="287">
        <v>0</v>
      </c>
      <c r="AG11" s="287">
        <v>0</v>
      </c>
      <c r="AH11" s="287"/>
      <c r="AI11" s="287"/>
      <c r="AJ11" s="287"/>
      <c r="AK11" s="287"/>
      <c r="AL11" s="287"/>
      <c r="AM11" s="287"/>
      <c r="AN11" s="287"/>
      <c r="AO11" s="287"/>
      <c r="AP11" s="287"/>
      <c r="AQ11" s="286"/>
      <c r="AR11" s="287"/>
      <c r="AS11" s="171"/>
      <c r="AT11" s="172">
        <f t="shared" si="3"/>
        <v>0</v>
      </c>
    </row>
    <row r="12" spans="1:49" s="168" customFormat="1" x14ac:dyDescent="0.35">
      <c r="A12" s="869">
        <v>5</v>
      </c>
      <c r="B12" s="862"/>
      <c r="C12" s="465" t="s">
        <v>460</v>
      </c>
      <c r="D12" s="873">
        <v>1750</v>
      </c>
      <c r="E12" s="288">
        <v>3734</v>
      </c>
      <c r="F12" s="288">
        <v>3734</v>
      </c>
      <c r="G12" s="286">
        <v>3634</v>
      </c>
      <c r="H12" s="286">
        <f t="shared" si="0"/>
        <v>100</v>
      </c>
      <c r="I12" s="286">
        <v>302.39999999999998</v>
      </c>
      <c r="J12" s="286">
        <f t="shared" si="1"/>
        <v>347.7</v>
      </c>
      <c r="K12" s="286">
        <f t="shared" si="2"/>
        <v>3286.3</v>
      </c>
      <c r="L12" s="169">
        <v>0</v>
      </c>
      <c r="M12" s="173"/>
      <c r="N12" s="415">
        <v>240</v>
      </c>
      <c r="O12" s="287">
        <v>0</v>
      </c>
      <c r="P12" s="287">
        <v>0</v>
      </c>
      <c r="Q12" s="285">
        <v>0</v>
      </c>
      <c r="R12" s="285">
        <v>0</v>
      </c>
      <c r="S12" s="287">
        <v>14</v>
      </c>
      <c r="T12" s="285">
        <v>0</v>
      </c>
      <c r="U12" s="287">
        <v>0</v>
      </c>
      <c r="V12" s="287">
        <v>8.6</v>
      </c>
      <c r="W12" s="285">
        <v>0</v>
      </c>
      <c r="X12" s="287"/>
      <c r="Y12" s="287">
        <v>0</v>
      </c>
      <c r="Z12" s="287">
        <v>0</v>
      </c>
      <c r="AA12" s="287">
        <v>0</v>
      </c>
      <c r="AB12" s="287">
        <v>0</v>
      </c>
      <c r="AC12" s="287">
        <v>6.4</v>
      </c>
      <c r="AD12" s="287">
        <v>5</v>
      </c>
      <c r="AE12" s="287">
        <v>0</v>
      </c>
      <c r="AF12" s="287">
        <v>4</v>
      </c>
      <c r="AG12" s="287">
        <v>7.3</v>
      </c>
      <c r="AH12" s="287"/>
      <c r="AI12" s="287"/>
      <c r="AJ12" s="287"/>
      <c r="AK12" s="287"/>
      <c r="AL12" s="287"/>
      <c r="AM12" s="287"/>
      <c r="AN12" s="287"/>
      <c r="AO12" s="287"/>
      <c r="AP12" s="287"/>
      <c r="AQ12" s="286"/>
      <c r="AR12" s="287"/>
      <c r="AS12" s="171"/>
      <c r="AT12" s="172">
        <f t="shared" si="3"/>
        <v>45.3</v>
      </c>
    </row>
    <row r="13" spans="1:49" s="168" customFormat="1" x14ac:dyDescent="0.35">
      <c r="A13" s="868"/>
      <c r="B13" s="862"/>
      <c r="C13" s="465" t="s">
        <v>461</v>
      </c>
      <c r="D13" s="874"/>
      <c r="E13" s="286">
        <v>20.41</v>
      </c>
      <c r="F13" s="286">
        <v>20.41</v>
      </c>
      <c r="G13" s="286">
        <v>20.41</v>
      </c>
      <c r="H13" s="286">
        <f t="shared" si="0"/>
        <v>0</v>
      </c>
      <c r="I13" s="286">
        <v>0</v>
      </c>
      <c r="J13" s="286">
        <f t="shared" si="1"/>
        <v>1.3</v>
      </c>
      <c r="K13" s="286">
        <f>G13-J13</f>
        <v>19.11</v>
      </c>
      <c r="L13" s="169">
        <v>0</v>
      </c>
      <c r="M13" s="173"/>
      <c r="N13" s="415">
        <v>0</v>
      </c>
      <c r="O13" s="287">
        <v>0</v>
      </c>
      <c r="P13" s="287">
        <v>0</v>
      </c>
      <c r="Q13" s="285">
        <v>0</v>
      </c>
      <c r="R13" s="285">
        <v>0</v>
      </c>
      <c r="S13" s="287">
        <v>0</v>
      </c>
      <c r="T13" s="285">
        <v>0</v>
      </c>
      <c r="U13" s="287">
        <v>0</v>
      </c>
      <c r="V13" s="285">
        <v>0</v>
      </c>
      <c r="W13" s="285">
        <v>0</v>
      </c>
      <c r="X13" s="285"/>
      <c r="Y13" s="287">
        <v>0</v>
      </c>
      <c r="Z13" s="287">
        <v>0</v>
      </c>
      <c r="AA13" s="287">
        <v>0</v>
      </c>
      <c r="AB13" s="287">
        <v>0</v>
      </c>
      <c r="AC13" s="287">
        <v>0</v>
      </c>
      <c r="AD13" s="287">
        <v>0</v>
      </c>
      <c r="AE13" s="287">
        <v>0</v>
      </c>
      <c r="AF13" s="287">
        <v>0</v>
      </c>
      <c r="AG13" s="287">
        <v>1.3</v>
      </c>
      <c r="AH13" s="287"/>
      <c r="AI13" s="287"/>
      <c r="AJ13" s="287"/>
      <c r="AK13" s="287"/>
      <c r="AL13" s="287"/>
      <c r="AM13" s="287"/>
      <c r="AN13" s="287"/>
      <c r="AO13" s="287"/>
      <c r="AP13" s="287"/>
      <c r="AQ13" s="286"/>
      <c r="AR13" s="287"/>
      <c r="AS13" s="171"/>
      <c r="AT13" s="172">
        <f t="shared" si="3"/>
        <v>1.3</v>
      </c>
    </row>
    <row r="14" spans="1:49" s="168" customFormat="1" x14ac:dyDescent="0.35">
      <c r="A14" s="414">
        <v>6</v>
      </c>
      <c r="B14" s="862"/>
      <c r="C14" s="464" t="s">
        <v>462</v>
      </c>
      <c r="D14" s="875"/>
      <c r="E14" s="286">
        <v>958</v>
      </c>
      <c r="F14" s="286">
        <v>958</v>
      </c>
      <c r="G14" s="286">
        <v>958</v>
      </c>
      <c r="H14" s="286">
        <f t="shared" si="0"/>
        <v>0</v>
      </c>
      <c r="I14" s="286">
        <v>0</v>
      </c>
      <c r="J14" s="286">
        <f t="shared" si="1"/>
        <v>0</v>
      </c>
      <c r="K14" s="286">
        <f t="shared" si="2"/>
        <v>958</v>
      </c>
      <c r="L14" s="169">
        <v>0</v>
      </c>
      <c r="M14" s="173"/>
      <c r="N14" s="415">
        <v>21</v>
      </c>
      <c r="O14" s="287">
        <v>0</v>
      </c>
      <c r="P14" s="287">
        <v>0</v>
      </c>
      <c r="Q14" s="285">
        <v>0</v>
      </c>
      <c r="R14" s="285">
        <v>0</v>
      </c>
      <c r="S14" s="287">
        <v>0</v>
      </c>
      <c r="T14" s="285">
        <v>0</v>
      </c>
      <c r="U14" s="287">
        <v>0</v>
      </c>
      <c r="V14" s="285">
        <v>0</v>
      </c>
      <c r="W14" s="285">
        <v>0</v>
      </c>
      <c r="X14" s="285"/>
      <c r="Y14" s="287">
        <v>0</v>
      </c>
      <c r="Z14" s="287">
        <v>0</v>
      </c>
      <c r="AA14" s="287">
        <v>0</v>
      </c>
      <c r="AB14" s="287">
        <v>0</v>
      </c>
      <c r="AC14" s="287">
        <v>0</v>
      </c>
      <c r="AD14" s="287">
        <v>0</v>
      </c>
      <c r="AE14" s="287">
        <v>0</v>
      </c>
      <c r="AF14" s="287">
        <v>0</v>
      </c>
      <c r="AG14" s="287">
        <v>0</v>
      </c>
      <c r="AH14" s="287"/>
      <c r="AI14" s="287"/>
      <c r="AJ14" s="287"/>
      <c r="AK14" s="287"/>
      <c r="AL14" s="287"/>
      <c r="AM14" s="287"/>
      <c r="AN14" s="287"/>
      <c r="AO14" s="287"/>
      <c r="AP14" s="287"/>
      <c r="AQ14" s="286"/>
      <c r="AR14" s="287"/>
      <c r="AS14" s="171"/>
      <c r="AT14" s="172">
        <f t="shared" si="3"/>
        <v>0</v>
      </c>
    </row>
    <row r="15" spans="1:49" s="168" customFormat="1" x14ac:dyDescent="0.35">
      <c r="A15" s="869">
        <v>7</v>
      </c>
      <c r="B15" s="862"/>
      <c r="C15" s="464" t="s">
        <v>463</v>
      </c>
      <c r="D15" s="873">
        <v>9600</v>
      </c>
      <c r="E15" s="287">
        <v>5232</v>
      </c>
      <c r="F15" s="287">
        <v>5082</v>
      </c>
      <c r="G15" s="286">
        <v>5082</v>
      </c>
      <c r="H15" s="286">
        <f t="shared" si="0"/>
        <v>150</v>
      </c>
      <c r="I15" s="286">
        <v>2661.2</v>
      </c>
      <c r="J15" s="556">
        <f t="shared" si="1"/>
        <v>2738.5</v>
      </c>
      <c r="K15" s="286">
        <f t="shared" si="2"/>
        <v>2343.5</v>
      </c>
      <c r="L15" s="169">
        <f>J15/G15%</f>
        <v>53.886265249901612</v>
      </c>
      <c r="M15" s="173"/>
      <c r="N15" s="414">
        <v>120</v>
      </c>
      <c r="O15" s="287">
        <v>0</v>
      </c>
      <c r="P15" s="287">
        <v>4</v>
      </c>
      <c r="Q15" s="285">
        <v>0</v>
      </c>
      <c r="R15" s="287">
        <v>2</v>
      </c>
      <c r="S15" s="287">
        <v>0</v>
      </c>
      <c r="T15" s="285">
        <v>3.5</v>
      </c>
      <c r="U15" s="287">
        <v>0</v>
      </c>
      <c r="V15" s="285">
        <v>2.5</v>
      </c>
      <c r="W15" s="285">
        <v>1</v>
      </c>
      <c r="X15" s="287">
        <v>14</v>
      </c>
      <c r="Y15" s="287">
        <v>0</v>
      </c>
      <c r="Z15" s="286">
        <v>6</v>
      </c>
      <c r="AA15" s="287">
        <v>6</v>
      </c>
      <c r="AB15" s="287">
        <v>8</v>
      </c>
      <c r="AC15" s="287">
        <v>9.8000000000000007</v>
      </c>
      <c r="AD15" s="286">
        <v>4</v>
      </c>
      <c r="AE15" s="287">
        <v>0</v>
      </c>
      <c r="AF15" s="287">
        <v>8</v>
      </c>
      <c r="AG15" s="287">
        <v>8.5</v>
      </c>
      <c r="AH15" s="287"/>
      <c r="AI15" s="287"/>
      <c r="AJ15" s="287"/>
      <c r="AK15" s="287"/>
      <c r="AL15" s="287"/>
      <c r="AM15" s="287"/>
      <c r="AN15" s="287"/>
      <c r="AO15" s="287"/>
      <c r="AP15" s="287"/>
      <c r="AQ15" s="286"/>
      <c r="AR15" s="287"/>
      <c r="AS15" s="171"/>
      <c r="AT15" s="172">
        <f t="shared" si="3"/>
        <v>77.3</v>
      </c>
    </row>
    <row r="16" spans="1:49" s="168" customFormat="1" x14ac:dyDescent="0.35">
      <c r="A16" s="867"/>
      <c r="B16" s="862"/>
      <c r="C16" s="464" t="s">
        <v>464</v>
      </c>
      <c r="D16" s="874"/>
      <c r="E16" s="287">
        <v>1315</v>
      </c>
      <c r="F16" s="287">
        <v>1315</v>
      </c>
      <c r="G16" s="286">
        <v>1315</v>
      </c>
      <c r="H16" s="286">
        <f t="shared" si="0"/>
        <v>0</v>
      </c>
      <c r="I16" s="286">
        <v>0</v>
      </c>
      <c r="J16" s="286">
        <f t="shared" si="1"/>
        <v>0</v>
      </c>
      <c r="K16" s="286">
        <f t="shared" si="2"/>
        <v>1315</v>
      </c>
      <c r="L16" s="169">
        <f>J16/G16%</f>
        <v>0</v>
      </c>
      <c r="M16" s="173"/>
      <c r="N16" s="414">
        <v>108</v>
      </c>
      <c r="O16" s="287">
        <v>0</v>
      </c>
      <c r="P16" s="287">
        <v>0</v>
      </c>
      <c r="Q16" s="285">
        <v>0</v>
      </c>
      <c r="R16" s="285">
        <v>0</v>
      </c>
      <c r="S16" s="287">
        <v>0</v>
      </c>
      <c r="T16" s="285">
        <v>0</v>
      </c>
      <c r="U16" s="287">
        <v>0</v>
      </c>
      <c r="V16" s="285">
        <v>0</v>
      </c>
      <c r="W16" s="285">
        <v>0</v>
      </c>
      <c r="X16" s="285"/>
      <c r="Y16" s="287">
        <v>0</v>
      </c>
      <c r="Z16" s="287">
        <v>0</v>
      </c>
      <c r="AA16" s="287">
        <v>0</v>
      </c>
      <c r="AB16" s="287">
        <v>0</v>
      </c>
      <c r="AC16" s="287">
        <v>0</v>
      </c>
      <c r="AD16" s="287">
        <v>0</v>
      </c>
      <c r="AE16" s="287">
        <v>0</v>
      </c>
      <c r="AF16" s="287">
        <v>0</v>
      </c>
      <c r="AG16" s="287">
        <v>0</v>
      </c>
      <c r="AH16" s="287"/>
      <c r="AI16" s="287"/>
      <c r="AJ16" s="287"/>
      <c r="AK16" s="287"/>
      <c r="AL16" s="287"/>
      <c r="AM16" s="287"/>
      <c r="AN16" s="287"/>
      <c r="AO16" s="287"/>
      <c r="AP16" s="287"/>
      <c r="AQ16" s="286"/>
      <c r="AR16" s="287"/>
      <c r="AS16" s="171"/>
      <c r="AT16" s="172">
        <f t="shared" si="3"/>
        <v>0</v>
      </c>
    </row>
    <row r="17" spans="1:46" s="168" customFormat="1" x14ac:dyDescent="0.35">
      <c r="A17" s="867"/>
      <c r="B17" s="862"/>
      <c r="C17" s="464" t="s">
        <v>465</v>
      </c>
      <c r="D17" s="874"/>
      <c r="E17" s="287">
        <v>1120</v>
      </c>
      <c r="F17" s="287">
        <v>1120</v>
      </c>
      <c r="G17" s="286">
        <v>1120</v>
      </c>
      <c r="H17" s="286">
        <f t="shared" si="0"/>
        <v>0</v>
      </c>
      <c r="I17" s="286">
        <v>0</v>
      </c>
      <c r="J17" s="286">
        <f t="shared" si="1"/>
        <v>0</v>
      </c>
      <c r="K17" s="286">
        <f t="shared" si="2"/>
        <v>1120</v>
      </c>
      <c r="L17" s="169">
        <v>0</v>
      </c>
      <c r="M17" s="173"/>
      <c r="N17" s="414">
        <v>40</v>
      </c>
      <c r="O17" s="287">
        <v>0</v>
      </c>
      <c r="P17" s="287">
        <v>0</v>
      </c>
      <c r="Q17" s="285">
        <v>0</v>
      </c>
      <c r="R17" s="285">
        <v>0</v>
      </c>
      <c r="S17" s="287">
        <v>0</v>
      </c>
      <c r="T17" s="285">
        <v>0</v>
      </c>
      <c r="U17" s="287">
        <v>0</v>
      </c>
      <c r="V17" s="285">
        <v>0</v>
      </c>
      <c r="W17" s="285">
        <v>0</v>
      </c>
      <c r="X17" s="285"/>
      <c r="Y17" s="287">
        <v>0</v>
      </c>
      <c r="Z17" s="287">
        <v>0</v>
      </c>
      <c r="AA17" s="287">
        <v>0</v>
      </c>
      <c r="AB17" s="287">
        <v>0</v>
      </c>
      <c r="AC17" s="287">
        <v>0</v>
      </c>
      <c r="AD17" s="287">
        <v>0</v>
      </c>
      <c r="AE17" s="287">
        <v>0</v>
      </c>
      <c r="AF17" s="287">
        <v>0</v>
      </c>
      <c r="AG17" s="287">
        <v>0</v>
      </c>
      <c r="AH17" s="287"/>
      <c r="AI17" s="287"/>
      <c r="AJ17" s="287"/>
      <c r="AK17" s="287"/>
      <c r="AL17" s="287"/>
      <c r="AM17" s="287"/>
      <c r="AN17" s="287"/>
      <c r="AO17" s="287"/>
      <c r="AP17" s="287"/>
      <c r="AQ17" s="286"/>
      <c r="AR17" s="287"/>
      <c r="AS17" s="171"/>
      <c r="AT17" s="172">
        <f t="shared" si="3"/>
        <v>0</v>
      </c>
    </row>
    <row r="18" spans="1:46" s="168" customFormat="1" x14ac:dyDescent="0.35">
      <c r="A18" s="867"/>
      <c r="B18" s="862"/>
      <c r="C18" s="464" t="s">
        <v>466</v>
      </c>
      <c r="D18" s="874"/>
      <c r="E18" s="287">
        <v>145</v>
      </c>
      <c r="F18" s="287">
        <v>145</v>
      </c>
      <c r="G18" s="286">
        <v>145</v>
      </c>
      <c r="H18" s="286">
        <f t="shared" si="0"/>
        <v>0</v>
      </c>
      <c r="I18" s="286">
        <v>0</v>
      </c>
      <c r="J18" s="286">
        <f t="shared" si="1"/>
        <v>0</v>
      </c>
      <c r="K18" s="286">
        <f t="shared" si="2"/>
        <v>145</v>
      </c>
      <c r="L18" s="169">
        <f>J18/G18%</f>
        <v>0</v>
      </c>
      <c r="M18" s="173"/>
      <c r="N18" s="414">
        <v>0</v>
      </c>
      <c r="O18" s="287">
        <v>0</v>
      </c>
      <c r="P18" s="287">
        <v>0</v>
      </c>
      <c r="Q18" s="285">
        <v>0</v>
      </c>
      <c r="R18" s="285">
        <v>0</v>
      </c>
      <c r="S18" s="287">
        <v>0</v>
      </c>
      <c r="T18" s="285">
        <v>0</v>
      </c>
      <c r="U18" s="287">
        <v>0</v>
      </c>
      <c r="V18" s="285">
        <v>0</v>
      </c>
      <c r="W18" s="285">
        <v>0</v>
      </c>
      <c r="X18" s="285"/>
      <c r="Y18" s="287">
        <v>0</v>
      </c>
      <c r="Z18" s="287">
        <v>0</v>
      </c>
      <c r="AA18" s="287">
        <v>0</v>
      </c>
      <c r="AB18" s="287">
        <v>0</v>
      </c>
      <c r="AC18" s="287">
        <v>0</v>
      </c>
      <c r="AD18" s="287">
        <v>0</v>
      </c>
      <c r="AE18" s="287">
        <v>0</v>
      </c>
      <c r="AF18" s="287">
        <v>0</v>
      </c>
      <c r="AG18" s="287">
        <v>0</v>
      </c>
      <c r="AH18" s="287"/>
      <c r="AI18" s="287"/>
      <c r="AJ18" s="287"/>
      <c r="AK18" s="287"/>
      <c r="AL18" s="287"/>
      <c r="AM18" s="287"/>
      <c r="AN18" s="287"/>
      <c r="AO18" s="287"/>
      <c r="AP18" s="287"/>
      <c r="AQ18" s="286"/>
      <c r="AR18" s="287"/>
      <c r="AS18" s="171"/>
      <c r="AT18" s="172">
        <f t="shared" si="3"/>
        <v>0</v>
      </c>
    </row>
    <row r="19" spans="1:46" s="168" customFormat="1" x14ac:dyDescent="0.35">
      <c r="A19" s="867"/>
      <c r="B19" s="862"/>
      <c r="C19" s="464" t="s">
        <v>467</v>
      </c>
      <c r="D19" s="874"/>
      <c r="E19" s="287">
        <v>632</v>
      </c>
      <c r="F19" s="287">
        <v>632</v>
      </c>
      <c r="G19" s="286">
        <v>259</v>
      </c>
      <c r="H19" s="286">
        <f t="shared" si="0"/>
        <v>373</v>
      </c>
      <c r="I19" s="286">
        <v>82.5</v>
      </c>
      <c r="J19" s="286">
        <f t="shared" si="1"/>
        <v>93</v>
      </c>
      <c r="K19" s="286">
        <f>G19-J19</f>
        <v>166</v>
      </c>
      <c r="L19" s="169">
        <f>J19/G19%</f>
        <v>35.907335907335913</v>
      </c>
      <c r="M19" s="173"/>
      <c r="N19" s="414">
        <v>42</v>
      </c>
      <c r="O19" s="287">
        <v>0</v>
      </c>
      <c r="P19" s="287">
        <v>0</v>
      </c>
      <c r="Q19" s="285">
        <v>0</v>
      </c>
      <c r="R19" s="285">
        <v>0</v>
      </c>
      <c r="S19" s="287">
        <v>1</v>
      </c>
      <c r="T19" s="285">
        <v>0</v>
      </c>
      <c r="U19" s="289">
        <v>3</v>
      </c>
      <c r="V19" s="285">
        <v>0</v>
      </c>
      <c r="W19" s="285">
        <v>0</v>
      </c>
      <c r="X19" s="285"/>
      <c r="Y19" s="287">
        <v>0</v>
      </c>
      <c r="Z19" s="287">
        <v>0</v>
      </c>
      <c r="AA19" s="287">
        <v>0</v>
      </c>
      <c r="AB19" s="287">
        <v>0</v>
      </c>
      <c r="AC19" s="287">
        <v>0</v>
      </c>
      <c r="AD19" s="287">
        <v>0</v>
      </c>
      <c r="AE19" s="287">
        <v>0</v>
      </c>
      <c r="AF19" s="287">
        <v>0</v>
      </c>
      <c r="AG19" s="287">
        <v>6.5</v>
      </c>
      <c r="AH19" s="287"/>
      <c r="AI19" s="287"/>
      <c r="AJ19" s="287"/>
      <c r="AK19" s="287"/>
      <c r="AL19" s="287"/>
      <c r="AM19" s="287"/>
      <c r="AN19" s="287"/>
      <c r="AO19" s="287"/>
      <c r="AP19" s="287"/>
      <c r="AQ19" s="286"/>
      <c r="AR19" s="287"/>
      <c r="AS19" s="171"/>
      <c r="AT19" s="172">
        <f t="shared" si="3"/>
        <v>10.5</v>
      </c>
    </row>
    <row r="20" spans="1:46" s="168" customFormat="1" x14ac:dyDescent="0.35">
      <c r="A20" s="867"/>
      <c r="B20" s="862"/>
      <c r="C20" s="464" t="s">
        <v>468</v>
      </c>
      <c r="D20" s="874"/>
      <c r="E20" s="287">
        <v>1514</v>
      </c>
      <c r="F20" s="287">
        <v>1514</v>
      </c>
      <c r="G20" s="286">
        <v>1514</v>
      </c>
      <c r="H20" s="286">
        <f t="shared" si="0"/>
        <v>0</v>
      </c>
      <c r="I20" s="286">
        <v>0</v>
      </c>
      <c r="J20" s="286">
        <f t="shared" si="1"/>
        <v>0</v>
      </c>
      <c r="K20" s="286">
        <f>G20-J20</f>
        <v>1514</v>
      </c>
      <c r="L20" s="169">
        <v>0</v>
      </c>
      <c r="M20" s="173"/>
      <c r="N20" s="414">
        <v>0</v>
      </c>
      <c r="O20" s="287">
        <v>0</v>
      </c>
      <c r="P20" s="287">
        <v>0</v>
      </c>
      <c r="Q20" s="285">
        <v>0</v>
      </c>
      <c r="R20" s="285">
        <v>0</v>
      </c>
      <c r="S20" s="287">
        <v>0</v>
      </c>
      <c r="T20" s="285">
        <v>0</v>
      </c>
      <c r="U20" s="289">
        <v>0</v>
      </c>
      <c r="V20" s="285">
        <v>0</v>
      </c>
      <c r="W20" s="285">
        <v>0</v>
      </c>
      <c r="X20" s="285"/>
      <c r="Y20" s="287">
        <v>0</v>
      </c>
      <c r="Z20" s="287">
        <v>0</v>
      </c>
      <c r="AA20" s="287">
        <v>0</v>
      </c>
      <c r="AB20" s="287">
        <v>0</v>
      </c>
      <c r="AC20" s="287">
        <v>0</v>
      </c>
      <c r="AD20" s="287">
        <v>0</v>
      </c>
      <c r="AE20" s="287">
        <v>0</v>
      </c>
      <c r="AF20" s="287">
        <v>0</v>
      </c>
      <c r="AG20" s="287">
        <v>0</v>
      </c>
      <c r="AH20" s="287"/>
      <c r="AI20" s="287"/>
      <c r="AJ20" s="287"/>
      <c r="AK20" s="287"/>
      <c r="AL20" s="287"/>
      <c r="AM20" s="287"/>
      <c r="AN20" s="287"/>
      <c r="AO20" s="287"/>
      <c r="AP20" s="287"/>
      <c r="AQ20" s="286"/>
      <c r="AR20" s="287"/>
      <c r="AS20" s="171"/>
      <c r="AT20" s="172">
        <f t="shared" si="3"/>
        <v>0</v>
      </c>
    </row>
    <row r="21" spans="1:46" s="168" customFormat="1" x14ac:dyDescent="0.35">
      <c r="A21" s="868"/>
      <c r="B21" s="862"/>
      <c r="C21" s="464" t="s">
        <v>469</v>
      </c>
      <c r="D21" s="875"/>
      <c r="E21" s="285">
        <v>1500</v>
      </c>
      <c r="F21" s="285">
        <f>176+118+176+125+131</f>
        <v>726</v>
      </c>
      <c r="G21" s="286">
        <v>356</v>
      </c>
      <c r="H21" s="286">
        <f t="shared" si="0"/>
        <v>1144</v>
      </c>
      <c r="I21" s="286">
        <v>0</v>
      </c>
      <c r="J21" s="286">
        <f t="shared" si="1"/>
        <v>0</v>
      </c>
      <c r="K21" s="286">
        <f>G21-J21</f>
        <v>356</v>
      </c>
      <c r="L21" s="169">
        <f>J21/E21%</f>
        <v>0</v>
      </c>
      <c r="M21" s="173"/>
      <c r="N21" s="414">
        <v>0</v>
      </c>
      <c r="O21" s="287">
        <v>0</v>
      </c>
      <c r="P21" s="287">
        <v>0</v>
      </c>
      <c r="Q21" s="285">
        <v>0</v>
      </c>
      <c r="R21" s="285">
        <v>0</v>
      </c>
      <c r="S21" s="287">
        <v>0</v>
      </c>
      <c r="T21" s="285">
        <v>0</v>
      </c>
      <c r="U21" s="289">
        <v>0</v>
      </c>
      <c r="V21" s="285">
        <v>0</v>
      </c>
      <c r="W21" s="285">
        <v>0</v>
      </c>
      <c r="X21" s="285"/>
      <c r="Y21" s="287">
        <v>0</v>
      </c>
      <c r="Z21" s="287">
        <v>0</v>
      </c>
      <c r="AA21" s="287">
        <v>0</v>
      </c>
      <c r="AB21" s="287">
        <v>0</v>
      </c>
      <c r="AC21" s="287">
        <v>0</v>
      </c>
      <c r="AD21" s="287">
        <v>0</v>
      </c>
      <c r="AE21" s="287">
        <v>0</v>
      </c>
      <c r="AF21" s="287">
        <v>0</v>
      </c>
      <c r="AG21" s="287">
        <v>0</v>
      </c>
      <c r="AH21" s="287"/>
      <c r="AI21" s="287"/>
      <c r="AJ21" s="287"/>
      <c r="AK21" s="287"/>
      <c r="AL21" s="287"/>
      <c r="AM21" s="287"/>
      <c r="AN21" s="287"/>
      <c r="AO21" s="287"/>
      <c r="AP21" s="287"/>
      <c r="AQ21" s="286"/>
      <c r="AR21" s="287"/>
      <c r="AS21" s="171"/>
      <c r="AT21" s="172">
        <f t="shared" si="3"/>
        <v>0</v>
      </c>
    </row>
    <row r="22" spans="1:46" s="168" customFormat="1" x14ac:dyDescent="0.35">
      <c r="A22" s="414">
        <v>8</v>
      </c>
      <c r="B22" s="862"/>
      <c r="C22" s="465" t="s">
        <v>470</v>
      </c>
      <c r="D22" s="419">
        <v>600</v>
      </c>
      <c r="E22" s="287">
        <v>643</v>
      </c>
      <c r="F22" s="286">
        <v>643</v>
      </c>
      <c r="G22" s="286">
        <v>643.35</v>
      </c>
      <c r="H22" s="286">
        <f t="shared" si="0"/>
        <v>-0.35000000000002274</v>
      </c>
      <c r="I22" s="286">
        <v>253.10000000000002</v>
      </c>
      <c r="J22" s="556">
        <f t="shared" si="1"/>
        <v>266.8</v>
      </c>
      <c r="K22" s="286">
        <f t="shared" si="2"/>
        <v>376.55</v>
      </c>
      <c r="L22" s="169">
        <f>J22/G22%</f>
        <v>41.470428227248</v>
      </c>
      <c r="M22" s="173"/>
      <c r="N22" s="414">
        <v>88</v>
      </c>
      <c r="O22" s="287">
        <v>0</v>
      </c>
      <c r="P22" s="287">
        <v>0</v>
      </c>
      <c r="Q22" s="285">
        <v>0</v>
      </c>
      <c r="R22" s="285">
        <v>0</v>
      </c>
      <c r="S22" s="287">
        <v>1</v>
      </c>
      <c r="T22" s="285">
        <v>1</v>
      </c>
      <c r="U22" s="289">
        <v>0</v>
      </c>
      <c r="V22" s="285">
        <v>4</v>
      </c>
      <c r="W22" s="285">
        <v>1</v>
      </c>
      <c r="X22" s="287">
        <v>2</v>
      </c>
      <c r="Y22" s="287">
        <v>0</v>
      </c>
      <c r="Z22" s="287">
        <v>0</v>
      </c>
      <c r="AA22" s="287">
        <v>0</v>
      </c>
      <c r="AB22" s="287">
        <v>0</v>
      </c>
      <c r="AC22" s="287">
        <v>2.2000000000000002</v>
      </c>
      <c r="AD22" s="287">
        <v>0</v>
      </c>
      <c r="AE22" s="287">
        <v>0</v>
      </c>
      <c r="AF22" s="287">
        <v>0</v>
      </c>
      <c r="AG22" s="287">
        <v>2.5</v>
      </c>
      <c r="AH22" s="287"/>
      <c r="AI22" s="287"/>
      <c r="AJ22" s="287"/>
      <c r="AK22" s="287"/>
      <c r="AL22" s="287"/>
      <c r="AM22" s="287"/>
      <c r="AN22" s="287"/>
      <c r="AO22" s="287"/>
      <c r="AP22" s="287"/>
      <c r="AQ22" s="286"/>
      <c r="AR22" s="287"/>
      <c r="AS22" s="171"/>
      <c r="AT22" s="169">
        <f t="shared" si="3"/>
        <v>13.7</v>
      </c>
    </row>
    <row r="23" spans="1:46" s="168" customFormat="1" x14ac:dyDescent="0.35">
      <c r="A23" s="414">
        <v>9</v>
      </c>
      <c r="B23" s="862"/>
      <c r="C23" s="465" t="s">
        <v>471</v>
      </c>
      <c r="D23" s="419">
        <v>400</v>
      </c>
      <c r="E23" s="286">
        <v>152.13999999999999</v>
      </c>
      <c r="F23" s="286">
        <v>152.13999999999999</v>
      </c>
      <c r="G23" s="286">
        <v>152.13999999999999</v>
      </c>
      <c r="H23" s="286">
        <f t="shared" si="0"/>
        <v>0</v>
      </c>
      <c r="I23" s="286">
        <v>0</v>
      </c>
      <c r="J23" s="286">
        <f t="shared" si="1"/>
        <v>0</v>
      </c>
      <c r="K23" s="286">
        <f t="shared" si="2"/>
        <v>152.13999999999999</v>
      </c>
      <c r="L23" s="169">
        <f>J23/G23%</f>
        <v>0</v>
      </c>
      <c r="M23" s="173"/>
      <c r="N23" s="414">
        <v>0</v>
      </c>
      <c r="O23" s="287">
        <v>0</v>
      </c>
      <c r="P23" s="287">
        <v>0</v>
      </c>
      <c r="Q23" s="285">
        <v>0</v>
      </c>
      <c r="R23" s="285">
        <v>0</v>
      </c>
      <c r="S23" s="287">
        <v>0</v>
      </c>
      <c r="T23" s="285">
        <v>0</v>
      </c>
      <c r="U23" s="289">
        <v>0</v>
      </c>
      <c r="V23" s="285">
        <v>0</v>
      </c>
      <c r="W23" s="285">
        <v>0</v>
      </c>
      <c r="X23" s="285"/>
      <c r="Y23" s="287">
        <v>0</v>
      </c>
      <c r="Z23" s="287">
        <v>0</v>
      </c>
      <c r="AA23" s="287">
        <v>0</v>
      </c>
      <c r="AB23" s="287">
        <v>0</v>
      </c>
      <c r="AC23" s="287">
        <v>0</v>
      </c>
      <c r="AD23" s="287">
        <v>0</v>
      </c>
      <c r="AE23" s="287">
        <v>0</v>
      </c>
      <c r="AF23" s="287">
        <v>0</v>
      </c>
      <c r="AG23" s="287">
        <v>0</v>
      </c>
      <c r="AH23" s="287"/>
      <c r="AI23" s="287"/>
      <c r="AJ23" s="287"/>
      <c r="AK23" s="287"/>
      <c r="AL23" s="287"/>
      <c r="AM23" s="287"/>
      <c r="AN23" s="287"/>
      <c r="AO23" s="287"/>
      <c r="AP23" s="287"/>
      <c r="AQ23" s="286"/>
      <c r="AR23" s="287"/>
      <c r="AS23" s="171"/>
      <c r="AT23" s="172">
        <f t="shared" si="3"/>
        <v>0</v>
      </c>
    </row>
    <row r="24" spans="1:46" s="168" customFormat="1" x14ac:dyDescent="0.35">
      <c r="A24" s="414">
        <v>11</v>
      </c>
      <c r="B24" s="862"/>
      <c r="C24" s="465" t="s">
        <v>472</v>
      </c>
      <c r="D24" s="419">
        <v>100</v>
      </c>
      <c r="E24" s="287">
        <v>396</v>
      </c>
      <c r="F24" s="286">
        <v>396</v>
      </c>
      <c r="G24" s="286">
        <v>396.1</v>
      </c>
      <c r="H24" s="286">
        <f t="shared" si="0"/>
        <v>-0.10000000000002274</v>
      </c>
      <c r="I24" s="286">
        <v>0</v>
      </c>
      <c r="J24" s="286">
        <f t="shared" si="1"/>
        <v>0</v>
      </c>
      <c r="K24" s="286">
        <f t="shared" si="2"/>
        <v>396.1</v>
      </c>
      <c r="L24" s="169">
        <v>0</v>
      </c>
      <c r="M24" s="173"/>
      <c r="N24" s="414">
        <v>0</v>
      </c>
      <c r="O24" s="287">
        <v>0</v>
      </c>
      <c r="P24" s="287">
        <v>0</v>
      </c>
      <c r="Q24" s="285">
        <v>0</v>
      </c>
      <c r="R24" s="285">
        <v>0</v>
      </c>
      <c r="S24" s="287">
        <v>0</v>
      </c>
      <c r="T24" s="285">
        <v>0</v>
      </c>
      <c r="U24" s="289">
        <v>0</v>
      </c>
      <c r="V24" s="285">
        <v>0</v>
      </c>
      <c r="W24" s="285">
        <v>0</v>
      </c>
      <c r="X24" s="285"/>
      <c r="Y24" s="287">
        <v>0</v>
      </c>
      <c r="Z24" s="287">
        <v>0</v>
      </c>
      <c r="AA24" s="287">
        <v>0</v>
      </c>
      <c r="AB24" s="287">
        <v>0</v>
      </c>
      <c r="AC24" s="287">
        <v>0</v>
      </c>
      <c r="AD24" s="287">
        <v>0</v>
      </c>
      <c r="AE24" s="287">
        <v>0</v>
      </c>
      <c r="AF24" s="287">
        <v>0</v>
      </c>
      <c r="AG24" s="287">
        <v>0</v>
      </c>
      <c r="AH24" s="287"/>
      <c r="AI24" s="287"/>
      <c r="AJ24" s="287"/>
      <c r="AK24" s="287"/>
      <c r="AL24" s="287"/>
      <c r="AM24" s="287"/>
      <c r="AN24" s="287"/>
      <c r="AO24" s="287"/>
      <c r="AP24" s="287"/>
      <c r="AQ24" s="286"/>
      <c r="AR24" s="287"/>
      <c r="AS24" s="171"/>
      <c r="AT24" s="172">
        <f t="shared" si="3"/>
        <v>0</v>
      </c>
    </row>
    <row r="25" spans="1:46" s="168" customFormat="1" x14ac:dyDescent="0.35">
      <c r="A25" s="414">
        <v>12</v>
      </c>
      <c r="B25" s="862"/>
      <c r="C25" s="470" t="s">
        <v>526</v>
      </c>
      <c r="D25" s="419">
        <v>250</v>
      </c>
      <c r="E25" s="621">
        <f>80+178.361</f>
        <v>258.36099999999999</v>
      </c>
      <c r="F25" s="621">
        <f>80+178.361</f>
        <v>258.36099999999999</v>
      </c>
      <c r="G25" s="621">
        <f>80+178.361</f>
        <v>258.36099999999999</v>
      </c>
      <c r="H25" s="286">
        <f t="shared" si="0"/>
        <v>0</v>
      </c>
      <c r="I25" s="286">
        <v>0</v>
      </c>
      <c r="J25" s="286">
        <f t="shared" si="1"/>
        <v>0</v>
      </c>
      <c r="K25" s="286">
        <f t="shared" si="2"/>
        <v>258.36099999999999</v>
      </c>
      <c r="L25" s="169">
        <v>0</v>
      </c>
      <c r="M25" s="173"/>
      <c r="N25" s="414">
        <v>0</v>
      </c>
      <c r="O25" s="287">
        <v>0</v>
      </c>
      <c r="P25" s="287">
        <v>0</v>
      </c>
      <c r="Q25" s="285">
        <v>0</v>
      </c>
      <c r="R25" s="285">
        <v>0</v>
      </c>
      <c r="S25" s="287">
        <v>0</v>
      </c>
      <c r="T25" s="285">
        <v>0</v>
      </c>
      <c r="U25" s="289">
        <v>0</v>
      </c>
      <c r="V25" s="285">
        <v>0</v>
      </c>
      <c r="W25" s="285">
        <v>0</v>
      </c>
      <c r="X25" s="285"/>
      <c r="Y25" s="287">
        <v>0</v>
      </c>
      <c r="Z25" s="287">
        <v>0</v>
      </c>
      <c r="AA25" s="287">
        <v>0</v>
      </c>
      <c r="AB25" s="287">
        <v>0</v>
      </c>
      <c r="AC25" s="287">
        <v>0</v>
      </c>
      <c r="AD25" s="287">
        <v>0</v>
      </c>
      <c r="AE25" s="287">
        <v>0</v>
      </c>
      <c r="AF25" s="287">
        <v>0</v>
      </c>
      <c r="AG25" s="287">
        <v>0</v>
      </c>
      <c r="AH25" s="287"/>
      <c r="AI25" s="287"/>
      <c r="AJ25" s="287"/>
      <c r="AK25" s="287"/>
      <c r="AL25" s="287"/>
      <c r="AM25" s="287"/>
      <c r="AN25" s="287"/>
      <c r="AO25" s="287"/>
      <c r="AP25" s="287"/>
      <c r="AQ25" s="286"/>
      <c r="AR25" s="287"/>
      <c r="AS25" s="171"/>
      <c r="AT25" s="172">
        <f t="shared" si="3"/>
        <v>0</v>
      </c>
    </row>
    <row r="26" spans="1:46" s="168" customFormat="1" x14ac:dyDescent="0.35">
      <c r="A26" s="414">
        <v>14</v>
      </c>
      <c r="B26" s="862"/>
      <c r="C26" s="465" t="s">
        <v>474</v>
      </c>
      <c r="D26" s="419">
        <v>1000</v>
      </c>
      <c r="E26" s="287">
        <v>721</v>
      </c>
      <c r="F26" s="286">
        <v>721</v>
      </c>
      <c r="G26" s="286">
        <v>721</v>
      </c>
      <c r="H26" s="286">
        <f t="shared" si="0"/>
        <v>0</v>
      </c>
      <c r="I26" s="286">
        <v>0</v>
      </c>
      <c r="J26" s="286">
        <f t="shared" si="1"/>
        <v>0</v>
      </c>
      <c r="K26" s="286">
        <f>E26-J26</f>
        <v>721</v>
      </c>
      <c r="L26" s="286">
        <f>J26/E26%</f>
        <v>0</v>
      </c>
      <c r="M26" s="173"/>
      <c r="N26" s="414">
        <v>0</v>
      </c>
      <c r="O26" s="287">
        <v>0</v>
      </c>
      <c r="P26" s="287">
        <v>0</v>
      </c>
      <c r="Q26" s="285">
        <v>0</v>
      </c>
      <c r="R26" s="285">
        <v>0</v>
      </c>
      <c r="S26" s="287">
        <v>0</v>
      </c>
      <c r="T26" s="285">
        <v>0</v>
      </c>
      <c r="U26" s="289">
        <v>0</v>
      </c>
      <c r="V26" s="285">
        <v>0</v>
      </c>
      <c r="W26" s="285">
        <v>0</v>
      </c>
      <c r="X26" s="285"/>
      <c r="Y26" s="287">
        <v>0</v>
      </c>
      <c r="Z26" s="287">
        <v>0</v>
      </c>
      <c r="AA26" s="287">
        <v>0</v>
      </c>
      <c r="AB26" s="287">
        <v>0</v>
      </c>
      <c r="AC26" s="287">
        <v>0</v>
      </c>
      <c r="AD26" s="287">
        <v>0</v>
      </c>
      <c r="AE26" s="287">
        <v>0</v>
      </c>
      <c r="AF26" s="287">
        <v>0</v>
      </c>
      <c r="AG26" s="287">
        <v>0</v>
      </c>
      <c r="AH26" s="287"/>
      <c r="AI26" s="287"/>
      <c r="AJ26" s="287"/>
      <c r="AK26" s="287"/>
      <c r="AL26" s="287"/>
      <c r="AM26" s="287"/>
      <c r="AN26" s="287"/>
      <c r="AO26" s="287"/>
      <c r="AP26" s="287"/>
      <c r="AQ26" s="286"/>
      <c r="AR26" s="287"/>
      <c r="AS26" s="171"/>
      <c r="AT26" s="172">
        <f>SUM(O26:AS26)</f>
        <v>0</v>
      </c>
    </row>
    <row r="27" spans="1:46" s="168" customFormat="1" x14ac:dyDescent="0.35">
      <c r="A27" s="414">
        <v>16</v>
      </c>
      <c r="B27" s="862"/>
      <c r="C27" s="465" t="s">
        <v>475</v>
      </c>
      <c r="D27" s="419">
        <v>500</v>
      </c>
      <c r="E27" s="621">
        <f>267.4+42</f>
        <v>309.39999999999998</v>
      </c>
      <c r="F27" s="621">
        <f>267.4+42</f>
        <v>309.39999999999998</v>
      </c>
      <c r="G27" s="621">
        <f>267.4+42</f>
        <v>309.39999999999998</v>
      </c>
      <c r="H27" s="286">
        <f t="shared" si="0"/>
        <v>0</v>
      </c>
      <c r="I27" s="286">
        <v>0</v>
      </c>
      <c r="J27" s="286">
        <f t="shared" si="1"/>
        <v>0</v>
      </c>
      <c r="K27" s="286">
        <f>E27-J27</f>
        <v>309.39999999999998</v>
      </c>
      <c r="L27" s="169">
        <f>J27/E27%</f>
        <v>0</v>
      </c>
      <c r="M27" s="173"/>
      <c r="N27" s="414">
        <v>0</v>
      </c>
      <c r="O27" s="287">
        <v>0</v>
      </c>
      <c r="P27" s="287">
        <v>0</v>
      </c>
      <c r="Q27" s="285">
        <v>0</v>
      </c>
      <c r="R27" s="285">
        <v>0</v>
      </c>
      <c r="S27" s="287">
        <v>0</v>
      </c>
      <c r="T27" s="285">
        <v>0</v>
      </c>
      <c r="U27" s="289">
        <v>0</v>
      </c>
      <c r="V27" s="285">
        <v>0</v>
      </c>
      <c r="W27" s="285">
        <v>0</v>
      </c>
      <c r="X27" s="285"/>
      <c r="Y27" s="287">
        <v>0</v>
      </c>
      <c r="Z27" s="287">
        <v>0</v>
      </c>
      <c r="AA27" s="287">
        <v>0</v>
      </c>
      <c r="AB27" s="287">
        <v>0</v>
      </c>
      <c r="AC27" s="287">
        <v>0</v>
      </c>
      <c r="AD27" s="287">
        <v>0</v>
      </c>
      <c r="AE27" s="287">
        <v>0</v>
      </c>
      <c r="AF27" s="287">
        <v>0</v>
      </c>
      <c r="AG27" s="287">
        <v>0</v>
      </c>
      <c r="AH27" s="287"/>
      <c r="AI27" s="287"/>
      <c r="AJ27" s="287"/>
      <c r="AK27" s="287"/>
      <c r="AL27" s="287"/>
      <c r="AM27" s="287"/>
      <c r="AN27" s="287"/>
      <c r="AO27" s="287"/>
      <c r="AP27" s="287"/>
      <c r="AQ27" s="286"/>
      <c r="AR27" s="287"/>
      <c r="AS27" s="171"/>
      <c r="AT27" s="172">
        <f t="shared" si="3"/>
        <v>0</v>
      </c>
    </row>
    <row r="28" spans="1:46" s="168" customFormat="1" x14ac:dyDescent="0.35">
      <c r="A28" s="339">
        <v>17</v>
      </c>
      <c r="B28" s="862"/>
      <c r="C28" s="465" t="s">
        <v>476</v>
      </c>
      <c r="D28" s="419">
        <v>0</v>
      </c>
      <c r="E28" s="287">
        <v>125</v>
      </c>
      <c r="F28" s="286">
        <v>0</v>
      </c>
      <c r="G28" s="286">
        <v>0</v>
      </c>
      <c r="H28" s="286">
        <f t="shared" si="0"/>
        <v>125</v>
      </c>
      <c r="I28" s="288">
        <v>0</v>
      </c>
      <c r="J28" s="286">
        <f t="shared" si="1"/>
        <v>0</v>
      </c>
      <c r="K28" s="286">
        <f>E28-J28</f>
        <v>125</v>
      </c>
      <c r="L28" s="169">
        <f>J28/E28%</f>
        <v>0</v>
      </c>
      <c r="M28" s="173"/>
      <c r="N28" s="414">
        <v>0</v>
      </c>
      <c r="O28" s="287">
        <v>0</v>
      </c>
      <c r="P28" s="287">
        <v>0</v>
      </c>
      <c r="Q28" s="285">
        <v>0</v>
      </c>
      <c r="R28" s="285">
        <v>0</v>
      </c>
      <c r="S28" s="287">
        <v>0</v>
      </c>
      <c r="T28" s="285">
        <v>0</v>
      </c>
      <c r="U28" s="289">
        <v>0</v>
      </c>
      <c r="V28" s="285">
        <v>0</v>
      </c>
      <c r="W28" s="285">
        <v>0</v>
      </c>
      <c r="X28" s="285"/>
      <c r="Y28" s="287">
        <v>0</v>
      </c>
      <c r="Z28" s="287">
        <v>0</v>
      </c>
      <c r="AA28" s="287">
        <v>0</v>
      </c>
      <c r="AB28" s="287">
        <v>0</v>
      </c>
      <c r="AC28" s="287">
        <v>0</v>
      </c>
      <c r="AD28" s="287">
        <v>0</v>
      </c>
      <c r="AE28" s="287">
        <v>0</v>
      </c>
      <c r="AF28" s="287">
        <v>0</v>
      </c>
      <c r="AG28" s="287">
        <v>0</v>
      </c>
      <c r="AH28" s="287"/>
      <c r="AI28" s="287"/>
      <c r="AJ28" s="287"/>
      <c r="AK28" s="287"/>
      <c r="AL28" s="287"/>
      <c r="AM28" s="287"/>
      <c r="AN28" s="287"/>
      <c r="AO28" s="287"/>
      <c r="AP28" s="287"/>
      <c r="AQ28" s="286"/>
      <c r="AR28" s="287"/>
      <c r="AS28" s="171"/>
      <c r="AT28" s="201">
        <f>SUM(O28:AS28)</f>
        <v>0</v>
      </c>
    </row>
    <row r="29" spans="1:46" s="168" customFormat="1" x14ac:dyDescent="0.35">
      <c r="A29" s="414">
        <v>18</v>
      </c>
      <c r="B29" s="862"/>
      <c r="C29" s="466" t="s">
        <v>477</v>
      </c>
      <c r="D29" s="418">
        <v>0</v>
      </c>
      <c r="E29" s="690">
        <v>34</v>
      </c>
      <c r="F29" s="245">
        <v>34</v>
      </c>
      <c r="G29" s="286">
        <v>34</v>
      </c>
      <c r="H29" s="286">
        <f t="shared" si="0"/>
        <v>0</v>
      </c>
      <c r="I29" s="245">
        <v>0</v>
      </c>
      <c r="J29" s="286">
        <f t="shared" si="1"/>
        <v>0</v>
      </c>
      <c r="K29" s="286">
        <f>E29-J29</f>
        <v>34</v>
      </c>
      <c r="L29" s="200">
        <f>J29/E29%</f>
        <v>0</v>
      </c>
      <c r="M29" s="231"/>
      <c r="N29" s="414">
        <v>0</v>
      </c>
      <c r="O29" s="287">
        <v>0</v>
      </c>
      <c r="P29" s="287">
        <v>0</v>
      </c>
      <c r="Q29" s="285">
        <v>0</v>
      </c>
      <c r="R29" s="285">
        <v>0</v>
      </c>
      <c r="S29" s="287">
        <v>0</v>
      </c>
      <c r="T29" s="285">
        <v>0</v>
      </c>
      <c r="U29" s="289">
        <v>0</v>
      </c>
      <c r="V29" s="285">
        <v>0</v>
      </c>
      <c r="W29" s="285">
        <v>0</v>
      </c>
      <c r="X29" s="285"/>
      <c r="Y29" s="287">
        <v>0</v>
      </c>
      <c r="Z29" s="287">
        <v>0</v>
      </c>
      <c r="AA29" s="287">
        <v>0</v>
      </c>
      <c r="AB29" s="287">
        <v>0</v>
      </c>
      <c r="AC29" s="287">
        <v>0</v>
      </c>
      <c r="AD29" s="287">
        <v>0</v>
      </c>
      <c r="AE29" s="287">
        <v>0</v>
      </c>
      <c r="AF29" s="287">
        <v>0</v>
      </c>
      <c r="AG29" s="287">
        <v>0</v>
      </c>
      <c r="AH29" s="287"/>
      <c r="AI29" s="287"/>
      <c r="AJ29" s="287"/>
      <c r="AK29" s="287"/>
      <c r="AL29" s="287"/>
      <c r="AM29" s="287"/>
      <c r="AN29" s="287"/>
      <c r="AO29" s="287"/>
      <c r="AP29" s="287"/>
      <c r="AQ29" s="286"/>
      <c r="AR29" s="287"/>
      <c r="AS29" s="171"/>
      <c r="AT29" s="232">
        <f>SUM(O29:AS29)</f>
        <v>0</v>
      </c>
    </row>
    <row r="30" spans="1:46" s="168" customFormat="1" ht="16" thickBot="1" x14ac:dyDescent="0.4">
      <c r="A30" s="692">
        <v>19</v>
      </c>
      <c r="B30" s="862"/>
      <c r="C30" s="466" t="s">
        <v>316</v>
      </c>
      <c r="D30" s="691">
        <v>180</v>
      </c>
      <c r="E30" s="690">
        <v>180</v>
      </c>
      <c r="F30" s="245">
        <v>180</v>
      </c>
      <c r="G30" s="286">
        <v>180</v>
      </c>
      <c r="H30" s="286">
        <f t="shared" si="0"/>
        <v>0</v>
      </c>
      <c r="I30" s="697">
        <v>0</v>
      </c>
      <c r="J30" s="286">
        <f t="shared" si="1"/>
        <v>0</v>
      </c>
      <c r="K30" s="288">
        <f t="shared" ref="K30" si="4">E30-J30</f>
        <v>180</v>
      </c>
      <c r="L30" s="286">
        <f t="shared" ref="L30" si="5">J30/E30*100</f>
        <v>0</v>
      </c>
      <c r="M30" s="231"/>
      <c r="N30" s="414">
        <v>0</v>
      </c>
      <c r="O30" s="287">
        <v>0</v>
      </c>
      <c r="P30" s="287">
        <v>0</v>
      </c>
      <c r="Q30" s="285">
        <v>0</v>
      </c>
      <c r="R30" s="285">
        <v>0</v>
      </c>
      <c r="S30" s="287">
        <v>0</v>
      </c>
      <c r="T30" s="285">
        <v>0</v>
      </c>
      <c r="U30" s="289">
        <v>0</v>
      </c>
      <c r="V30" s="285">
        <v>0</v>
      </c>
      <c r="W30" s="285">
        <v>0</v>
      </c>
      <c r="X30" s="695"/>
      <c r="Y30" s="287">
        <v>0</v>
      </c>
      <c r="Z30" s="287">
        <v>0</v>
      </c>
      <c r="AA30" s="287">
        <v>0</v>
      </c>
      <c r="AB30" s="287">
        <v>0</v>
      </c>
      <c r="AC30" s="287">
        <v>0</v>
      </c>
      <c r="AD30" s="287">
        <v>0</v>
      </c>
      <c r="AE30" s="287">
        <v>0</v>
      </c>
      <c r="AF30" s="287">
        <v>0</v>
      </c>
      <c r="AG30" s="287">
        <v>0</v>
      </c>
      <c r="AH30" s="695"/>
      <c r="AI30" s="695"/>
      <c r="AJ30" s="695"/>
      <c r="AK30" s="695"/>
      <c r="AL30" s="695"/>
      <c r="AM30" s="287"/>
      <c r="AN30" s="287"/>
      <c r="AO30" s="287"/>
      <c r="AP30" s="287"/>
      <c r="AQ30" s="286"/>
      <c r="AR30" s="287"/>
      <c r="AS30" s="171"/>
      <c r="AT30" s="182"/>
    </row>
    <row r="31" spans="1:46" s="168" customFormat="1" ht="16" thickBot="1" x14ac:dyDescent="0.4">
      <c r="A31" s="209"/>
      <c r="B31" s="863"/>
      <c r="C31" s="210" t="s">
        <v>225</v>
      </c>
      <c r="D31" s="420">
        <f>SUM(D4:D30)</f>
        <v>22880</v>
      </c>
      <c r="E31" s="211">
        <f>SUM(E3:E30)</f>
        <v>31531.451000000001</v>
      </c>
      <c r="F31" s="211">
        <f>SUM(F3:F30)</f>
        <v>30482.451000000001</v>
      </c>
      <c r="G31" s="211">
        <f>SUM(G3:G30)</f>
        <v>29639.950999999997</v>
      </c>
      <c r="H31" s="247">
        <f>E31-G31</f>
        <v>1891.5000000000036</v>
      </c>
      <c r="I31" s="211">
        <f>SUM(I4:I30)</f>
        <v>5531.6</v>
      </c>
      <c r="J31" s="211">
        <f>SUM(J3:J30)</f>
        <v>5958.2</v>
      </c>
      <c r="K31" s="211">
        <f>E31-J31</f>
        <v>25573.251</v>
      </c>
      <c r="L31" s="233">
        <f>J31/E31%</f>
        <v>18.896053974807565</v>
      </c>
      <c r="M31" s="212"/>
      <c r="N31" s="97">
        <f t="shared" ref="N31:AB31" si="6">SUM(N4:N29)</f>
        <v>1319</v>
      </c>
      <c r="O31" s="97">
        <f>SUM(O4:O30)</f>
        <v>0</v>
      </c>
      <c r="P31" s="97">
        <f t="shared" ref="P31:X31" si="7">SUM(P4:P30)</f>
        <v>4</v>
      </c>
      <c r="Q31" s="97">
        <f t="shared" si="7"/>
        <v>0</v>
      </c>
      <c r="R31" s="97">
        <f t="shared" si="7"/>
        <v>50</v>
      </c>
      <c r="S31" s="97">
        <f t="shared" si="7"/>
        <v>16</v>
      </c>
      <c r="T31" s="97">
        <f t="shared" si="7"/>
        <v>7</v>
      </c>
      <c r="U31" s="97">
        <f t="shared" si="7"/>
        <v>4</v>
      </c>
      <c r="V31" s="97">
        <f t="shared" si="7"/>
        <v>60.1</v>
      </c>
      <c r="W31" s="97">
        <f t="shared" si="7"/>
        <v>8</v>
      </c>
      <c r="X31" s="97">
        <f t="shared" si="7"/>
        <v>66</v>
      </c>
      <c r="Y31" s="97">
        <f>SUM(Y5:Y29)</f>
        <v>0</v>
      </c>
      <c r="Z31" s="698">
        <f>SUM(Z5:Z29)</f>
        <v>11</v>
      </c>
      <c r="AA31" s="97">
        <f t="shared" si="6"/>
        <v>16</v>
      </c>
      <c r="AB31" s="97">
        <f t="shared" si="6"/>
        <v>16</v>
      </c>
      <c r="AC31" s="744">
        <f>SUM(AC5:AC29)</f>
        <v>24.400000000000002</v>
      </c>
      <c r="AD31" s="257">
        <f t="shared" ref="AD31:AT31" si="8">SUM(AD4:AD29)</f>
        <v>102</v>
      </c>
      <c r="AE31" s="97">
        <f t="shared" si="8"/>
        <v>0</v>
      </c>
      <c r="AF31" s="97">
        <f t="shared" si="8"/>
        <v>16</v>
      </c>
      <c r="AG31" s="97">
        <f t="shared" si="8"/>
        <v>26.1</v>
      </c>
      <c r="AH31" s="97">
        <f t="shared" si="8"/>
        <v>0</v>
      </c>
      <c r="AI31" s="97">
        <f t="shared" si="8"/>
        <v>0</v>
      </c>
      <c r="AJ31" s="97">
        <f t="shared" si="8"/>
        <v>0</v>
      </c>
      <c r="AK31" s="97">
        <f t="shared" si="8"/>
        <v>0</v>
      </c>
      <c r="AL31" s="97">
        <f t="shared" si="8"/>
        <v>0</v>
      </c>
      <c r="AM31" s="97">
        <f t="shared" si="8"/>
        <v>0</v>
      </c>
      <c r="AN31" s="97">
        <f t="shared" si="8"/>
        <v>0</v>
      </c>
      <c r="AO31" s="97">
        <f t="shared" si="8"/>
        <v>0</v>
      </c>
      <c r="AP31" s="97">
        <f t="shared" si="8"/>
        <v>0</v>
      </c>
      <c r="AQ31" s="257">
        <f t="shared" si="8"/>
        <v>0</v>
      </c>
      <c r="AR31" s="97">
        <f t="shared" si="8"/>
        <v>0</v>
      </c>
      <c r="AS31" s="97">
        <f t="shared" si="8"/>
        <v>0</v>
      </c>
      <c r="AT31" s="97">
        <f t="shared" si="8"/>
        <v>426.6</v>
      </c>
    </row>
    <row r="32" spans="1:46" s="197" customFormat="1" ht="8.15" customHeight="1" x14ac:dyDescent="0.35">
      <c r="A32" s="202"/>
      <c r="B32" s="227"/>
      <c r="C32" s="203"/>
      <c r="D32" s="203"/>
      <c r="E32" s="191"/>
      <c r="F32" s="191"/>
      <c r="G32" s="191"/>
      <c r="H32" s="191"/>
      <c r="I32" s="191"/>
      <c r="J32" s="191"/>
      <c r="K32" s="191"/>
      <c r="L32" s="204"/>
      <c r="M32" s="205"/>
      <c r="N32" s="202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206"/>
      <c r="AR32" s="191"/>
      <c r="AS32" s="207"/>
      <c r="AT32" s="208"/>
    </row>
    <row r="33" spans="1:48" s="176" customFormat="1" ht="16" thickBot="1" x14ac:dyDescent="0.4">
      <c r="A33" s="213">
        <v>1</v>
      </c>
      <c r="B33" s="881" t="s">
        <v>125</v>
      </c>
      <c r="C33" s="214" t="s">
        <v>478</v>
      </c>
      <c r="D33" s="447">
        <v>3000</v>
      </c>
      <c r="E33" s="147">
        <v>4290</v>
      </c>
      <c r="F33" s="147">
        <v>3122</v>
      </c>
      <c r="G33" s="147">
        <v>3122</v>
      </c>
      <c r="H33" s="147">
        <f>E33-G33</f>
        <v>1168</v>
      </c>
      <c r="I33" s="215">
        <v>882</v>
      </c>
      <c r="J33" s="687">
        <f>I33+AT33</f>
        <v>939</v>
      </c>
      <c r="K33" s="215">
        <f>E33-J33</f>
        <v>3351</v>
      </c>
      <c r="L33" s="216">
        <f>J33/G33%</f>
        <v>30.076873798846893</v>
      </c>
      <c r="M33" s="217"/>
      <c r="N33" s="638">
        <v>86.67</v>
      </c>
      <c r="O33" s="215">
        <v>4</v>
      </c>
      <c r="P33" s="215">
        <v>4</v>
      </c>
      <c r="Q33" s="215">
        <v>0</v>
      </c>
      <c r="R33" s="215">
        <v>2</v>
      </c>
      <c r="S33" s="215">
        <v>3</v>
      </c>
      <c r="T33" s="215">
        <v>4</v>
      </c>
      <c r="U33" s="215">
        <v>3</v>
      </c>
      <c r="V33" s="215">
        <v>3</v>
      </c>
      <c r="W33" s="215">
        <v>3</v>
      </c>
      <c r="X33" s="215">
        <v>5</v>
      </c>
      <c r="Y33" s="215">
        <v>0</v>
      </c>
      <c r="Z33" s="215">
        <v>3</v>
      </c>
      <c r="AA33" s="215">
        <v>3</v>
      </c>
      <c r="AB33" s="215">
        <v>4</v>
      </c>
      <c r="AC33" s="215">
        <v>3</v>
      </c>
      <c r="AD33" s="215">
        <v>3</v>
      </c>
      <c r="AE33" s="215">
        <v>0</v>
      </c>
      <c r="AF33" s="215">
        <v>5</v>
      </c>
      <c r="AG33" s="215">
        <v>5</v>
      </c>
      <c r="AH33" s="215"/>
      <c r="AI33" s="215"/>
      <c r="AJ33" s="215"/>
      <c r="AK33" s="215"/>
      <c r="AL33" s="215"/>
      <c r="AM33" s="215"/>
      <c r="AN33" s="215"/>
      <c r="AO33" s="215"/>
      <c r="AP33" s="215"/>
      <c r="AQ33" s="218"/>
      <c r="AR33" s="215"/>
      <c r="AS33" s="219"/>
      <c r="AT33" s="220">
        <f>SUM(O33:AS33)</f>
        <v>57</v>
      </c>
    </row>
    <row r="34" spans="1:48" s="176" customFormat="1" ht="16" thickBot="1" x14ac:dyDescent="0.4">
      <c r="A34" s="221"/>
      <c r="B34" s="883"/>
      <c r="C34" s="222" t="s">
        <v>231</v>
      </c>
      <c r="D34" s="447">
        <f>D33</f>
        <v>3000</v>
      </c>
      <c r="E34" s="455">
        <f>SUM(E33)</f>
        <v>4290</v>
      </c>
      <c r="F34" s="455">
        <f>SUM(F33)</f>
        <v>3122</v>
      </c>
      <c r="G34" s="456">
        <f>SUM(G33)</f>
        <v>3122</v>
      </c>
      <c r="H34" s="457">
        <f>E34-G34</f>
        <v>1168</v>
      </c>
      <c r="I34" s="223">
        <f>I33</f>
        <v>882</v>
      </c>
      <c r="J34" s="223">
        <f>SUM(J33)</f>
        <v>939</v>
      </c>
      <c r="K34" s="223">
        <f>E34-J34</f>
        <v>3351</v>
      </c>
      <c r="L34" s="224">
        <f>J34/E34%</f>
        <v>21.88811188811189</v>
      </c>
      <c r="M34" s="225"/>
      <c r="N34" s="639">
        <f>N33</f>
        <v>86.67</v>
      </c>
      <c r="O34" s="226">
        <f t="shared" ref="O34:AS34" si="9">O33</f>
        <v>4</v>
      </c>
      <c r="P34" s="226">
        <f t="shared" si="9"/>
        <v>4</v>
      </c>
      <c r="Q34" s="226">
        <f t="shared" si="9"/>
        <v>0</v>
      </c>
      <c r="R34" s="226">
        <f t="shared" si="9"/>
        <v>2</v>
      </c>
      <c r="S34" s="226">
        <f t="shared" si="9"/>
        <v>3</v>
      </c>
      <c r="T34" s="226">
        <f t="shared" si="9"/>
        <v>4</v>
      </c>
      <c r="U34" s="226">
        <f t="shared" si="9"/>
        <v>3</v>
      </c>
      <c r="V34" s="226">
        <f t="shared" si="9"/>
        <v>3</v>
      </c>
      <c r="W34" s="226">
        <f t="shared" si="9"/>
        <v>3</v>
      </c>
      <c r="X34" s="226">
        <f t="shared" si="9"/>
        <v>5</v>
      </c>
      <c r="Y34" s="226">
        <f t="shared" si="9"/>
        <v>0</v>
      </c>
      <c r="Z34" s="226">
        <f t="shared" si="9"/>
        <v>3</v>
      </c>
      <c r="AA34" s="226">
        <f t="shared" si="9"/>
        <v>3</v>
      </c>
      <c r="AB34" s="226">
        <f t="shared" si="9"/>
        <v>4</v>
      </c>
      <c r="AC34" s="226">
        <f t="shared" si="9"/>
        <v>3</v>
      </c>
      <c r="AD34" s="226">
        <f t="shared" si="9"/>
        <v>3</v>
      </c>
      <c r="AE34" s="226">
        <f t="shared" si="9"/>
        <v>0</v>
      </c>
      <c r="AF34" s="226">
        <f t="shared" si="9"/>
        <v>5</v>
      </c>
      <c r="AG34" s="226">
        <f t="shared" si="9"/>
        <v>5</v>
      </c>
      <c r="AH34" s="226">
        <f t="shared" si="9"/>
        <v>0</v>
      </c>
      <c r="AI34" s="226">
        <f t="shared" si="9"/>
        <v>0</v>
      </c>
      <c r="AJ34" s="226">
        <f t="shared" si="9"/>
        <v>0</v>
      </c>
      <c r="AK34" s="226">
        <f t="shared" si="9"/>
        <v>0</v>
      </c>
      <c r="AL34" s="226">
        <f t="shared" si="9"/>
        <v>0</v>
      </c>
      <c r="AM34" s="226">
        <f t="shared" si="9"/>
        <v>0</v>
      </c>
      <c r="AN34" s="226">
        <f t="shared" si="9"/>
        <v>0</v>
      </c>
      <c r="AO34" s="226">
        <f t="shared" si="9"/>
        <v>0</v>
      </c>
      <c r="AP34" s="226">
        <f t="shared" si="9"/>
        <v>0</v>
      </c>
      <c r="AQ34" s="226">
        <f t="shared" si="9"/>
        <v>0</v>
      </c>
      <c r="AR34" s="226">
        <f t="shared" si="9"/>
        <v>0</v>
      </c>
      <c r="AS34" s="226">
        <f t="shared" si="9"/>
        <v>0</v>
      </c>
      <c r="AT34" s="226">
        <f>AT33</f>
        <v>57</v>
      </c>
    </row>
    <row r="35" spans="1:48" s="197" customFormat="1" ht="8.15" customHeight="1" x14ac:dyDescent="0.35">
      <c r="A35" s="202"/>
      <c r="B35" s="227"/>
      <c r="C35" s="203"/>
      <c r="D35" s="203"/>
      <c r="E35" s="191"/>
      <c r="F35" s="191"/>
      <c r="G35" s="191"/>
      <c r="H35" s="191"/>
      <c r="I35" s="191"/>
      <c r="J35" s="191"/>
      <c r="K35" s="191"/>
      <c r="L35" s="204"/>
      <c r="M35" s="205"/>
      <c r="N35" s="202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206"/>
      <c r="AR35" s="191"/>
      <c r="AS35" s="207"/>
      <c r="AT35" s="208"/>
    </row>
    <row r="36" spans="1:48" s="177" customFormat="1" x14ac:dyDescent="0.35">
      <c r="A36" s="425">
        <v>1</v>
      </c>
      <c r="B36" s="864" t="s">
        <v>126</v>
      </c>
      <c r="C36" s="426" t="s">
        <v>316</v>
      </c>
      <c r="D36" s="421">
        <v>800</v>
      </c>
      <c r="E36" s="427">
        <v>800</v>
      </c>
      <c r="F36" s="427">
        <f>94+219+94</f>
        <v>407</v>
      </c>
      <c r="G36" s="427">
        <f>94+219+94</f>
        <v>407</v>
      </c>
      <c r="H36" s="428">
        <f t="shared" ref="H36" si="10">E36-G36</f>
        <v>393</v>
      </c>
      <c r="I36" s="428">
        <v>0</v>
      </c>
      <c r="J36" s="427">
        <f>I36+AT36</f>
        <v>0</v>
      </c>
      <c r="K36" s="428">
        <f t="shared" ref="K36" si="11">E36-J36</f>
        <v>800</v>
      </c>
      <c r="L36" s="429">
        <f t="shared" ref="L36" si="12">J36/E36*100</f>
        <v>0</v>
      </c>
      <c r="M36" s="430"/>
      <c r="N36" s="425">
        <v>0</v>
      </c>
      <c r="O36" s="427">
        <v>0</v>
      </c>
      <c r="P36" s="427">
        <v>0</v>
      </c>
      <c r="Q36" s="427">
        <v>0</v>
      </c>
      <c r="R36" s="427">
        <v>0</v>
      </c>
      <c r="S36" s="427">
        <v>0</v>
      </c>
      <c r="T36" s="427">
        <v>0</v>
      </c>
      <c r="U36" s="427">
        <v>0</v>
      </c>
      <c r="V36" s="427">
        <v>0</v>
      </c>
      <c r="W36" s="427">
        <v>0</v>
      </c>
      <c r="X36" s="427">
        <v>0</v>
      </c>
      <c r="Y36" s="427">
        <v>0</v>
      </c>
      <c r="Z36" s="427">
        <v>0</v>
      </c>
      <c r="AA36" s="427">
        <v>0</v>
      </c>
      <c r="AB36" s="427">
        <v>0</v>
      </c>
      <c r="AC36" s="427">
        <v>0</v>
      </c>
      <c r="AD36" s="427">
        <v>0</v>
      </c>
      <c r="AE36" s="427">
        <v>0</v>
      </c>
      <c r="AF36" s="427">
        <v>0</v>
      </c>
      <c r="AG36" s="427">
        <v>0</v>
      </c>
      <c r="AH36" s="428"/>
      <c r="AI36" s="427"/>
      <c r="AJ36" s="427"/>
      <c r="AK36" s="427"/>
      <c r="AL36" s="427"/>
      <c r="AM36" s="427"/>
      <c r="AN36" s="427"/>
      <c r="AO36" s="427"/>
      <c r="AP36" s="427"/>
      <c r="AQ36" s="428"/>
      <c r="AR36" s="427"/>
      <c r="AS36" s="431"/>
      <c r="AT36" s="432">
        <f>SUM(O36:AS36)</f>
        <v>0</v>
      </c>
    </row>
    <row r="37" spans="1:48" s="177" customFormat="1" ht="31" x14ac:dyDescent="0.35">
      <c r="A37" s="425">
        <v>2</v>
      </c>
      <c r="B37" s="865"/>
      <c r="C37" s="426" t="s">
        <v>479</v>
      </c>
      <c r="D37" s="421">
        <v>750</v>
      </c>
      <c r="E37" s="427">
        <v>770</v>
      </c>
      <c r="F37" s="427">
        <v>770</v>
      </c>
      <c r="G37" s="427">
        <v>770</v>
      </c>
      <c r="H37" s="428">
        <f t="shared" ref="H37:H44" si="13">E37-G37</f>
        <v>0</v>
      </c>
      <c r="I37" s="428">
        <v>735.30000000000007</v>
      </c>
      <c r="J37" s="556">
        <f t="shared" si="1"/>
        <v>737.42000000000007</v>
      </c>
      <c r="K37" s="428">
        <f t="shared" si="2"/>
        <v>32.579999999999927</v>
      </c>
      <c r="L37" s="429">
        <f>J37/G37%</f>
        <v>95.76883116883117</v>
      </c>
      <c r="M37" s="430"/>
      <c r="N37" s="425">
        <v>40</v>
      </c>
      <c r="O37" s="427">
        <v>0</v>
      </c>
      <c r="P37" s="428">
        <v>0</v>
      </c>
      <c r="Q37" s="427">
        <v>0</v>
      </c>
      <c r="R37" s="427">
        <v>0</v>
      </c>
      <c r="S37" s="427">
        <v>0</v>
      </c>
      <c r="T37" s="427">
        <v>0</v>
      </c>
      <c r="U37" s="427">
        <v>0</v>
      </c>
      <c r="V37" s="427">
        <v>0</v>
      </c>
      <c r="W37" s="427">
        <v>0</v>
      </c>
      <c r="X37" s="427">
        <v>0</v>
      </c>
      <c r="Y37" s="427">
        <v>0</v>
      </c>
      <c r="Z37" s="427">
        <v>0</v>
      </c>
      <c r="AA37" s="427">
        <v>0</v>
      </c>
      <c r="AB37" s="427">
        <v>0</v>
      </c>
      <c r="AC37" s="427">
        <v>0</v>
      </c>
      <c r="AD37" s="427">
        <v>0</v>
      </c>
      <c r="AE37" s="427">
        <v>0</v>
      </c>
      <c r="AF37" s="427">
        <v>0</v>
      </c>
      <c r="AG37" s="427">
        <v>2.12</v>
      </c>
      <c r="AH37" s="428"/>
      <c r="AI37" s="427"/>
      <c r="AJ37" s="427"/>
      <c r="AK37" s="428"/>
      <c r="AL37" s="427"/>
      <c r="AM37" s="427"/>
      <c r="AN37" s="427"/>
      <c r="AO37" s="428"/>
      <c r="AP37" s="427"/>
      <c r="AQ37" s="428"/>
      <c r="AR37" s="428"/>
      <c r="AS37" s="431"/>
      <c r="AT37" s="432">
        <f t="shared" si="3"/>
        <v>2.12</v>
      </c>
      <c r="AU37" s="177">
        <f>361.66+373.19</f>
        <v>734.85</v>
      </c>
      <c r="AV37" s="722">
        <f>AU37-J37</f>
        <v>-2.57000000000005</v>
      </c>
    </row>
    <row r="38" spans="1:48" s="177" customFormat="1" ht="31" x14ac:dyDescent="0.35">
      <c r="A38" s="425">
        <v>4</v>
      </c>
      <c r="B38" s="865"/>
      <c r="C38" s="426" t="s">
        <v>480</v>
      </c>
      <c r="D38" s="421">
        <v>250</v>
      </c>
      <c r="E38" s="421">
        <v>252</v>
      </c>
      <c r="F38" s="421">
        <v>252</v>
      </c>
      <c r="G38" s="421">
        <v>252</v>
      </c>
      <c r="H38" s="428">
        <f t="shared" si="13"/>
        <v>0</v>
      </c>
      <c r="I38" s="428">
        <v>0</v>
      </c>
      <c r="J38" s="427">
        <f t="shared" si="1"/>
        <v>0</v>
      </c>
      <c r="K38" s="428">
        <f t="shared" si="2"/>
        <v>252</v>
      </c>
      <c r="L38" s="429">
        <v>0</v>
      </c>
      <c r="M38" s="430"/>
      <c r="N38" s="425">
        <v>0</v>
      </c>
      <c r="O38" s="427">
        <v>0</v>
      </c>
      <c r="P38" s="428">
        <v>0</v>
      </c>
      <c r="Q38" s="427">
        <v>0</v>
      </c>
      <c r="R38" s="427">
        <v>0</v>
      </c>
      <c r="S38" s="427">
        <v>0</v>
      </c>
      <c r="T38" s="427">
        <v>0</v>
      </c>
      <c r="U38" s="427">
        <v>0</v>
      </c>
      <c r="V38" s="427">
        <v>0</v>
      </c>
      <c r="W38" s="427">
        <v>0</v>
      </c>
      <c r="X38" s="427">
        <v>0</v>
      </c>
      <c r="Y38" s="427">
        <v>0</v>
      </c>
      <c r="Z38" s="427">
        <v>0</v>
      </c>
      <c r="AA38" s="427">
        <v>0</v>
      </c>
      <c r="AB38" s="427">
        <v>0</v>
      </c>
      <c r="AC38" s="427">
        <v>0</v>
      </c>
      <c r="AD38" s="427">
        <v>0</v>
      </c>
      <c r="AE38" s="427">
        <v>0</v>
      </c>
      <c r="AF38" s="427">
        <v>0</v>
      </c>
      <c r="AG38" s="427">
        <v>0</v>
      </c>
      <c r="AH38" s="428"/>
      <c r="AI38" s="427"/>
      <c r="AJ38" s="427"/>
      <c r="AK38" s="428"/>
      <c r="AL38" s="427"/>
      <c r="AM38" s="427"/>
      <c r="AN38" s="427"/>
      <c r="AO38" s="428"/>
      <c r="AP38" s="427"/>
      <c r="AQ38" s="428"/>
      <c r="AR38" s="427"/>
      <c r="AS38" s="431"/>
      <c r="AT38" s="432">
        <f t="shared" si="3"/>
        <v>0</v>
      </c>
    </row>
    <row r="39" spans="1:48" s="177" customFormat="1" x14ac:dyDescent="0.35">
      <c r="A39" s="425">
        <v>5</v>
      </c>
      <c r="B39" s="865"/>
      <c r="C39" s="426" t="s">
        <v>398</v>
      </c>
      <c r="D39" s="421">
        <v>2600</v>
      </c>
      <c r="E39" s="427">
        <v>1400</v>
      </c>
      <c r="F39" s="427">
        <v>1400</v>
      </c>
      <c r="G39" s="427">
        <v>1400</v>
      </c>
      <c r="H39" s="428">
        <f t="shared" si="13"/>
        <v>0</v>
      </c>
      <c r="I39" s="428">
        <v>0</v>
      </c>
      <c r="J39" s="427">
        <f t="shared" si="1"/>
        <v>12.12</v>
      </c>
      <c r="K39" s="428">
        <f t="shared" si="2"/>
        <v>1387.88</v>
      </c>
      <c r="L39" s="429">
        <v>0</v>
      </c>
      <c r="M39" s="430"/>
      <c r="N39" s="425">
        <v>250</v>
      </c>
      <c r="O39" s="427">
        <v>0</v>
      </c>
      <c r="P39" s="428">
        <v>0</v>
      </c>
      <c r="Q39" s="427">
        <v>0</v>
      </c>
      <c r="R39" s="427">
        <v>0</v>
      </c>
      <c r="S39" s="427">
        <v>0</v>
      </c>
      <c r="T39" s="427">
        <v>0</v>
      </c>
      <c r="U39" s="427">
        <v>0</v>
      </c>
      <c r="V39" s="427">
        <v>0</v>
      </c>
      <c r="W39" s="427">
        <v>0</v>
      </c>
      <c r="X39" s="427">
        <v>0</v>
      </c>
      <c r="Y39" s="427">
        <v>0</v>
      </c>
      <c r="Z39" s="427">
        <v>0</v>
      </c>
      <c r="AA39" s="427">
        <v>0</v>
      </c>
      <c r="AB39" s="427">
        <v>0</v>
      </c>
      <c r="AC39" s="427">
        <v>0</v>
      </c>
      <c r="AD39" s="427">
        <v>0</v>
      </c>
      <c r="AE39" s="427">
        <v>0</v>
      </c>
      <c r="AF39" s="427">
        <v>0</v>
      </c>
      <c r="AG39" s="427">
        <v>12.12</v>
      </c>
      <c r="AH39" s="428"/>
      <c r="AI39" s="427"/>
      <c r="AJ39" s="427"/>
      <c r="AK39" s="428"/>
      <c r="AL39" s="427"/>
      <c r="AM39" s="427"/>
      <c r="AN39" s="427"/>
      <c r="AO39" s="428"/>
      <c r="AP39" s="427"/>
      <c r="AQ39" s="428"/>
      <c r="AR39" s="427"/>
      <c r="AS39" s="431"/>
      <c r="AT39" s="432">
        <f t="shared" ref="AT39:AT43" si="14">SUM(O39:AS39)</f>
        <v>12.12</v>
      </c>
    </row>
    <row r="40" spans="1:48" s="177" customFormat="1" x14ac:dyDescent="0.35">
      <c r="A40" s="425">
        <v>6</v>
      </c>
      <c r="B40" s="865"/>
      <c r="C40" s="426" t="s">
        <v>481</v>
      </c>
      <c r="D40" s="421">
        <v>350</v>
      </c>
      <c r="E40" s="428">
        <v>115.26</v>
      </c>
      <c r="F40" s="428">
        <v>115.26</v>
      </c>
      <c r="G40" s="428">
        <v>115.26</v>
      </c>
      <c r="H40" s="428">
        <f t="shared" si="13"/>
        <v>0</v>
      </c>
      <c r="I40" s="428">
        <v>0</v>
      </c>
      <c r="J40" s="427">
        <f t="shared" si="1"/>
        <v>0</v>
      </c>
      <c r="K40" s="428">
        <f t="shared" si="2"/>
        <v>115.26</v>
      </c>
      <c r="L40" s="429">
        <v>0</v>
      </c>
      <c r="M40" s="430"/>
      <c r="N40" s="425">
        <v>0</v>
      </c>
      <c r="O40" s="427">
        <v>0</v>
      </c>
      <c r="P40" s="428">
        <v>0</v>
      </c>
      <c r="Q40" s="427">
        <v>0</v>
      </c>
      <c r="R40" s="427">
        <v>0</v>
      </c>
      <c r="S40" s="427">
        <v>0</v>
      </c>
      <c r="T40" s="427">
        <v>0</v>
      </c>
      <c r="U40" s="427">
        <v>0</v>
      </c>
      <c r="V40" s="427">
        <v>0</v>
      </c>
      <c r="W40" s="427">
        <v>0</v>
      </c>
      <c r="X40" s="427">
        <v>0</v>
      </c>
      <c r="Y40" s="427">
        <v>0</v>
      </c>
      <c r="Z40" s="427">
        <v>0</v>
      </c>
      <c r="AA40" s="427">
        <v>0</v>
      </c>
      <c r="AB40" s="427">
        <v>0</v>
      </c>
      <c r="AC40" s="427">
        <v>0</v>
      </c>
      <c r="AD40" s="427">
        <v>0</v>
      </c>
      <c r="AE40" s="427">
        <v>0</v>
      </c>
      <c r="AF40" s="427">
        <v>0</v>
      </c>
      <c r="AG40" s="427">
        <v>0</v>
      </c>
      <c r="AH40" s="428"/>
      <c r="AI40" s="427"/>
      <c r="AJ40" s="427"/>
      <c r="AK40" s="428"/>
      <c r="AL40" s="427"/>
      <c r="AM40" s="427"/>
      <c r="AN40" s="427"/>
      <c r="AO40" s="428"/>
      <c r="AP40" s="427"/>
      <c r="AQ40" s="428"/>
      <c r="AR40" s="427"/>
      <c r="AS40" s="431"/>
      <c r="AT40" s="432">
        <f t="shared" si="14"/>
        <v>0</v>
      </c>
    </row>
    <row r="41" spans="1:48" s="177" customFormat="1" x14ac:dyDescent="0.35">
      <c r="A41" s="425">
        <v>7</v>
      </c>
      <c r="B41" s="865"/>
      <c r="C41" s="426" t="s">
        <v>310</v>
      </c>
      <c r="D41" s="421">
        <v>500</v>
      </c>
      <c r="E41" s="427">
        <v>583</v>
      </c>
      <c r="F41" s="427">
        <v>583</v>
      </c>
      <c r="G41" s="427">
        <v>583</v>
      </c>
      <c r="H41" s="428">
        <f t="shared" si="13"/>
        <v>0</v>
      </c>
      <c r="I41" s="428">
        <v>145.04</v>
      </c>
      <c r="J41" s="427">
        <f t="shared" si="1"/>
        <v>362.96000000000004</v>
      </c>
      <c r="K41" s="428">
        <f t="shared" si="2"/>
        <v>220.03999999999996</v>
      </c>
      <c r="L41" s="429">
        <v>0</v>
      </c>
      <c r="M41" s="430"/>
      <c r="N41" s="425">
        <v>160</v>
      </c>
      <c r="O41" s="427">
        <v>12.23</v>
      </c>
      <c r="P41" s="428">
        <v>14.12</v>
      </c>
      <c r="Q41" s="427">
        <v>0</v>
      </c>
      <c r="R41" s="427">
        <v>24.27</v>
      </c>
      <c r="S41" s="427">
        <v>20.12</v>
      </c>
      <c r="T41" s="427">
        <v>10.17</v>
      </c>
      <c r="U41" s="427">
        <v>21.12</v>
      </c>
      <c r="V41" s="427">
        <v>14.15</v>
      </c>
      <c r="W41" s="737">
        <v>13.29</v>
      </c>
      <c r="X41" s="427">
        <v>7.67</v>
      </c>
      <c r="Y41" s="427">
        <v>0</v>
      </c>
      <c r="Z41" s="427">
        <v>14.4</v>
      </c>
      <c r="AA41" s="427">
        <v>12.54</v>
      </c>
      <c r="AB41" s="427">
        <v>13.85</v>
      </c>
      <c r="AC41" s="428">
        <v>12.59</v>
      </c>
      <c r="AD41" s="428">
        <v>14.07</v>
      </c>
      <c r="AE41" s="427">
        <v>0</v>
      </c>
      <c r="AF41" s="427">
        <v>0</v>
      </c>
      <c r="AG41" s="427">
        <f>6.16+7.17</f>
        <v>13.33</v>
      </c>
      <c r="AH41" s="428"/>
      <c r="AI41" s="427"/>
      <c r="AJ41" s="427"/>
      <c r="AK41" s="428"/>
      <c r="AL41" s="427"/>
      <c r="AM41" s="428"/>
      <c r="AN41" s="428"/>
      <c r="AO41" s="427"/>
      <c r="AP41" s="427"/>
      <c r="AQ41" s="428"/>
      <c r="AR41" s="427"/>
      <c r="AS41" s="431"/>
      <c r="AT41" s="432">
        <f t="shared" si="14"/>
        <v>217.92000000000002</v>
      </c>
      <c r="AU41" s="177">
        <v>145.07</v>
      </c>
    </row>
    <row r="42" spans="1:48" s="177" customFormat="1" x14ac:dyDescent="0.35">
      <c r="A42" s="425">
        <v>9</v>
      </c>
      <c r="B42" s="865"/>
      <c r="C42" s="426" t="s">
        <v>482</v>
      </c>
      <c r="D42" s="421">
        <v>1000</v>
      </c>
      <c r="E42" s="427">
        <f>89+1600+14</f>
        <v>1703</v>
      </c>
      <c r="F42" s="427">
        <f>89+14</f>
        <v>103</v>
      </c>
      <c r="G42" s="427">
        <f>89+14</f>
        <v>103</v>
      </c>
      <c r="H42" s="428">
        <f t="shared" si="13"/>
        <v>1600</v>
      </c>
      <c r="I42" s="428">
        <v>0</v>
      </c>
      <c r="J42" s="427">
        <f t="shared" si="1"/>
        <v>0</v>
      </c>
      <c r="K42" s="428">
        <f t="shared" si="2"/>
        <v>103</v>
      </c>
      <c r="L42" s="429">
        <v>0</v>
      </c>
      <c r="M42" s="430"/>
      <c r="N42" s="425">
        <v>0</v>
      </c>
      <c r="O42" s="427">
        <v>0</v>
      </c>
      <c r="P42" s="428">
        <v>0</v>
      </c>
      <c r="Q42" s="427">
        <v>0</v>
      </c>
      <c r="R42" s="427">
        <v>0</v>
      </c>
      <c r="S42" s="427">
        <v>0</v>
      </c>
      <c r="T42" s="427">
        <v>0</v>
      </c>
      <c r="U42" s="427">
        <v>0</v>
      </c>
      <c r="V42" s="427">
        <v>0</v>
      </c>
      <c r="W42" s="427">
        <v>0</v>
      </c>
      <c r="X42" s="427">
        <v>0</v>
      </c>
      <c r="Y42" s="427">
        <v>0</v>
      </c>
      <c r="Z42" s="427">
        <v>0</v>
      </c>
      <c r="AA42" s="427">
        <v>0</v>
      </c>
      <c r="AB42" s="427">
        <v>0</v>
      </c>
      <c r="AC42" s="428">
        <v>0</v>
      </c>
      <c r="AD42" s="427">
        <v>0</v>
      </c>
      <c r="AE42" s="427">
        <v>0</v>
      </c>
      <c r="AF42" s="427">
        <v>0</v>
      </c>
      <c r="AG42" s="427">
        <v>0</v>
      </c>
      <c r="AH42" s="428"/>
      <c r="AI42" s="427"/>
      <c r="AJ42" s="427"/>
      <c r="AK42" s="428"/>
      <c r="AL42" s="427"/>
      <c r="AM42" s="428"/>
      <c r="AN42" s="428"/>
      <c r="AO42" s="427"/>
      <c r="AP42" s="427"/>
      <c r="AQ42" s="428"/>
      <c r="AR42" s="427"/>
      <c r="AS42" s="431"/>
      <c r="AT42" s="432">
        <f t="shared" si="14"/>
        <v>0</v>
      </c>
    </row>
    <row r="43" spans="1:48" s="177" customFormat="1" ht="16" thickBot="1" x14ac:dyDescent="0.4">
      <c r="A43" s="425">
        <v>10</v>
      </c>
      <c r="B43" s="865"/>
      <c r="C43" s="433" t="s">
        <v>483</v>
      </c>
      <c r="D43" s="422">
        <v>700</v>
      </c>
      <c r="E43" s="434">
        <v>1122</v>
      </c>
      <c r="F43" s="427">
        <v>1122</v>
      </c>
      <c r="G43" s="427">
        <v>1122</v>
      </c>
      <c r="H43" s="428">
        <f t="shared" si="13"/>
        <v>0</v>
      </c>
      <c r="I43" s="428">
        <v>742.9</v>
      </c>
      <c r="J43" s="428">
        <f t="shared" si="1"/>
        <v>793.78</v>
      </c>
      <c r="K43" s="428">
        <f t="shared" si="2"/>
        <v>328.22</v>
      </c>
      <c r="L43" s="429">
        <v>0</v>
      </c>
      <c r="M43" s="430"/>
      <c r="N43" s="425">
        <v>100</v>
      </c>
      <c r="O43" s="427">
        <v>6.45</v>
      </c>
      <c r="P43" s="427">
        <v>3.12</v>
      </c>
      <c r="Q43" s="427">
        <v>0</v>
      </c>
      <c r="R43" s="427">
        <v>0</v>
      </c>
      <c r="S43" s="427">
        <v>6.17</v>
      </c>
      <c r="T43" s="427">
        <f>2.25+5.67</f>
        <v>7.92</v>
      </c>
      <c r="U43" s="427">
        <v>3.14</v>
      </c>
      <c r="V43" s="428">
        <v>7.7</v>
      </c>
      <c r="W43" s="427">
        <v>8</v>
      </c>
      <c r="X43" s="427">
        <v>5.24</v>
      </c>
      <c r="Y43" s="427">
        <v>0</v>
      </c>
      <c r="Z43" s="427">
        <v>0</v>
      </c>
      <c r="AA43" s="427">
        <v>0</v>
      </c>
      <c r="AB43" s="427">
        <v>0</v>
      </c>
      <c r="AC43" s="428">
        <v>0</v>
      </c>
      <c r="AD43" s="427">
        <v>0</v>
      </c>
      <c r="AE43" s="427">
        <v>0</v>
      </c>
      <c r="AF43" s="427">
        <v>0</v>
      </c>
      <c r="AG43" s="427">
        <v>3.14</v>
      </c>
      <c r="AH43" s="428"/>
      <c r="AI43" s="427"/>
      <c r="AJ43" s="427"/>
      <c r="AK43" s="428"/>
      <c r="AL43" s="427"/>
      <c r="AM43" s="428"/>
      <c r="AN43" s="428"/>
      <c r="AO43" s="428"/>
      <c r="AP43" s="427"/>
      <c r="AQ43" s="428"/>
      <c r="AR43" s="427"/>
      <c r="AS43" s="431"/>
      <c r="AT43" s="432">
        <f t="shared" si="14"/>
        <v>50.88</v>
      </c>
      <c r="AU43" s="177">
        <f>419.2+324.22</f>
        <v>743.42000000000007</v>
      </c>
    </row>
    <row r="44" spans="1:48" s="177" customFormat="1" ht="16" thickBot="1" x14ac:dyDescent="0.4">
      <c r="A44" s="436"/>
      <c r="B44" s="437"/>
      <c r="C44" s="438" t="s">
        <v>484</v>
      </c>
      <c r="D44" s="439">
        <f>SUM(D36:D43)</f>
        <v>6950</v>
      </c>
      <c r="E44" s="543">
        <f>SUM(E36:E43)</f>
        <v>6745.26</v>
      </c>
      <c r="F44" s="543">
        <f>SUM(F36:F43)</f>
        <v>4752.26</v>
      </c>
      <c r="G44" s="441">
        <f>SUM(G36:G43)</f>
        <v>4752.26</v>
      </c>
      <c r="H44" s="442">
        <f t="shared" si="13"/>
        <v>1993</v>
      </c>
      <c r="I44" s="543">
        <f>SUM(I36:I43)</f>
        <v>1623.24</v>
      </c>
      <c r="J44" s="440">
        <f>SUM(J36:J43)</f>
        <v>1906.28</v>
      </c>
      <c r="K44" s="543">
        <f>E44-J44</f>
        <v>4838.9800000000005</v>
      </c>
      <c r="L44" s="544">
        <f>J44/E44%</f>
        <v>28.261030708971926</v>
      </c>
      <c r="M44" s="443"/>
      <c r="N44" s="436">
        <f t="shared" ref="N44:AT44" si="15">SUM(N36:N43)</f>
        <v>550</v>
      </c>
      <c r="O44" s="436">
        <f t="shared" si="15"/>
        <v>18.68</v>
      </c>
      <c r="P44" s="599">
        <f t="shared" si="15"/>
        <v>17.239999999999998</v>
      </c>
      <c r="Q44" s="436">
        <f t="shared" si="15"/>
        <v>0</v>
      </c>
      <c r="R44" s="436">
        <f t="shared" si="15"/>
        <v>24.27</v>
      </c>
      <c r="S44" s="436">
        <f t="shared" si="15"/>
        <v>26.29</v>
      </c>
      <c r="T44" s="436">
        <f t="shared" si="15"/>
        <v>18.09</v>
      </c>
      <c r="U44" s="436">
        <f t="shared" si="15"/>
        <v>24.26</v>
      </c>
      <c r="V44" s="436">
        <f t="shared" si="15"/>
        <v>21.85</v>
      </c>
      <c r="W44" s="436">
        <f t="shared" si="15"/>
        <v>21.29</v>
      </c>
      <c r="X44" s="436">
        <f t="shared" si="15"/>
        <v>12.91</v>
      </c>
      <c r="Y44" s="592">
        <f t="shared" si="15"/>
        <v>0</v>
      </c>
      <c r="Z44" s="592">
        <f t="shared" si="15"/>
        <v>14.4</v>
      </c>
      <c r="AA44" s="592">
        <f t="shared" si="15"/>
        <v>12.54</v>
      </c>
      <c r="AB44" s="592">
        <f t="shared" si="15"/>
        <v>13.85</v>
      </c>
      <c r="AC44" s="592">
        <f t="shared" si="15"/>
        <v>12.59</v>
      </c>
      <c r="AD44" s="592">
        <f t="shared" si="15"/>
        <v>14.07</v>
      </c>
      <c r="AE44" s="592">
        <f t="shared" si="15"/>
        <v>0</v>
      </c>
      <c r="AF44" s="436">
        <f t="shared" si="15"/>
        <v>0</v>
      </c>
      <c r="AG44" s="436">
        <f t="shared" si="15"/>
        <v>30.71</v>
      </c>
      <c r="AH44" s="592">
        <f t="shared" si="15"/>
        <v>0</v>
      </c>
      <c r="AI44" s="436">
        <f t="shared" si="15"/>
        <v>0</v>
      </c>
      <c r="AJ44" s="436">
        <f t="shared" si="15"/>
        <v>0</v>
      </c>
      <c r="AK44" s="592">
        <f t="shared" si="15"/>
        <v>0</v>
      </c>
      <c r="AL44" s="592">
        <f t="shared" si="15"/>
        <v>0</v>
      </c>
      <c r="AM44" s="592">
        <f t="shared" si="15"/>
        <v>0</v>
      </c>
      <c r="AN44" s="592">
        <f t="shared" si="15"/>
        <v>0</v>
      </c>
      <c r="AO44" s="592">
        <f t="shared" si="15"/>
        <v>0</v>
      </c>
      <c r="AP44" s="592">
        <f t="shared" si="15"/>
        <v>0</v>
      </c>
      <c r="AQ44" s="436">
        <f t="shared" si="15"/>
        <v>0</v>
      </c>
      <c r="AR44" s="592">
        <f t="shared" si="15"/>
        <v>0</v>
      </c>
      <c r="AS44" s="436">
        <f t="shared" si="15"/>
        <v>0</v>
      </c>
      <c r="AT44" s="436">
        <f t="shared" si="15"/>
        <v>283.04000000000002</v>
      </c>
    </row>
    <row r="45" spans="1:48" s="197" customFormat="1" ht="8.15" customHeight="1" x14ac:dyDescent="0.35">
      <c r="A45" s="202"/>
      <c r="B45" s="227"/>
      <c r="C45" s="203"/>
      <c r="D45" s="203"/>
      <c r="E45" s="191"/>
      <c r="F45" s="191"/>
      <c r="G45" s="191"/>
      <c r="H45" s="191"/>
      <c r="I45" s="191"/>
      <c r="J45" s="191"/>
      <c r="K45" s="191"/>
      <c r="L45" s="204"/>
      <c r="M45" s="205"/>
      <c r="N45" s="202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206"/>
      <c r="AR45" s="191"/>
      <c r="AS45" s="207"/>
      <c r="AT45" s="208"/>
    </row>
    <row r="46" spans="1:48" s="178" customFormat="1" ht="22" customHeight="1" x14ac:dyDescent="0.35">
      <c r="A46" s="485">
        <v>1</v>
      </c>
      <c r="B46" s="632" t="s">
        <v>485</v>
      </c>
      <c r="C46" s="486" t="s">
        <v>486</v>
      </c>
      <c r="D46" s="423">
        <v>0</v>
      </c>
      <c r="E46" s="555">
        <v>1500</v>
      </c>
      <c r="F46" s="487">
        <v>200</v>
      </c>
      <c r="G46" s="487">
        <v>200</v>
      </c>
      <c r="H46" s="487">
        <f>E46-G46</f>
        <v>1300</v>
      </c>
      <c r="I46" s="487">
        <v>0</v>
      </c>
      <c r="J46" s="487">
        <f>I46+AT46</f>
        <v>0</v>
      </c>
      <c r="K46" s="487">
        <f>G46-J46</f>
        <v>200</v>
      </c>
      <c r="L46" s="488">
        <v>0</v>
      </c>
      <c r="M46" s="489"/>
      <c r="N46" s="485">
        <v>0</v>
      </c>
      <c r="O46" s="487">
        <v>0</v>
      </c>
      <c r="P46" s="487">
        <v>0</v>
      </c>
      <c r="Q46" s="487">
        <v>0</v>
      </c>
      <c r="R46" s="487">
        <v>0</v>
      </c>
      <c r="S46" s="487">
        <v>0</v>
      </c>
      <c r="T46" s="487">
        <v>0</v>
      </c>
      <c r="U46" s="487">
        <v>0</v>
      </c>
      <c r="V46" s="487">
        <v>0</v>
      </c>
      <c r="W46" s="487">
        <v>0</v>
      </c>
      <c r="X46" s="487">
        <v>0</v>
      </c>
      <c r="Y46" s="487">
        <v>0</v>
      </c>
      <c r="Z46" s="487">
        <v>0</v>
      </c>
      <c r="AA46" s="487">
        <v>0</v>
      </c>
      <c r="AB46" s="487">
        <v>0</v>
      </c>
      <c r="AC46" s="487">
        <v>0</v>
      </c>
      <c r="AD46" s="487">
        <v>0</v>
      </c>
      <c r="AE46" s="487">
        <v>0</v>
      </c>
      <c r="AF46" s="487">
        <v>0</v>
      </c>
      <c r="AG46" s="487">
        <v>0</v>
      </c>
      <c r="AH46" s="487"/>
      <c r="AI46" s="487"/>
      <c r="AJ46" s="487"/>
      <c r="AK46" s="487"/>
      <c r="AL46" s="487"/>
      <c r="AM46" s="487"/>
      <c r="AN46" s="487"/>
      <c r="AO46" s="487"/>
      <c r="AP46" s="487"/>
      <c r="AQ46" s="157"/>
      <c r="AR46" s="487"/>
      <c r="AS46" s="490"/>
      <c r="AT46" s="491">
        <f>SUM(O46:AS46)</f>
        <v>0</v>
      </c>
    </row>
    <row r="47" spans="1:48" s="178" customFormat="1" ht="16" thickBot="1" x14ac:dyDescent="0.4">
      <c r="A47" s="492">
        <v>2</v>
      </c>
      <c r="B47" s="631" t="s">
        <v>128</v>
      </c>
      <c r="C47" s="493" t="s">
        <v>487</v>
      </c>
      <c r="D47" s="424">
        <v>0</v>
      </c>
      <c r="E47" s="687">
        <v>1500</v>
      </c>
      <c r="F47" s="494">
        <v>0</v>
      </c>
      <c r="G47" s="494">
        <v>0</v>
      </c>
      <c r="H47" s="494">
        <f>E47-G47</f>
        <v>1500</v>
      </c>
      <c r="I47" s="494">
        <v>0</v>
      </c>
      <c r="J47" s="494">
        <f>I47+AT47</f>
        <v>0</v>
      </c>
      <c r="K47" s="494">
        <f>G47-J47</f>
        <v>0</v>
      </c>
      <c r="L47" s="495">
        <v>0</v>
      </c>
      <c r="M47" s="496"/>
      <c r="N47" s="492">
        <v>0</v>
      </c>
      <c r="O47" s="494">
        <v>0</v>
      </c>
      <c r="P47" s="494">
        <v>0</v>
      </c>
      <c r="Q47" s="494">
        <v>0</v>
      </c>
      <c r="R47" s="487">
        <v>0</v>
      </c>
      <c r="S47" s="494">
        <v>0</v>
      </c>
      <c r="T47" s="494">
        <v>0</v>
      </c>
      <c r="U47" s="494">
        <v>0</v>
      </c>
      <c r="V47" s="487">
        <v>0</v>
      </c>
      <c r="W47" s="487">
        <v>0</v>
      </c>
      <c r="X47" s="487">
        <v>0</v>
      </c>
      <c r="Y47" s="487">
        <v>0</v>
      </c>
      <c r="Z47" s="487">
        <v>0</v>
      </c>
      <c r="AA47" s="487">
        <v>0</v>
      </c>
      <c r="AB47" s="487">
        <v>0</v>
      </c>
      <c r="AC47" s="494">
        <v>0</v>
      </c>
      <c r="AD47" s="494">
        <v>0</v>
      </c>
      <c r="AE47" s="494">
        <v>0</v>
      </c>
      <c r="AF47" s="494">
        <v>0</v>
      </c>
      <c r="AG47" s="494">
        <v>0</v>
      </c>
      <c r="AH47" s="494"/>
      <c r="AI47" s="494"/>
      <c r="AJ47" s="494"/>
      <c r="AK47" s="487"/>
      <c r="AL47" s="487"/>
      <c r="AM47" s="494"/>
      <c r="AN47" s="494"/>
      <c r="AO47" s="494"/>
      <c r="AP47" s="494"/>
      <c r="AQ47" s="497"/>
      <c r="AR47" s="487"/>
      <c r="AS47" s="545"/>
      <c r="AT47" s="498">
        <f>SUM(O47:AS47)</f>
        <v>0</v>
      </c>
    </row>
    <row r="48" spans="1:48" s="178" customFormat="1" ht="16" thickBot="1" x14ac:dyDescent="0.4">
      <c r="A48" s="499"/>
      <c r="B48" s="500"/>
      <c r="C48" s="501" t="s">
        <v>488</v>
      </c>
      <c r="D48" s="502">
        <f>SUM(D46:D47)</f>
        <v>0</v>
      </c>
      <c r="E48" s="503">
        <f>SUM(E46:E47)</f>
        <v>3000</v>
      </c>
      <c r="F48" s="503">
        <f>SUM(F46:F47)</f>
        <v>200</v>
      </c>
      <c r="G48" s="504">
        <f>SUM(G46:G47)</f>
        <v>200</v>
      </c>
      <c r="H48" s="505">
        <f>E48-G48</f>
        <v>2800</v>
      </c>
      <c r="I48" s="500">
        <v>0</v>
      </c>
      <c r="J48" s="503">
        <f>SUM(J46:J47)</f>
        <v>0</v>
      </c>
      <c r="K48" s="503">
        <f>SUM(K46:K47)</f>
        <v>200</v>
      </c>
      <c r="L48" s="507">
        <v>0</v>
      </c>
      <c r="M48" s="508"/>
      <c r="N48" s="499">
        <f>SUM(N46:N47)</f>
        <v>0</v>
      </c>
      <c r="O48" s="499">
        <f t="shared" ref="O48:AT48" si="16">SUM(O46:O47)</f>
        <v>0</v>
      </c>
      <c r="P48" s="499">
        <f t="shared" si="16"/>
        <v>0</v>
      </c>
      <c r="Q48" s="499">
        <f t="shared" si="16"/>
        <v>0</v>
      </c>
      <c r="R48" s="499">
        <f t="shared" si="16"/>
        <v>0</v>
      </c>
      <c r="S48" s="499">
        <f t="shared" si="16"/>
        <v>0</v>
      </c>
      <c r="T48" s="499">
        <f t="shared" si="16"/>
        <v>0</v>
      </c>
      <c r="U48" s="499">
        <f t="shared" si="16"/>
        <v>0</v>
      </c>
      <c r="V48" s="499">
        <f t="shared" si="16"/>
        <v>0</v>
      </c>
      <c r="W48" s="499">
        <f t="shared" si="16"/>
        <v>0</v>
      </c>
      <c r="X48" s="499">
        <f t="shared" si="16"/>
        <v>0</v>
      </c>
      <c r="Y48" s="499">
        <f t="shared" si="16"/>
        <v>0</v>
      </c>
      <c r="Z48" s="499">
        <f t="shared" si="16"/>
        <v>0</v>
      </c>
      <c r="AA48" s="499">
        <f t="shared" si="16"/>
        <v>0</v>
      </c>
      <c r="AB48" s="499">
        <f t="shared" si="16"/>
        <v>0</v>
      </c>
      <c r="AC48" s="499">
        <f t="shared" si="16"/>
        <v>0</v>
      </c>
      <c r="AD48" s="499">
        <f t="shared" si="16"/>
        <v>0</v>
      </c>
      <c r="AE48" s="499">
        <f t="shared" si="16"/>
        <v>0</v>
      </c>
      <c r="AF48" s="499">
        <f t="shared" si="16"/>
        <v>0</v>
      </c>
      <c r="AG48" s="499">
        <f t="shared" si="16"/>
        <v>0</v>
      </c>
      <c r="AH48" s="499">
        <f t="shared" si="16"/>
        <v>0</v>
      </c>
      <c r="AI48" s="499">
        <f t="shared" si="16"/>
        <v>0</v>
      </c>
      <c r="AJ48" s="499">
        <f t="shared" si="16"/>
        <v>0</v>
      </c>
      <c r="AK48" s="499">
        <f t="shared" si="16"/>
        <v>0</v>
      </c>
      <c r="AL48" s="499">
        <f t="shared" si="16"/>
        <v>0</v>
      </c>
      <c r="AM48" s="499">
        <f t="shared" si="16"/>
        <v>0</v>
      </c>
      <c r="AN48" s="499">
        <f t="shared" si="16"/>
        <v>0</v>
      </c>
      <c r="AO48" s="499">
        <f t="shared" si="16"/>
        <v>0</v>
      </c>
      <c r="AP48" s="499">
        <f t="shared" si="16"/>
        <v>0</v>
      </c>
      <c r="AQ48" s="499">
        <f t="shared" si="16"/>
        <v>0</v>
      </c>
      <c r="AR48" s="499">
        <f t="shared" si="16"/>
        <v>0</v>
      </c>
      <c r="AS48" s="499">
        <f t="shared" si="16"/>
        <v>0</v>
      </c>
      <c r="AT48" s="499">
        <f t="shared" si="16"/>
        <v>0</v>
      </c>
    </row>
    <row r="49" spans="1:46" ht="36" customHeight="1" thickBot="1" x14ac:dyDescent="0.4">
      <c r="A49" s="86"/>
      <c r="B49" s="228"/>
      <c r="C49" s="198" t="s">
        <v>489</v>
      </c>
      <c r="D49" s="198">
        <f>SUM(D31+D34+D44+D48)</f>
        <v>32830</v>
      </c>
      <c r="E49" s="234">
        <f t="shared" ref="E49:J49" si="17">E31+E34+E44+E48</f>
        <v>45566.711000000003</v>
      </c>
      <c r="F49" s="234">
        <f t="shared" si="17"/>
        <v>38556.711000000003</v>
      </c>
      <c r="G49" s="234">
        <f t="shared" si="17"/>
        <v>37714.210999999996</v>
      </c>
      <c r="H49" s="234">
        <f t="shared" si="17"/>
        <v>7852.5000000000036</v>
      </c>
      <c r="I49" s="234">
        <f t="shared" si="17"/>
        <v>8036.84</v>
      </c>
      <c r="J49" s="234">
        <f t="shared" si="17"/>
        <v>8803.48</v>
      </c>
      <c r="K49" s="234">
        <f>E49-J49</f>
        <v>36763.231</v>
      </c>
      <c r="L49" s="234">
        <f>J49/E49%</f>
        <v>19.319981202944401</v>
      </c>
      <c r="M49" s="235"/>
      <c r="N49" s="234">
        <f t="shared" ref="N49:AT49" si="18">N31+N34+N44+N48</f>
        <v>1955.67</v>
      </c>
      <c r="O49" s="234">
        <f t="shared" si="18"/>
        <v>22.68</v>
      </c>
      <c r="P49" s="234">
        <f t="shared" si="18"/>
        <v>25.24</v>
      </c>
      <c r="Q49" s="234">
        <f t="shared" si="18"/>
        <v>0</v>
      </c>
      <c r="R49" s="234">
        <f t="shared" si="18"/>
        <v>76.27</v>
      </c>
      <c r="S49" s="234">
        <f t="shared" si="18"/>
        <v>45.29</v>
      </c>
      <c r="T49" s="234">
        <f t="shared" si="18"/>
        <v>29.09</v>
      </c>
      <c r="U49" s="234">
        <f t="shared" si="18"/>
        <v>31.26</v>
      </c>
      <c r="V49" s="234">
        <f t="shared" si="18"/>
        <v>84.95</v>
      </c>
      <c r="W49" s="234">
        <f t="shared" si="18"/>
        <v>32.29</v>
      </c>
      <c r="X49" s="234">
        <f t="shared" si="18"/>
        <v>83.91</v>
      </c>
      <c r="Y49" s="234">
        <f t="shared" si="18"/>
        <v>0</v>
      </c>
      <c r="Z49" s="234">
        <f t="shared" si="18"/>
        <v>28.4</v>
      </c>
      <c r="AA49" s="234">
        <f t="shared" si="18"/>
        <v>31.54</v>
      </c>
      <c r="AB49" s="234">
        <f t="shared" si="18"/>
        <v>33.85</v>
      </c>
      <c r="AC49" s="234">
        <f t="shared" si="18"/>
        <v>39.99</v>
      </c>
      <c r="AD49" s="234">
        <f t="shared" si="18"/>
        <v>119.07</v>
      </c>
      <c r="AE49" s="234">
        <f t="shared" si="18"/>
        <v>0</v>
      </c>
      <c r="AF49" s="234">
        <f t="shared" si="18"/>
        <v>21</v>
      </c>
      <c r="AG49" s="234">
        <f t="shared" si="18"/>
        <v>61.81</v>
      </c>
      <c r="AH49" s="234">
        <f t="shared" si="18"/>
        <v>0</v>
      </c>
      <c r="AI49" s="234">
        <f t="shared" si="18"/>
        <v>0</v>
      </c>
      <c r="AJ49" s="234">
        <f t="shared" si="18"/>
        <v>0</v>
      </c>
      <c r="AK49" s="234">
        <f t="shared" si="18"/>
        <v>0</v>
      </c>
      <c r="AL49" s="234">
        <f t="shared" si="18"/>
        <v>0</v>
      </c>
      <c r="AM49" s="234">
        <f t="shared" si="18"/>
        <v>0</v>
      </c>
      <c r="AN49" s="234">
        <f t="shared" si="18"/>
        <v>0</v>
      </c>
      <c r="AO49" s="234">
        <f t="shared" si="18"/>
        <v>0</v>
      </c>
      <c r="AP49" s="234">
        <f t="shared" si="18"/>
        <v>0</v>
      </c>
      <c r="AQ49" s="234">
        <f t="shared" si="18"/>
        <v>0</v>
      </c>
      <c r="AR49" s="234">
        <f t="shared" si="18"/>
        <v>0</v>
      </c>
      <c r="AS49" s="234">
        <f t="shared" si="18"/>
        <v>0</v>
      </c>
      <c r="AT49" s="234">
        <f t="shared" si="18"/>
        <v>766.6400000000001</v>
      </c>
    </row>
    <row r="50" spans="1:46" ht="20.5" thickBot="1" x14ac:dyDescent="0.45">
      <c r="A50" s="857" t="s">
        <v>527</v>
      </c>
      <c r="B50" s="858"/>
      <c r="C50" s="858"/>
      <c r="D50" s="858"/>
      <c r="E50" s="858"/>
      <c r="F50" s="858"/>
      <c r="G50" s="858"/>
      <c r="H50" s="858"/>
      <c r="I50" s="858"/>
      <c r="J50" s="858"/>
      <c r="K50" s="858"/>
      <c r="L50" s="859"/>
      <c r="M50" s="50"/>
      <c r="N50" s="853">
        <v>44795</v>
      </c>
      <c r="O50" s="854"/>
      <c r="P50" s="854"/>
      <c r="Q50" s="854"/>
      <c r="R50" s="854"/>
      <c r="S50" s="854"/>
      <c r="T50" s="854"/>
      <c r="U50" s="854"/>
      <c r="V50" s="854"/>
      <c r="W50" s="854"/>
      <c r="X50" s="854"/>
      <c r="Y50" s="854"/>
      <c r="Z50" s="854"/>
      <c r="AA50" s="854"/>
      <c r="AB50" s="854"/>
      <c r="AC50" s="854"/>
      <c r="AD50" s="854"/>
      <c r="AE50" s="854"/>
      <c r="AF50" s="854"/>
      <c r="AG50" s="854"/>
      <c r="AH50" s="854"/>
      <c r="AI50" s="854"/>
      <c r="AJ50" s="854"/>
      <c r="AK50" s="854"/>
      <c r="AL50" s="854"/>
      <c r="AM50" s="854"/>
      <c r="AN50" s="854"/>
      <c r="AO50" s="854"/>
      <c r="AP50" s="854"/>
      <c r="AQ50" s="854"/>
      <c r="AR50" s="854"/>
      <c r="AS50" s="855"/>
      <c r="AT50" s="856"/>
    </row>
    <row r="51" spans="1:46" ht="74.25" customHeight="1" thickBot="1" x14ac:dyDescent="0.4">
      <c r="A51" s="41" t="s">
        <v>234</v>
      </c>
      <c r="B51" s="82"/>
      <c r="C51" s="42" t="s">
        <v>235</v>
      </c>
      <c r="D51" s="553" t="s">
        <v>448</v>
      </c>
      <c r="E51" s="82" t="s">
        <v>528</v>
      </c>
      <c r="F51" s="82" t="s">
        <v>450</v>
      </c>
      <c r="G51" s="244" t="s">
        <v>237</v>
      </c>
      <c r="H51" s="290" t="s">
        <v>238</v>
      </c>
      <c r="I51" s="41" t="s">
        <v>239</v>
      </c>
      <c r="J51" s="248" t="s">
        <v>525</v>
      </c>
      <c r="K51" s="82" t="s">
        <v>241</v>
      </c>
      <c r="L51" s="43" t="s">
        <v>242</v>
      </c>
      <c r="M51" s="72"/>
      <c r="N51" s="52" t="s">
        <v>243</v>
      </c>
      <c r="O51" s="658">
        <f>O2</f>
        <v>44805</v>
      </c>
      <c r="P51" s="658">
        <f t="shared" ref="P51:AS51" si="19">P2</f>
        <v>44806</v>
      </c>
      <c r="Q51" s="658">
        <f t="shared" si="19"/>
        <v>44807</v>
      </c>
      <c r="R51" s="658">
        <f t="shared" si="19"/>
        <v>44808</v>
      </c>
      <c r="S51" s="658">
        <f t="shared" si="19"/>
        <v>44809</v>
      </c>
      <c r="T51" s="658">
        <f t="shared" si="19"/>
        <v>44810</v>
      </c>
      <c r="U51" s="658">
        <f t="shared" si="19"/>
        <v>44811</v>
      </c>
      <c r="V51" s="658">
        <f t="shared" si="19"/>
        <v>44812</v>
      </c>
      <c r="W51" s="658">
        <f t="shared" si="19"/>
        <v>44813</v>
      </c>
      <c r="X51" s="658">
        <f t="shared" si="19"/>
        <v>44814</v>
      </c>
      <c r="Y51" s="658">
        <f t="shared" si="19"/>
        <v>44815</v>
      </c>
      <c r="Z51" s="658">
        <f t="shared" si="19"/>
        <v>44816</v>
      </c>
      <c r="AA51" s="658">
        <f t="shared" si="19"/>
        <v>44817</v>
      </c>
      <c r="AB51" s="658">
        <f t="shared" si="19"/>
        <v>44818</v>
      </c>
      <c r="AC51" s="658">
        <f t="shared" si="19"/>
        <v>44819</v>
      </c>
      <c r="AD51" s="658">
        <f t="shared" si="19"/>
        <v>44820</v>
      </c>
      <c r="AE51" s="658">
        <f t="shared" si="19"/>
        <v>44821</v>
      </c>
      <c r="AF51" s="658">
        <f t="shared" si="19"/>
        <v>44822</v>
      </c>
      <c r="AG51" s="658">
        <f t="shared" si="19"/>
        <v>44823</v>
      </c>
      <c r="AH51" s="658">
        <f t="shared" si="19"/>
        <v>44824</v>
      </c>
      <c r="AI51" s="658">
        <f t="shared" si="19"/>
        <v>44825</v>
      </c>
      <c r="AJ51" s="658">
        <f t="shared" si="19"/>
        <v>44826</v>
      </c>
      <c r="AK51" s="658">
        <f t="shared" si="19"/>
        <v>44827</v>
      </c>
      <c r="AL51" s="658">
        <f t="shared" si="19"/>
        <v>44828</v>
      </c>
      <c r="AM51" s="658">
        <f t="shared" si="19"/>
        <v>44829</v>
      </c>
      <c r="AN51" s="658">
        <f t="shared" si="19"/>
        <v>44830</v>
      </c>
      <c r="AO51" s="658">
        <f t="shared" si="19"/>
        <v>44831</v>
      </c>
      <c r="AP51" s="658">
        <f t="shared" si="19"/>
        <v>44832</v>
      </c>
      <c r="AQ51" s="658">
        <f t="shared" si="19"/>
        <v>44833</v>
      </c>
      <c r="AR51" s="658">
        <f t="shared" si="19"/>
        <v>44834</v>
      </c>
      <c r="AS51" s="658">
        <f t="shared" si="19"/>
        <v>44835</v>
      </c>
      <c r="AT51" s="34" t="s">
        <v>244</v>
      </c>
    </row>
    <row r="52" spans="1:46" s="168" customFormat="1" x14ac:dyDescent="0.35">
      <c r="A52" s="415">
        <v>1</v>
      </c>
      <c r="B52" s="878" t="s">
        <v>113</v>
      </c>
      <c r="C52" s="179" t="s">
        <v>491</v>
      </c>
      <c r="D52" s="287">
        <v>1500</v>
      </c>
      <c r="E52" s="285">
        <v>1347</v>
      </c>
      <c r="F52" s="467">
        <v>1347</v>
      </c>
      <c r="G52" s="467">
        <v>1347</v>
      </c>
      <c r="H52" s="467">
        <f t="shared" ref="H52:H78" si="20">E52-G52</f>
        <v>0</v>
      </c>
      <c r="I52" s="289">
        <v>1347</v>
      </c>
      <c r="J52" s="554">
        <f t="shared" ref="J52:J77" si="21">I52+AT52</f>
        <v>1347</v>
      </c>
      <c r="K52" s="289">
        <f>E52-J52</f>
        <v>0</v>
      </c>
      <c r="L52" s="180">
        <f>J52/E52%</f>
        <v>100</v>
      </c>
      <c r="M52" s="181"/>
      <c r="N52" s="415">
        <v>0</v>
      </c>
      <c r="O52" s="285">
        <v>0</v>
      </c>
      <c r="P52" s="285">
        <v>0</v>
      </c>
      <c r="Q52" s="285">
        <v>0</v>
      </c>
      <c r="R52" s="182">
        <v>0</v>
      </c>
      <c r="S52" s="285">
        <v>0</v>
      </c>
      <c r="T52" s="285">
        <v>0</v>
      </c>
      <c r="U52" s="285">
        <v>0</v>
      </c>
      <c r="V52" s="285">
        <v>0</v>
      </c>
      <c r="W52" s="285">
        <v>0</v>
      </c>
      <c r="X52" s="285">
        <v>0</v>
      </c>
      <c r="Y52" s="285">
        <v>0</v>
      </c>
      <c r="Z52" s="285">
        <v>0</v>
      </c>
      <c r="AA52" s="285">
        <v>0</v>
      </c>
      <c r="AB52" s="285">
        <v>0</v>
      </c>
      <c r="AC52" s="285">
        <v>0</v>
      </c>
      <c r="AD52" s="285">
        <v>0</v>
      </c>
      <c r="AE52" s="285">
        <v>0</v>
      </c>
      <c r="AF52" s="285">
        <v>0</v>
      </c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9"/>
      <c r="AR52" s="285"/>
      <c r="AS52" s="166"/>
      <c r="AT52" s="167">
        <f>SUM(O52:AS52)</f>
        <v>0</v>
      </c>
    </row>
    <row r="53" spans="1:46" s="168" customFormat="1" ht="15.75" customHeight="1" x14ac:dyDescent="0.35">
      <c r="A53" s="414">
        <v>2</v>
      </c>
      <c r="B53" s="862"/>
      <c r="C53" s="470" t="s">
        <v>492</v>
      </c>
      <c r="D53" s="287">
        <v>200</v>
      </c>
      <c r="E53" s="287">
        <v>199</v>
      </c>
      <c r="F53" s="471">
        <v>199</v>
      </c>
      <c r="G53" s="467">
        <v>199</v>
      </c>
      <c r="H53" s="467">
        <f t="shared" si="20"/>
        <v>0</v>
      </c>
      <c r="I53" s="286">
        <v>126</v>
      </c>
      <c r="J53" s="286">
        <f t="shared" si="21"/>
        <v>126</v>
      </c>
      <c r="K53" s="289">
        <f t="shared" ref="K53:K77" si="22">E53-J53</f>
        <v>73</v>
      </c>
      <c r="L53" s="180">
        <f t="shared" ref="L53:L78" si="23">J53/E53%</f>
        <v>63.316582914572862</v>
      </c>
      <c r="M53" s="183"/>
      <c r="N53" s="414">
        <v>15</v>
      </c>
      <c r="O53" s="285">
        <v>0</v>
      </c>
      <c r="P53" s="285">
        <v>0</v>
      </c>
      <c r="Q53" s="285">
        <v>0</v>
      </c>
      <c r="R53" s="285">
        <v>0</v>
      </c>
      <c r="S53" s="285">
        <v>0</v>
      </c>
      <c r="T53" s="285">
        <v>0</v>
      </c>
      <c r="U53" s="285">
        <v>0</v>
      </c>
      <c r="V53" s="285">
        <v>0</v>
      </c>
      <c r="W53" s="285">
        <v>0</v>
      </c>
      <c r="X53" s="285">
        <v>0</v>
      </c>
      <c r="Y53" s="285">
        <v>0</v>
      </c>
      <c r="Z53" s="285">
        <v>0</v>
      </c>
      <c r="AA53" s="285">
        <v>0</v>
      </c>
      <c r="AB53" s="285">
        <v>0</v>
      </c>
      <c r="AC53" s="285">
        <v>0</v>
      </c>
      <c r="AD53" s="285">
        <v>0</v>
      </c>
      <c r="AE53" s="285">
        <v>0</v>
      </c>
      <c r="AF53" s="285">
        <v>0</v>
      </c>
      <c r="AG53" s="285"/>
      <c r="AH53" s="285"/>
      <c r="AI53" s="285"/>
      <c r="AJ53" s="285"/>
      <c r="AK53" s="285"/>
      <c r="AL53" s="285"/>
      <c r="AM53" s="285"/>
      <c r="AN53" s="285"/>
      <c r="AO53" s="285"/>
      <c r="AP53" s="285"/>
      <c r="AQ53" s="289"/>
      <c r="AR53" s="285"/>
      <c r="AS53" s="166"/>
      <c r="AT53" s="167">
        <f t="shared" ref="AT53:AT88" si="24">SUM(O53:AS53)</f>
        <v>0</v>
      </c>
    </row>
    <row r="54" spans="1:46" s="168" customFormat="1" x14ac:dyDescent="0.35">
      <c r="A54" s="414">
        <v>3</v>
      </c>
      <c r="B54" s="862"/>
      <c r="C54" s="470" t="s">
        <v>493</v>
      </c>
      <c r="D54" s="287">
        <v>400</v>
      </c>
      <c r="E54" s="287">
        <v>411</v>
      </c>
      <c r="F54" s="471">
        <f>380.6+30</f>
        <v>410.6</v>
      </c>
      <c r="G54" s="467">
        <f>380.6+30</f>
        <v>410.6</v>
      </c>
      <c r="H54" s="467">
        <f t="shared" si="20"/>
        <v>0.39999999999997726</v>
      </c>
      <c r="I54" s="286">
        <v>0</v>
      </c>
      <c r="J54" s="286">
        <f t="shared" si="21"/>
        <v>0</v>
      </c>
      <c r="K54" s="289">
        <f t="shared" si="22"/>
        <v>411</v>
      </c>
      <c r="L54" s="180">
        <f t="shared" si="23"/>
        <v>0</v>
      </c>
      <c r="M54" s="183"/>
      <c r="N54" s="414">
        <v>0</v>
      </c>
      <c r="O54" s="285">
        <v>0</v>
      </c>
      <c r="P54" s="285">
        <v>0</v>
      </c>
      <c r="Q54" s="285">
        <v>0</v>
      </c>
      <c r="R54" s="285">
        <v>0</v>
      </c>
      <c r="S54" s="285">
        <v>0</v>
      </c>
      <c r="T54" s="285">
        <v>0</v>
      </c>
      <c r="U54" s="285">
        <v>0</v>
      </c>
      <c r="V54" s="285">
        <v>0</v>
      </c>
      <c r="W54" s="285">
        <v>0</v>
      </c>
      <c r="X54" s="285">
        <v>0</v>
      </c>
      <c r="Y54" s="285">
        <v>0</v>
      </c>
      <c r="Z54" s="285">
        <v>0</v>
      </c>
      <c r="AA54" s="285">
        <v>0</v>
      </c>
      <c r="AB54" s="285">
        <v>0</v>
      </c>
      <c r="AC54" s="285">
        <v>0</v>
      </c>
      <c r="AD54" s="285">
        <v>0</v>
      </c>
      <c r="AE54" s="285">
        <v>0</v>
      </c>
      <c r="AF54" s="285">
        <v>0</v>
      </c>
      <c r="AG54" s="285"/>
      <c r="AH54" s="285"/>
      <c r="AI54" s="285"/>
      <c r="AJ54" s="285"/>
      <c r="AK54" s="285"/>
      <c r="AL54" s="285"/>
      <c r="AM54" s="285"/>
      <c r="AN54" s="285"/>
      <c r="AO54" s="285"/>
      <c r="AP54" s="285"/>
      <c r="AQ54" s="289"/>
      <c r="AR54" s="285"/>
      <c r="AS54" s="166"/>
      <c r="AT54" s="167">
        <f t="shared" si="24"/>
        <v>0</v>
      </c>
    </row>
    <row r="55" spans="1:46" s="168" customFormat="1" x14ac:dyDescent="0.35">
      <c r="A55" s="869">
        <v>4</v>
      </c>
      <c r="B55" s="862"/>
      <c r="C55" s="470" t="s">
        <v>494</v>
      </c>
      <c r="D55" s="474"/>
      <c r="E55" s="286">
        <f>746.45+812.25</f>
        <v>1558.7</v>
      </c>
      <c r="F55" s="286">
        <f>746.45+812.25</f>
        <v>1558.7</v>
      </c>
      <c r="G55" s="286">
        <f>746.45+812.25</f>
        <v>1558.7</v>
      </c>
      <c r="H55" s="467">
        <f t="shared" si="20"/>
        <v>0</v>
      </c>
      <c r="I55" s="286">
        <v>0</v>
      </c>
      <c r="J55" s="286">
        <f t="shared" si="21"/>
        <v>0</v>
      </c>
      <c r="K55" s="289">
        <f t="shared" si="22"/>
        <v>1558.7</v>
      </c>
      <c r="L55" s="180">
        <f t="shared" si="23"/>
        <v>0</v>
      </c>
      <c r="M55" s="183"/>
      <c r="N55" s="414">
        <v>0</v>
      </c>
      <c r="O55" s="285">
        <v>0</v>
      </c>
      <c r="P55" s="285">
        <v>0</v>
      </c>
      <c r="Q55" s="285">
        <v>0</v>
      </c>
      <c r="R55" s="285">
        <v>0</v>
      </c>
      <c r="S55" s="285">
        <v>0</v>
      </c>
      <c r="T55" s="285">
        <v>0</v>
      </c>
      <c r="U55" s="285">
        <v>0</v>
      </c>
      <c r="V55" s="285">
        <v>0</v>
      </c>
      <c r="W55" s="285">
        <v>0</v>
      </c>
      <c r="X55" s="285">
        <v>0</v>
      </c>
      <c r="Y55" s="285">
        <v>0</v>
      </c>
      <c r="Z55" s="285">
        <v>0</v>
      </c>
      <c r="AA55" s="285">
        <v>0</v>
      </c>
      <c r="AB55" s="285">
        <v>0</v>
      </c>
      <c r="AC55" s="285">
        <v>0</v>
      </c>
      <c r="AD55" s="285">
        <v>0</v>
      </c>
      <c r="AE55" s="285">
        <v>0</v>
      </c>
      <c r="AF55" s="285">
        <v>0</v>
      </c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9"/>
      <c r="AR55" s="285"/>
      <c r="AS55" s="166"/>
      <c r="AT55" s="167">
        <f t="shared" si="24"/>
        <v>0</v>
      </c>
    </row>
    <row r="56" spans="1:46" s="168" customFormat="1" x14ac:dyDescent="0.35">
      <c r="A56" s="868"/>
      <c r="B56" s="862"/>
      <c r="C56" s="470" t="s">
        <v>495</v>
      </c>
      <c r="D56" s="287"/>
      <c r="E56" s="285">
        <v>60</v>
      </c>
      <c r="F56" s="471">
        <v>60</v>
      </c>
      <c r="G56" s="467">
        <v>60</v>
      </c>
      <c r="H56" s="467">
        <f t="shared" si="20"/>
        <v>0</v>
      </c>
      <c r="I56" s="286">
        <v>0</v>
      </c>
      <c r="J56" s="286">
        <f t="shared" si="21"/>
        <v>0</v>
      </c>
      <c r="K56" s="289">
        <f t="shared" si="22"/>
        <v>60</v>
      </c>
      <c r="L56" s="180">
        <f t="shared" si="23"/>
        <v>0</v>
      </c>
      <c r="M56" s="183"/>
      <c r="N56" s="414">
        <v>0</v>
      </c>
      <c r="O56" s="285">
        <v>0</v>
      </c>
      <c r="P56" s="285">
        <v>0</v>
      </c>
      <c r="Q56" s="285">
        <v>0</v>
      </c>
      <c r="R56" s="285">
        <v>0</v>
      </c>
      <c r="S56" s="285">
        <v>0</v>
      </c>
      <c r="T56" s="285">
        <v>0</v>
      </c>
      <c r="U56" s="285">
        <v>0</v>
      </c>
      <c r="V56" s="285">
        <v>0</v>
      </c>
      <c r="W56" s="285">
        <v>0</v>
      </c>
      <c r="X56" s="285">
        <v>0</v>
      </c>
      <c r="Y56" s="285">
        <v>0</v>
      </c>
      <c r="Z56" s="285">
        <v>0</v>
      </c>
      <c r="AA56" s="285">
        <v>0</v>
      </c>
      <c r="AB56" s="285">
        <v>0</v>
      </c>
      <c r="AC56" s="285">
        <v>0</v>
      </c>
      <c r="AD56" s="285">
        <v>0</v>
      </c>
      <c r="AE56" s="285">
        <v>0</v>
      </c>
      <c r="AF56" s="285">
        <v>0</v>
      </c>
      <c r="AG56" s="285"/>
      <c r="AH56" s="285"/>
      <c r="AI56" s="285"/>
      <c r="AJ56" s="285"/>
      <c r="AK56" s="285"/>
      <c r="AL56" s="285"/>
      <c r="AM56" s="285"/>
      <c r="AN56" s="285"/>
      <c r="AO56" s="285"/>
      <c r="AP56" s="285"/>
      <c r="AQ56" s="289"/>
      <c r="AR56" s="285"/>
      <c r="AS56" s="166"/>
      <c r="AT56" s="167">
        <f t="shared" si="24"/>
        <v>0</v>
      </c>
    </row>
    <row r="57" spans="1:46" s="168" customFormat="1" x14ac:dyDescent="0.35">
      <c r="A57" s="414">
        <v>5</v>
      </c>
      <c r="B57" s="862"/>
      <c r="C57" s="470" t="s">
        <v>496</v>
      </c>
      <c r="D57" s="287">
        <v>2600</v>
      </c>
      <c r="E57" s="287">
        <f>1925+70</f>
        <v>1995</v>
      </c>
      <c r="F57" s="471">
        <f>1925+70</f>
        <v>1995</v>
      </c>
      <c r="G57" s="467">
        <f>1925+70</f>
        <v>1995</v>
      </c>
      <c r="H57" s="467">
        <f t="shared" si="20"/>
        <v>0</v>
      </c>
      <c r="I57" s="286">
        <v>1451.7</v>
      </c>
      <c r="J57" s="556">
        <f t="shared" si="21"/>
        <v>1488.7</v>
      </c>
      <c r="K57" s="289">
        <f t="shared" si="22"/>
        <v>506.29999999999995</v>
      </c>
      <c r="L57" s="180">
        <f t="shared" si="23"/>
        <v>74.621553884711787</v>
      </c>
      <c r="M57" s="183"/>
      <c r="N57" s="414">
        <v>112</v>
      </c>
      <c r="O57" s="285">
        <v>27</v>
      </c>
      <c r="P57" s="285">
        <v>0</v>
      </c>
      <c r="Q57" s="285">
        <v>0</v>
      </c>
      <c r="R57" s="285">
        <v>0</v>
      </c>
      <c r="S57" s="285">
        <v>0</v>
      </c>
      <c r="T57" s="285">
        <v>0</v>
      </c>
      <c r="U57" s="285">
        <v>2</v>
      </c>
      <c r="V57" s="285">
        <v>0</v>
      </c>
      <c r="W57" s="285">
        <v>0</v>
      </c>
      <c r="X57" s="285">
        <v>8</v>
      </c>
      <c r="Y57" s="285">
        <v>0</v>
      </c>
      <c r="Z57" s="285">
        <v>0</v>
      </c>
      <c r="AA57" s="285">
        <v>0</v>
      </c>
      <c r="AB57" s="285">
        <v>0</v>
      </c>
      <c r="AC57" s="285">
        <v>0</v>
      </c>
      <c r="AD57" s="285">
        <v>0</v>
      </c>
      <c r="AE57" s="285">
        <v>0</v>
      </c>
      <c r="AF57" s="285">
        <v>0</v>
      </c>
      <c r="AG57" s="285"/>
      <c r="AH57" s="285"/>
      <c r="AI57" s="285"/>
      <c r="AJ57" s="285"/>
      <c r="AK57" s="285"/>
      <c r="AL57" s="287"/>
      <c r="AM57" s="285"/>
      <c r="AN57" s="285"/>
      <c r="AO57" s="285"/>
      <c r="AP57" s="285"/>
      <c r="AQ57" s="289"/>
      <c r="AR57" s="285"/>
      <c r="AS57" s="285"/>
      <c r="AT57" s="167">
        <f t="shared" ref="AT57:AT62" si="25">SUM(O57:AS57)</f>
        <v>37</v>
      </c>
    </row>
    <row r="58" spans="1:46" s="168" customFormat="1" x14ac:dyDescent="0.35">
      <c r="A58" s="414">
        <v>6</v>
      </c>
      <c r="B58" s="862"/>
      <c r="C58" s="470" t="s">
        <v>497</v>
      </c>
      <c r="D58" s="287">
        <v>300</v>
      </c>
      <c r="E58" s="287">
        <v>317</v>
      </c>
      <c r="F58" s="471">
        <v>317</v>
      </c>
      <c r="G58" s="467">
        <f>237+80</f>
        <v>317</v>
      </c>
      <c r="H58" s="467">
        <f t="shared" si="20"/>
        <v>0</v>
      </c>
      <c r="I58" s="286">
        <v>0</v>
      </c>
      <c r="J58" s="286">
        <f t="shared" si="21"/>
        <v>0</v>
      </c>
      <c r="K58" s="289">
        <f t="shared" si="22"/>
        <v>317</v>
      </c>
      <c r="L58" s="180">
        <f t="shared" si="23"/>
        <v>0</v>
      </c>
      <c r="M58" s="183"/>
      <c r="N58" s="414">
        <v>0</v>
      </c>
      <c r="O58" s="285">
        <v>0</v>
      </c>
      <c r="P58" s="285">
        <v>0</v>
      </c>
      <c r="Q58" s="285">
        <v>0</v>
      </c>
      <c r="R58" s="285">
        <v>0</v>
      </c>
      <c r="S58" s="285">
        <v>0</v>
      </c>
      <c r="T58" s="285">
        <v>0</v>
      </c>
      <c r="U58" s="285">
        <v>0</v>
      </c>
      <c r="V58" s="285">
        <v>0</v>
      </c>
      <c r="W58" s="285">
        <v>0</v>
      </c>
      <c r="X58" s="285">
        <v>0</v>
      </c>
      <c r="Y58" s="285">
        <v>0</v>
      </c>
      <c r="Z58" s="285">
        <v>0</v>
      </c>
      <c r="AA58" s="285">
        <v>0</v>
      </c>
      <c r="AB58" s="285">
        <v>0</v>
      </c>
      <c r="AC58" s="285">
        <v>0</v>
      </c>
      <c r="AD58" s="285">
        <v>0</v>
      </c>
      <c r="AE58" s="285">
        <v>0</v>
      </c>
      <c r="AF58" s="285">
        <v>0</v>
      </c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9"/>
      <c r="AR58" s="285"/>
      <c r="AS58" s="285"/>
      <c r="AT58" s="167">
        <f t="shared" si="25"/>
        <v>0</v>
      </c>
    </row>
    <row r="59" spans="1:46" s="168" customFormat="1" x14ac:dyDescent="0.35">
      <c r="A59" s="414">
        <v>7</v>
      </c>
      <c r="B59" s="862"/>
      <c r="C59" s="470" t="s">
        <v>498</v>
      </c>
      <c r="D59" s="870">
        <v>610</v>
      </c>
      <c r="E59" s="287">
        <v>202</v>
      </c>
      <c r="F59" s="471">
        <v>202.33</v>
      </c>
      <c r="G59" s="467">
        <v>202.33</v>
      </c>
      <c r="H59" s="467">
        <f t="shared" si="20"/>
        <v>-0.33000000000001251</v>
      </c>
      <c r="I59" s="286">
        <v>0</v>
      </c>
      <c r="J59" s="286">
        <f t="shared" si="21"/>
        <v>0</v>
      </c>
      <c r="K59" s="289">
        <f t="shared" si="22"/>
        <v>202</v>
      </c>
      <c r="L59" s="180">
        <f t="shared" si="23"/>
        <v>0</v>
      </c>
      <c r="M59" s="183"/>
      <c r="N59" s="414">
        <v>0</v>
      </c>
      <c r="O59" s="285">
        <v>0</v>
      </c>
      <c r="P59" s="285">
        <v>0</v>
      </c>
      <c r="Q59" s="285">
        <v>0</v>
      </c>
      <c r="R59" s="285">
        <v>0</v>
      </c>
      <c r="S59" s="285">
        <v>0</v>
      </c>
      <c r="T59" s="285">
        <v>0</v>
      </c>
      <c r="U59" s="285">
        <v>0</v>
      </c>
      <c r="V59" s="285">
        <v>0</v>
      </c>
      <c r="W59" s="285">
        <v>0</v>
      </c>
      <c r="X59" s="285">
        <v>0</v>
      </c>
      <c r="Y59" s="285">
        <v>0</v>
      </c>
      <c r="Z59" s="285">
        <v>0</v>
      </c>
      <c r="AA59" s="285">
        <v>0</v>
      </c>
      <c r="AB59" s="285">
        <v>0</v>
      </c>
      <c r="AC59" s="285">
        <v>0</v>
      </c>
      <c r="AD59" s="285">
        <v>0</v>
      </c>
      <c r="AE59" s="285">
        <v>0</v>
      </c>
      <c r="AF59" s="285">
        <v>0</v>
      </c>
      <c r="AG59" s="285"/>
      <c r="AH59" s="285"/>
      <c r="AI59" s="285"/>
      <c r="AJ59" s="285"/>
      <c r="AK59" s="285"/>
      <c r="AL59" s="285"/>
      <c r="AM59" s="285"/>
      <c r="AN59" s="285"/>
      <c r="AO59" s="285"/>
      <c r="AP59" s="285"/>
      <c r="AQ59" s="289"/>
      <c r="AR59" s="285"/>
      <c r="AS59" s="285"/>
      <c r="AT59" s="167">
        <f t="shared" si="25"/>
        <v>0</v>
      </c>
    </row>
    <row r="60" spans="1:46" s="168" customFormat="1" x14ac:dyDescent="0.35">
      <c r="A60" s="414">
        <v>8</v>
      </c>
      <c r="B60" s="862"/>
      <c r="C60" s="470" t="s">
        <v>499</v>
      </c>
      <c r="D60" s="871"/>
      <c r="E60" s="287">
        <v>183</v>
      </c>
      <c r="F60" s="471">
        <v>183</v>
      </c>
      <c r="G60" s="467">
        <v>183</v>
      </c>
      <c r="H60" s="467">
        <f t="shared" si="20"/>
        <v>0</v>
      </c>
      <c r="I60" s="286">
        <v>0</v>
      </c>
      <c r="J60" s="286">
        <f t="shared" si="21"/>
        <v>0</v>
      </c>
      <c r="K60" s="289">
        <f t="shared" si="22"/>
        <v>183</v>
      </c>
      <c r="L60" s="180">
        <f t="shared" si="23"/>
        <v>0</v>
      </c>
      <c r="M60" s="183"/>
      <c r="N60" s="414">
        <v>0</v>
      </c>
      <c r="O60" s="285">
        <v>0</v>
      </c>
      <c r="P60" s="285">
        <v>0</v>
      </c>
      <c r="Q60" s="285">
        <v>0</v>
      </c>
      <c r="R60" s="285">
        <v>0</v>
      </c>
      <c r="S60" s="285">
        <v>0</v>
      </c>
      <c r="T60" s="285">
        <v>0</v>
      </c>
      <c r="U60" s="285">
        <v>0</v>
      </c>
      <c r="V60" s="285">
        <v>0</v>
      </c>
      <c r="W60" s="285">
        <v>0</v>
      </c>
      <c r="X60" s="285">
        <v>0</v>
      </c>
      <c r="Y60" s="285">
        <v>0</v>
      </c>
      <c r="Z60" s="285">
        <v>0</v>
      </c>
      <c r="AA60" s="285">
        <v>0</v>
      </c>
      <c r="AB60" s="285">
        <v>0</v>
      </c>
      <c r="AC60" s="285">
        <v>0</v>
      </c>
      <c r="AD60" s="285">
        <v>0</v>
      </c>
      <c r="AE60" s="285">
        <v>0</v>
      </c>
      <c r="AF60" s="285">
        <v>0</v>
      </c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9"/>
      <c r="AR60" s="285"/>
      <c r="AS60" s="285"/>
      <c r="AT60" s="167">
        <f t="shared" si="25"/>
        <v>0</v>
      </c>
    </row>
    <row r="61" spans="1:46" s="168" customFormat="1" x14ac:dyDescent="0.35">
      <c r="A61" s="473">
        <v>9</v>
      </c>
      <c r="B61" s="862"/>
      <c r="C61" s="622" t="s">
        <v>500</v>
      </c>
      <c r="D61" s="872"/>
      <c r="E61" s="595">
        <v>22.27</v>
      </c>
      <c r="F61" s="623">
        <v>22</v>
      </c>
      <c r="G61" s="624">
        <v>22.27</v>
      </c>
      <c r="H61" s="475">
        <f t="shared" si="20"/>
        <v>0</v>
      </c>
      <c r="I61" s="286">
        <v>0</v>
      </c>
      <c r="J61" s="286">
        <f t="shared" si="21"/>
        <v>0</v>
      </c>
      <c r="K61" s="289">
        <f t="shared" si="22"/>
        <v>22.27</v>
      </c>
      <c r="L61" s="180">
        <f t="shared" si="23"/>
        <v>0</v>
      </c>
      <c r="M61" s="183"/>
      <c r="N61" s="414">
        <v>0</v>
      </c>
      <c r="O61" s="285">
        <v>0</v>
      </c>
      <c r="P61" s="285">
        <v>0</v>
      </c>
      <c r="Q61" s="285">
        <v>0</v>
      </c>
      <c r="R61" s="285">
        <v>0</v>
      </c>
      <c r="S61" s="285">
        <v>0</v>
      </c>
      <c r="T61" s="285">
        <v>0</v>
      </c>
      <c r="U61" s="285">
        <v>0</v>
      </c>
      <c r="V61" s="285">
        <v>0</v>
      </c>
      <c r="W61" s="285">
        <v>0</v>
      </c>
      <c r="X61" s="285">
        <v>0</v>
      </c>
      <c r="Y61" s="285">
        <v>0</v>
      </c>
      <c r="Z61" s="285">
        <v>0</v>
      </c>
      <c r="AA61" s="285">
        <v>0</v>
      </c>
      <c r="AB61" s="285">
        <v>0</v>
      </c>
      <c r="AC61" s="285">
        <v>0</v>
      </c>
      <c r="AD61" s="285">
        <v>0</v>
      </c>
      <c r="AE61" s="285">
        <v>0</v>
      </c>
      <c r="AF61" s="285">
        <v>0</v>
      </c>
      <c r="AG61" s="285"/>
      <c r="AH61" s="285"/>
      <c r="AI61" s="285"/>
      <c r="AJ61" s="285"/>
      <c r="AK61" s="285"/>
      <c r="AL61" s="285"/>
      <c r="AM61" s="285"/>
      <c r="AN61" s="285"/>
      <c r="AO61" s="285"/>
      <c r="AP61" s="285"/>
      <c r="AQ61" s="289"/>
      <c r="AR61" s="285"/>
      <c r="AS61" s="285"/>
      <c r="AT61" s="167">
        <f t="shared" si="25"/>
        <v>0</v>
      </c>
    </row>
    <row r="62" spans="1:46" s="168" customFormat="1" x14ac:dyDescent="0.35">
      <c r="A62" s="414">
        <v>10</v>
      </c>
      <c r="B62" s="862"/>
      <c r="C62" s="622" t="s">
        <v>266</v>
      </c>
      <c r="D62" s="287">
        <v>200</v>
      </c>
      <c r="E62" s="287">
        <v>275</v>
      </c>
      <c r="F62" s="471">
        <v>275</v>
      </c>
      <c r="G62" s="467">
        <f>275</f>
        <v>275</v>
      </c>
      <c r="H62" s="467">
        <f t="shared" si="20"/>
        <v>0</v>
      </c>
      <c r="I62" s="286">
        <v>145.69999999999999</v>
      </c>
      <c r="J62" s="286">
        <f t="shared" si="21"/>
        <v>145.69999999999999</v>
      </c>
      <c r="K62" s="289">
        <f t="shared" si="22"/>
        <v>129.30000000000001</v>
      </c>
      <c r="L62" s="180">
        <f t="shared" si="23"/>
        <v>52.981818181818177</v>
      </c>
      <c r="M62" s="183"/>
      <c r="N62" s="414">
        <v>32</v>
      </c>
      <c r="O62" s="285">
        <v>0</v>
      </c>
      <c r="P62" s="285">
        <v>0</v>
      </c>
      <c r="Q62" s="285">
        <v>0</v>
      </c>
      <c r="R62" s="285">
        <v>0</v>
      </c>
      <c r="S62" s="285">
        <v>0</v>
      </c>
      <c r="T62" s="285">
        <v>0</v>
      </c>
      <c r="U62" s="285">
        <v>0</v>
      </c>
      <c r="V62" s="285">
        <v>0</v>
      </c>
      <c r="W62" s="285">
        <v>0</v>
      </c>
      <c r="X62" s="285">
        <v>0</v>
      </c>
      <c r="Y62" s="285">
        <v>0</v>
      </c>
      <c r="Z62" s="285">
        <v>0</v>
      </c>
      <c r="AA62" s="285">
        <v>0</v>
      </c>
      <c r="AB62" s="285">
        <v>0</v>
      </c>
      <c r="AC62" s="285">
        <v>0</v>
      </c>
      <c r="AD62" s="285">
        <v>0</v>
      </c>
      <c r="AE62" s="285">
        <v>0</v>
      </c>
      <c r="AF62" s="285">
        <v>0</v>
      </c>
      <c r="AG62" s="285"/>
      <c r="AH62" s="285"/>
      <c r="AI62" s="285"/>
      <c r="AJ62" s="285"/>
      <c r="AK62" s="285"/>
      <c r="AL62" s="287"/>
      <c r="AM62" s="285"/>
      <c r="AN62" s="285"/>
      <c r="AO62" s="285"/>
      <c r="AP62" s="285"/>
      <c r="AQ62" s="289"/>
      <c r="AR62" s="285"/>
      <c r="AS62" s="285"/>
      <c r="AT62" s="167">
        <f t="shared" si="25"/>
        <v>0</v>
      </c>
    </row>
    <row r="63" spans="1:46" s="168" customFormat="1" x14ac:dyDescent="0.35">
      <c r="A63" s="414">
        <v>11</v>
      </c>
      <c r="B63" s="862"/>
      <c r="C63" s="622" t="s">
        <v>501</v>
      </c>
      <c r="D63" s="287">
        <v>250</v>
      </c>
      <c r="E63" s="287">
        <v>433</v>
      </c>
      <c r="F63" s="471">
        <v>432.57</v>
      </c>
      <c r="G63" s="467">
        <v>432.57</v>
      </c>
      <c r="H63" s="467">
        <f t="shared" si="20"/>
        <v>0.43000000000000682</v>
      </c>
      <c r="I63" s="286">
        <v>0</v>
      </c>
      <c r="J63" s="286">
        <f t="shared" si="21"/>
        <v>0</v>
      </c>
      <c r="K63" s="289">
        <f t="shared" si="22"/>
        <v>433</v>
      </c>
      <c r="L63" s="180">
        <f t="shared" si="23"/>
        <v>0</v>
      </c>
      <c r="M63" s="183"/>
      <c r="N63" s="414">
        <v>0</v>
      </c>
      <c r="O63" s="285">
        <v>0</v>
      </c>
      <c r="P63" s="285">
        <v>0</v>
      </c>
      <c r="Q63" s="285">
        <v>0</v>
      </c>
      <c r="R63" s="285">
        <v>0</v>
      </c>
      <c r="S63" s="285">
        <v>0</v>
      </c>
      <c r="T63" s="285">
        <v>0</v>
      </c>
      <c r="U63" s="285">
        <v>0</v>
      </c>
      <c r="V63" s="285">
        <v>0</v>
      </c>
      <c r="W63" s="285">
        <v>0</v>
      </c>
      <c r="X63" s="285">
        <v>0</v>
      </c>
      <c r="Y63" s="285">
        <v>0</v>
      </c>
      <c r="Z63" s="285">
        <v>0</v>
      </c>
      <c r="AA63" s="285">
        <v>0</v>
      </c>
      <c r="AB63" s="285">
        <v>0</v>
      </c>
      <c r="AC63" s="285">
        <v>0</v>
      </c>
      <c r="AD63" s="285">
        <v>0</v>
      </c>
      <c r="AE63" s="285">
        <v>0</v>
      </c>
      <c r="AF63" s="285">
        <v>0</v>
      </c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9"/>
      <c r="AR63" s="285"/>
      <c r="AS63" s="166"/>
      <c r="AT63" s="167">
        <f t="shared" si="24"/>
        <v>0</v>
      </c>
    </row>
    <row r="64" spans="1:46" s="168" customFormat="1" x14ac:dyDescent="0.35">
      <c r="A64" s="414">
        <v>12</v>
      </c>
      <c r="B64" s="862"/>
      <c r="C64" s="622" t="s">
        <v>502</v>
      </c>
      <c r="D64" s="287">
        <v>90</v>
      </c>
      <c r="E64" s="287">
        <v>102.5</v>
      </c>
      <c r="F64" s="287">
        <v>102.5</v>
      </c>
      <c r="G64" s="467">
        <v>102.5</v>
      </c>
      <c r="H64" s="467">
        <f t="shared" si="20"/>
        <v>0</v>
      </c>
      <c r="I64" s="286">
        <v>0</v>
      </c>
      <c r="J64" s="286">
        <f t="shared" si="21"/>
        <v>0</v>
      </c>
      <c r="K64" s="289">
        <f t="shared" si="22"/>
        <v>102.5</v>
      </c>
      <c r="L64" s="180">
        <f t="shared" si="23"/>
        <v>0</v>
      </c>
      <c r="M64" s="183"/>
      <c r="N64" s="414">
        <v>0</v>
      </c>
      <c r="O64" s="285">
        <v>0</v>
      </c>
      <c r="P64" s="285">
        <v>0</v>
      </c>
      <c r="Q64" s="285">
        <v>0</v>
      </c>
      <c r="R64" s="285">
        <v>0</v>
      </c>
      <c r="S64" s="285">
        <v>0</v>
      </c>
      <c r="T64" s="285">
        <v>0</v>
      </c>
      <c r="U64" s="285">
        <v>0</v>
      </c>
      <c r="V64" s="285">
        <v>0</v>
      </c>
      <c r="W64" s="285">
        <v>0</v>
      </c>
      <c r="X64" s="285">
        <v>0</v>
      </c>
      <c r="Y64" s="285">
        <v>0</v>
      </c>
      <c r="Z64" s="285">
        <v>0</v>
      </c>
      <c r="AA64" s="285">
        <v>0</v>
      </c>
      <c r="AB64" s="285">
        <v>0</v>
      </c>
      <c r="AC64" s="285">
        <v>0</v>
      </c>
      <c r="AD64" s="285">
        <v>0</v>
      </c>
      <c r="AE64" s="285">
        <v>0</v>
      </c>
      <c r="AF64" s="285">
        <v>0</v>
      </c>
      <c r="AG64" s="285"/>
      <c r="AH64" s="285"/>
      <c r="AI64" s="285"/>
      <c r="AJ64" s="285"/>
      <c r="AK64" s="285"/>
      <c r="AL64" s="285"/>
      <c r="AM64" s="285"/>
      <c r="AN64" s="285"/>
      <c r="AO64" s="285"/>
      <c r="AP64" s="285"/>
      <c r="AQ64" s="289"/>
      <c r="AR64" s="285"/>
      <c r="AS64" s="166"/>
      <c r="AT64" s="167">
        <f>SUM(O64:AS64)</f>
        <v>0</v>
      </c>
    </row>
    <row r="65" spans="1:46" s="168" customFormat="1" x14ac:dyDescent="0.35">
      <c r="A65" s="414">
        <v>13</v>
      </c>
      <c r="B65" s="862"/>
      <c r="C65" s="622" t="s">
        <v>503</v>
      </c>
      <c r="D65" s="287">
        <v>60</v>
      </c>
      <c r="E65" s="287">
        <v>18</v>
      </c>
      <c r="F65" s="286">
        <v>18.3</v>
      </c>
      <c r="G65" s="467">
        <v>18</v>
      </c>
      <c r="H65" s="467">
        <f t="shared" si="20"/>
        <v>0</v>
      </c>
      <c r="I65" s="286">
        <v>0</v>
      </c>
      <c r="J65" s="286">
        <f t="shared" si="21"/>
        <v>0</v>
      </c>
      <c r="K65" s="289">
        <f t="shared" si="22"/>
        <v>18</v>
      </c>
      <c r="L65" s="180">
        <f t="shared" si="23"/>
        <v>0</v>
      </c>
      <c r="M65" s="183"/>
      <c r="N65" s="414">
        <v>0</v>
      </c>
      <c r="O65" s="285">
        <v>0</v>
      </c>
      <c r="P65" s="285">
        <v>0</v>
      </c>
      <c r="Q65" s="285">
        <v>0</v>
      </c>
      <c r="R65" s="285">
        <v>0</v>
      </c>
      <c r="S65" s="285">
        <v>0</v>
      </c>
      <c r="T65" s="285">
        <v>0</v>
      </c>
      <c r="U65" s="285">
        <v>0</v>
      </c>
      <c r="V65" s="285">
        <v>0</v>
      </c>
      <c r="W65" s="285">
        <v>0</v>
      </c>
      <c r="X65" s="285">
        <v>0</v>
      </c>
      <c r="Y65" s="285">
        <v>0</v>
      </c>
      <c r="Z65" s="285">
        <v>0</v>
      </c>
      <c r="AA65" s="285">
        <v>0</v>
      </c>
      <c r="AB65" s="285">
        <v>0</v>
      </c>
      <c r="AC65" s="285">
        <v>0</v>
      </c>
      <c r="AD65" s="285">
        <v>0</v>
      </c>
      <c r="AE65" s="285">
        <v>0</v>
      </c>
      <c r="AF65" s="285">
        <v>0</v>
      </c>
      <c r="AG65" s="285"/>
      <c r="AH65" s="285"/>
      <c r="AI65" s="285"/>
      <c r="AJ65" s="285"/>
      <c r="AK65" s="285"/>
      <c r="AL65" s="285"/>
      <c r="AM65" s="285"/>
      <c r="AN65" s="285"/>
      <c r="AO65" s="285"/>
      <c r="AP65" s="285"/>
      <c r="AQ65" s="289"/>
      <c r="AR65" s="285"/>
      <c r="AS65" s="166"/>
      <c r="AT65" s="167">
        <f>SUM(O65:AS65)</f>
        <v>0</v>
      </c>
    </row>
    <row r="66" spans="1:46" s="168" customFormat="1" x14ac:dyDescent="0.35">
      <c r="A66" s="414">
        <v>15</v>
      </c>
      <c r="B66" s="862"/>
      <c r="C66" s="622" t="s">
        <v>504</v>
      </c>
      <c r="D66" s="870">
        <v>6200</v>
      </c>
      <c r="E66" s="689">
        <v>5170</v>
      </c>
      <c r="F66" s="689">
        <v>5170</v>
      </c>
      <c r="G66" s="467">
        <v>5170</v>
      </c>
      <c r="H66" s="467">
        <f t="shared" si="20"/>
        <v>0</v>
      </c>
      <c r="I66" s="286">
        <v>3829.5</v>
      </c>
      <c r="J66" s="556">
        <f t="shared" si="21"/>
        <v>3919.5</v>
      </c>
      <c r="K66" s="289">
        <f t="shared" si="22"/>
        <v>1250.5</v>
      </c>
      <c r="L66" s="180">
        <f t="shared" si="23"/>
        <v>75.812379110251442</v>
      </c>
      <c r="M66" s="183"/>
      <c r="N66" s="414">
        <v>370</v>
      </c>
      <c r="O66" s="285">
        <v>0</v>
      </c>
      <c r="P66" s="285">
        <v>0</v>
      </c>
      <c r="Q66" s="285">
        <v>0</v>
      </c>
      <c r="R66" s="285">
        <v>0</v>
      </c>
      <c r="S66" s="285">
        <v>0</v>
      </c>
      <c r="T66" s="285">
        <v>0</v>
      </c>
      <c r="U66" s="285">
        <v>0</v>
      </c>
      <c r="V66" s="285">
        <v>0</v>
      </c>
      <c r="W66" s="285">
        <v>0</v>
      </c>
      <c r="X66" s="285">
        <v>0</v>
      </c>
      <c r="Y66" s="285">
        <v>0</v>
      </c>
      <c r="Z66" s="285">
        <v>0</v>
      </c>
      <c r="AA66" s="285">
        <v>0</v>
      </c>
      <c r="AB66" s="285">
        <v>0</v>
      </c>
      <c r="AC66" s="285">
        <v>0</v>
      </c>
      <c r="AD66" s="285">
        <v>90</v>
      </c>
      <c r="AE66" s="285">
        <v>0</v>
      </c>
      <c r="AF66" s="285">
        <v>0</v>
      </c>
      <c r="AG66" s="285"/>
      <c r="AH66" s="285"/>
      <c r="AI66" s="285"/>
      <c r="AJ66" s="285"/>
      <c r="AK66" s="285"/>
      <c r="AL66" s="285"/>
      <c r="AM66" s="285"/>
      <c r="AN66" s="285"/>
      <c r="AO66" s="285"/>
      <c r="AP66" s="285"/>
      <c r="AQ66" s="289"/>
      <c r="AR66" s="285"/>
      <c r="AS66" s="166"/>
      <c r="AT66" s="167">
        <f>SUM(O66:AS66)</f>
        <v>90</v>
      </c>
    </row>
    <row r="67" spans="1:46" s="168" customFormat="1" x14ac:dyDescent="0.35">
      <c r="A67" s="414">
        <v>16</v>
      </c>
      <c r="B67" s="862"/>
      <c r="C67" s="622" t="s">
        <v>209</v>
      </c>
      <c r="D67" s="871"/>
      <c r="E67" s="285">
        <v>1053</v>
      </c>
      <c r="F67" s="285">
        <v>1053</v>
      </c>
      <c r="G67" s="467">
        <v>1053</v>
      </c>
      <c r="H67" s="467">
        <f t="shared" si="20"/>
        <v>0</v>
      </c>
      <c r="I67" s="286">
        <v>0</v>
      </c>
      <c r="J67" s="286">
        <f t="shared" si="21"/>
        <v>0</v>
      </c>
      <c r="K67" s="289">
        <f t="shared" si="22"/>
        <v>1053</v>
      </c>
      <c r="L67" s="180">
        <f t="shared" si="23"/>
        <v>0</v>
      </c>
      <c r="M67" s="183"/>
      <c r="N67" s="414">
        <v>50</v>
      </c>
      <c r="O67" s="285">
        <v>0</v>
      </c>
      <c r="P67" s="285">
        <v>0</v>
      </c>
      <c r="Q67" s="285">
        <v>0</v>
      </c>
      <c r="R67" s="285">
        <v>0</v>
      </c>
      <c r="S67" s="285">
        <v>0</v>
      </c>
      <c r="T67" s="285">
        <v>0</v>
      </c>
      <c r="U67" s="285">
        <v>0</v>
      </c>
      <c r="V67" s="285">
        <v>0</v>
      </c>
      <c r="W67" s="285">
        <v>0</v>
      </c>
      <c r="X67" s="285">
        <v>0</v>
      </c>
      <c r="Y67" s="285">
        <v>0</v>
      </c>
      <c r="Z67" s="285">
        <v>0</v>
      </c>
      <c r="AA67" s="285">
        <v>0</v>
      </c>
      <c r="AB67" s="285">
        <v>0</v>
      </c>
      <c r="AC67" s="285">
        <v>0</v>
      </c>
      <c r="AD67" s="285">
        <v>0</v>
      </c>
      <c r="AE67" s="285">
        <v>0</v>
      </c>
      <c r="AF67" s="285">
        <v>0</v>
      </c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9"/>
      <c r="AR67" s="285"/>
      <c r="AS67" s="166"/>
      <c r="AT67" s="167">
        <f>SUM(O67:AS67)</f>
        <v>0</v>
      </c>
    </row>
    <row r="68" spans="1:46" s="168" customFormat="1" ht="46.5" x14ac:dyDescent="0.35">
      <c r="A68" s="473">
        <v>17</v>
      </c>
      <c r="B68" s="862"/>
      <c r="C68" s="627" t="s">
        <v>505</v>
      </c>
      <c r="D68" s="872"/>
      <c r="E68" s="480">
        <v>3000</v>
      </c>
      <c r="F68" s="479">
        <f>257+26</f>
        <v>283</v>
      </c>
      <c r="G68" s="479">
        <f>257+26</f>
        <v>283</v>
      </c>
      <c r="H68" s="479">
        <f t="shared" si="20"/>
        <v>2717</v>
      </c>
      <c r="I68" s="286">
        <v>0</v>
      </c>
      <c r="J68" s="286">
        <f t="shared" si="21"/>
        <v>0</v>
      </c>
      <c r="K68" s="289">
        <f t="shared" si="22"/>
        <v>3000</v>
      </c>
      <c r="L68" s="180">
        <f t="shared" si="23"/>
        <v>0</v>
      </c>
      <c r="M68" s="183"/>
      <c r="N68" s="414">
        <v>0</v>
      </c>
      <c r="O68" s="285">
        <v>0</v>
      </c>
      <c r="P68" s="285">
        <v>0</v>
      </c>
      <c r="Q68" s="285">
        <v>0</v>
      </c>
      <c r="R68" s="285">
        <v>0</v>
      </c>
      <c r="S68" s="285">
        <v>0</v>
      </c>
      <c r="T68" s="285">
        <v>0</v>
      </c>
      <c r="U68" s="285">
        <v>0</v>
      </c>
      <c r="V68" s="285">
        <v>0</v>
      </c>
      <c r="W68" s="285">
        <v>0</v>
      </c>
      <c r="X68" s="285">
        <v>0</v>
      </c>
      <c r="Y68" s="285">
        <v>0</v>
      </c>
      <c r="Z68" s="285">
        <v>0</v>
      </c>
      <c r="AA68" s="285">
        <v>0</v>
      </c>
      <c r="AB68" s="285">
        <v>0</v>
      </c>
      <c r="AC68" s="285">
        <v>0</v>
      </c>
      <c r="AD68" s="285">
        <v>0</v>
      </c>
      <c r="AE68" s="285">
        <v>0</v>
      </c>
      <c r="AF68" s="285">
        <v>0</v>
      </c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9"/>
      <c r="AR68" s="285"/>
      <c r="AS68" s="166"/>
      <c r="AT68" s="167">
        <f t="shared" si="24"/>
        <v>0</v>
      </c>
    </row>
    <row r="69" spans="1:46" s="168" customFormat="1" x14ac:dyDescent="0.35">
      <c r="A69" s="414">
        <v>18</v>
      </c>
      <c r="B69" s="862"/>
      <c r="C69" s="470" t="s">
        <v>506</v>
      </c>
      <c r="D69" s="287">
        <v>400</v>
      </c>
      <c r="E69" s="287">
        <v>280</v>
      </c>
      <c r="F69" s="471">
        <v>280</v>
      </c>
      <c r="G69" s="467">
        <v>280</v>
      </c>
      <c r="H69" s="467">
        <f t="shared" si="20"/>
        <v>0</v>
      </c>
      <c r="I69" s="286">
        <v>62</v>
      </c>
      <c r="J69" s="286">
        <f t="shared" si="21"/>
        <v>62</v>
      </c>
      <c r="K69" s="289">
        <f t="shared" si="22"/>
        <v>218</v>
      </c>
      <c r="L69" s="180">
        <f t="shared" si="23"/>
        <v>22.142857142857146</v>
      </c>
      <c r="M69" s="183"/>
      <c r="N69" s="414">
        <v>55</v>
      </c>
      <c r="O69" s="285">
        <v>0</v>
      </c>
      <c r="P69" s="285">
        <v>0</v>
      </c>
      <c r="Q69" s="285">
        <v>0</v>
      </c>
      <c r="R69" s="285">
        <v>0</v>
      </c>
      <c r="S69" s="285">
        <v>0</v>
      </c>
      <c r="T69" s="285">
        <v>0</v>
      </c>
      <c r="U69" s="285">
        <v>0</v>
      </c>
      <c r="V69" s="285">
        <v>0</v>
      </c>
      <c r="W69" s="285">
        <v>0</v>
      </c>
      <c r="X69" s="285">
        <v>0</v>
      </c>
      <c r="Y69" s="285">
        <v>0</v>
      </c>
      <c r="Z69" s="285">
        <v>0</v>
      </c>
      <c r="AA69" s="285">
        <v>0</v>
      </c>
      <c r="AB69" s="285">
        <v>0</v>
      </c>
      <c r="AC69" s="285">
        <v>0</v>
      </c>
      <c r="AD69" s="285">
        <v>0</v>
      </c>
      <c r="AE69" s="285">
        <v>0</v>
      </c>
      <c r="AF69" s="285">
        <v>0</v>
      </c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9"/>
      <c r="AR69" s="285"/>
      <c r="AS69" s="166"/>
      <c r="AT69" s="167">
        <f t="shared" si="24"/>
        <v>0</v>
      </c>
    </row>
    <row r="70" spans="1:46" s="168" customFormat="1" ht="31" x14ac:dyDescent="0.35">
      <c r="A70" s="414">
        <v>19</v>
      </c>
      <c r="B70" s="862"/>
      <c r="C70" s="465" t="s">
        <v>507</v>
      </c>
      <c r="D70" s="419">
        <v>500</v>
      </c>
      <c r="E70" s="287">
        <v>265</v>
      </c>
      <c r="F70" s="286">
        <v>265</v>
      </c>
      <c r="G70" s="467">
        <f>41+123+50+51</f>
        <v>265</v>
      </c>
      <c r="H70" s="467">
        <f t="shared" si="20"/>
        <v>0</v>
      </c>
      <c r="I70" s="286">
        <v>157.4</v>
      </c>
      <c r="J70" s="556">
        <f t="shared" si="21"/>
        <v>157.4</v>
      </c>
      <c r="K70" s="289">
        <f t="shared" si="22"/>
        <v>107.6</v>
      </c>
      <c r="L70" s="180">
        <f t="shared" si="23"/>
        <v>59.396226415094347</v>
      </c>
      <c r="M70" s="183"/>
      <c r="N70" s="414">
        <v>18</v>
      </c>
      <c r="O70" s="285">
        <v>0</v>
      </c>
      <c r="P70" s="285">
        <v>0</v>
      </c>
      <c r="Q70" s="285">
        <v>0</v>
      </c>
      <c r="R70" s="285">
        <v>0</v>
      </c>
      <c r="S70" s="285">
        <v>0</v>
      </c>
      <c r="T70" s="285">
        <v>0</v>
      </c>
      <c r="U70" s="285">
        <v>0</v>
      </c>
      <c r="V70" s="285">
        <v>0</v>
      </c>
      <c r="W70" s="285">
        <v>0</v>
      </c>
      <c r="X70" s="285">
        <v>0</v>
      </c>
      <c r="Y70" s="285">
        <v>0</v>
      </c>
      <c r="Z70" s="285">
        <v>0</v>
      </c>
      <c r="AA70" s="285">
        <v>0</v>
      </c>
      <c r="AB70" s="285">
        <v>0</v>
      </c>
      <c r="AC70" s="285">
        <v>0</v>
      </c>
      <c r="AD70" s="285">
        <v>0</v>
      </c>
      <c r="AE70" s="285">
        <v>0</v>
      </c>
      <c r="AF70" s="285">
        <v>0</v>
      </c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9"/>
      <c r="AR70" s="285"/>
      <c r="AS70" s="166"/>
      <c r="AT70" s="163">
        <f t="shared" si="24"/>
        <v>0</v>
      </c>
    </row>
    <row r="71" spans="1:46" s="168" customFormat="1" x14ac:dyDescent="0.35">
      <c r="A71" s="414">
        <v>20</v>
      </c>
      <c r="B71" s="862"/>
      <c r="C71" s="470" t="s">
        <v>508</v>
      </c>
      <c r="D71" s="287">
        <v>100</v>
      </c>
      <c r="E71" s="287">
        <v>100</v>
      </c>
      <c r="F71" s="471">
        <v>100</v>
      </c>
      <c r="G71" s="467">
        <v>100</v>
      </c>
      <c r="H71" s="467">
        <f t="shared" si="20"/>
        <v>0</v>
      </c>
      <c r="I71" s="286">
        <v>0</v>
      </c>
      <c r="J71" s="286">
        <f t="shared" si="21"/>
        <v>0</v>
      </c>
      <c r="K71" s="289">
        <f t="shared" si="22"/>
        <v>100</v>
      </c>
      <c r="L71" s="180">
        <f t="shared" si="23"/>
        <v>0</v>
      </c>
      <c r="M71" s="183"/>
      <c r="N71" s="414">
        <v>0</v>
      </c>
      <c r="O71" s="285">
        <v>0</v>
      </c>
      <c r="P71" s="285">
        <v>0</v>
      </c>
      <c r="Q71" s="285">
        <v>0</v>
      </c>
      <c r="R71" s="285">
        <v>0</v>
      </c>
      <c r="S71" s="285">
        <v>0</v>
      </c>
      <c r="T71" s="285">
        <v>0</v>
      </c>
      <c r="U71" s="285">
        <v>0</v>
      </c>
      <c r="V71" s="285">
        <v>0</v>
      </c>
      <c r="W71" s="285">
        <v>0</v>
      </c>
      <c r="X71" s="285">
        <v>0</v>
      </c>
      <c r="Y71" s="285">
        <v>0</v>
      </c>
      <c r="Z71" s="285">
        <v>0</v>
      </c>
      <c r="AA71" s="285">
        <v>0</v>
      </c>
      <c r="AB71" s="285">
        <v>0</v>
      </c>
      <c r="AC71" s="285">
        <v>0</v>
      </c>
      <c r="AD71" s="285">
        <v>0</v>
      </c>
      <c r="AE71" s="285">
        <v>0</v>
      </c>
      <c r="AF71" s="285">
        <v>0</v>
      </c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9"/>
      <c r="AR71" s="285"/>
      <c r="AS71" s="166"/>
      <c r="AT71" s="167">
        <f t="shared" si="24"/>
        <v>0</v>
      </c>
    </row>
    <row r="72" spans="1:46" s="168" customFormat="1" x14ac:dyDescent="0.35">
      <c r="A72" s="414">
        <v>21</v>
      </c>
      <c r="B72" s="862"/>
      <c r="C72" s="470" t="s">
        <v>509</v>
      </c>
      <c r="D72" s="287">
        <v>80</v>
      </c>
      <c r="E72" s="287">
        <v>38</v>
      </c>
      <c r="F72" s="471">
        <v>38</v>
      </c>
      <c r="G72" s="467">
        <v>38</v>
      </c>
      <c r="H72" s="467">
        <f t="shared" si="20"/>
        <v>0</v>
      </c>
      <c r="I72" s="286">
        <v>0</v>
      </c>
      <c r="J72" s="286">
        <f t="shared" si="21"/>
        <v>0</v>
      </c>
      <c r="K72" s="289">
        <f t="shared" si="22"/>
        <v>38</v>
      </c>
      <c r="L72" s="180">
        <f t="shared" si="23"/>
        <v>0</v>
      </c>
      <c r="M72" s="183"/>
      <c r="N72" s="414">
        <v>0</v>
      </c>
      <c r="O72" s="285">
        <v>0</v>
      </c>
      <c r="P72" s="285">
        <v>0</v>
      </c>
      <c r="Q72" s="285">
        <v>0</v>
      </c>
      <c r="R72" s="285">
        <v>0</v>
      </c>
      <c r="S72" s="285">
        <v>0</v>
      </c>
      <c r="T72" s="285">
        <v>0</v>
      </c>
      <c r="U72" s="285">
        <v>0</v>
      </c>
      <c r="V72" s="285">
        <v>0</v>
      </c>
      <c r="W72" s="285">
        <v>0</v>
      </c>
      <c r="X72" s="285">
        <v>0</v>
      </c>
      <c r="Y72" s="285">
        <v>0</v>
      </c>
      <c r="Z72" s="285">
        <v>0</v>
      </c>
      <c r="AA72" s="285">
        <v>0</v>
      </c>
      <c r="AB72" s="285">
        <v>0</v>
      </c>
      <c r="AC72" s="285">
        <v>0</v>
      </c>
      <c r="AD72" s="285">
        <v>0</v>
      </c>
      <c r="AE72" s="285">
        <v>0</v>
      </c>
      <c r="AF72" s="285">
        <v>0</v>
      </c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9"/>
      <c r="AR72" s="285"/>
      <c r="AS72" s="166"/>
      <c r="AT72" s="167">
        <f t="shared" si="24"/>
        <v>0</v>
      </c>
    </row>
    <row r="73" spans="1:46" s="168" customFormat="1" x14ac:dyDescent="0.35">
      <c r="A73" s="414">
        <v>22</v>
      </c>
      <c r="B73" s="862"/>
      <c r="C73" s="470" t="s">
        <v>510</v>
      </c>
      <c r="D73" s="287">
        <v>300</v>
      </c>
      <c r="E73" s="286">
        <v>221.86</v>
      </c>
      <c r="F73" s="471">
        <f>61.86+160</f>
        <v>221.86</v>
      </c>
      <c r="G73" s="467">
        <v>222</v>
      </c>
      <c r="H73" s="467">
        <f t="shared" si="20"/>
        <v>-0.13999999999998636</v>
      </c>
      <c r="I73" s="286">
        <v>0</v>
      </c>
      <c r="J73" s="286">
        <f t="shared" si="21"/>
        <v>0</v>
      </c>
      <c r="K73" s="289">
        <f t="shared" si="22"/>
        <v>221.86</v>
      </c>
      <c r="L73" s="180">
        <f t="shared" si="23"/>
        <v>0</v>
      </c>
      <c r="M73" s="183"/>
      <c r="N73" s="414">
        <v>0</v>
      </c>
      <c r="O73" s="285">
        <v>0</v>
      </c>
      <c r="P73" s="285">
        <v>0</v>
      </c>
      <c r="Q73" s="285">
        <v>0</v>
      </c>
      <c r="R73" s="285">
        <v>0</v>
      </c>
      <c r="S73" s="285">
        <v>0</v>
      </c>
      <c r="T73" s="285">
        <v>0</v>
      </c>
      <c r="U73" s="285">
        <v>0</v>
      </c>
      <c r="V73" s="285">
        <v>0</v>
      </c>
      <c r="W73" s="285">
        <v>0</v>
      </c>
      <c r="X73" s="285">
        <v>0</v>
      </c>
      <c r="Y73" s="285">
        <v>0</v>
      </c>
      <c r="Z73" s="285">
        <v>0</v>
      </c>
      <c r="AA73" s="285">
        <v>0</v>
      </c>
      <c r="AB73" s="285">
        <v>0</v>
      </c>
      <c r="AC73" s="285">
        <v>0</v>
      </c>
      <c r="AD73" s="285">
        <v>0</v>
      </c>
      <c r="AE73" s="285">
        <v>0</v>
      </c>
      <c r="AF73" s="285">
        <v>0</v>
      </c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9"/>
      <c r="AR73" s="285"/>
      <c r="AS73" s="166"/>
      <c r="AT73" s="167">
        <f t="shared" si="24"/>
        <v>0</v>
      </c>
    </row>
    <row r="74" spans="1:46" s="168" customFormat="1" x14ac:dyDescent="0.35">
      <c r="A74" s="414">
        <v>23</v>
      </c>
      <c r="B74" s="862"/>
      <c r="C74" s="470" t="s">
        <v>511</v>
      </c>
      <c r="D74" s="287">
        <v>150</v>
      </c>
      <c r="E74" s="287">
        <v>195</v>
      </c>
      <c r="F74" s="471">
        <v>195</v>
      </c>
      <c r="G74" s="467">
        <v>195</v>
      </c>
      <c r="H74" s="467">
        <f t="shared" si="20"/>
        <v>0</v>
      </c>
      <c r="I74" s="286">
        <v>0</v>
      </c>
      <c r="J74" s="286">
        <f t="shared" si="21"/>
        <v>0</v>
      </c>
      <c r="K74" s="289">
        <f t="shared" si="22"/>
        <v>195</v>
      </c>
      <c r="L74" s="180">
        <f t="shared" si="23"/>
        <v>0</v>
      </c>
      <c r="M74" s="183"/>
      <c r="N74" s="414">
        <v>0</v>
      </c>
      <c r="O74" s="285">
        <v>0</v>
      </c>
      <c r="P74" s="285">
        <v>0</v>
      </c>
      <c r="Q74" s="285">
        <v>0</v>
      </c>
      <c r="R74" s="285">
        <v>0</v>
      </c>
      <c r="S74" s="285">
        <v>0</v>
      </c>
      <c r="T74" s="285">
        <v>0</v>
      </c>
      <c r="U74" s="285">
        <v>0</v>
      </c>
      <c r="V74" s="285">
        <v>0</v>
      </c>
      <c r="W74" s="285">
        <v>0</v>
      </c>
      <c r="X74" s="285">
        <v>0</v>
      </c>
      <c r="Y74" s="285">
        <v>0</v>
      </c>
      <c r="Z74" s="285">
        <v>0</v>
      </c>
      <c r="AA74" s="285">
        <v>0</v>
      </c>
      <c r="AB74" s="285">
        <v>0</v>
      </c>
      <c r="AC74" s="285">
        <v>0</v>
      </c>
      <c r="AD74" s="285">
        <v>0</v>
      </c>
      <c r="AE74" s="285">
        <v>0</v>
      </c>
      <c r="AF74" s="285">
        <v>0</v>
      </c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9"/>
      <c r="AR74" s="285"/>
      <c r="AS74" s="166"/>
      <c r="AT74" s="167">
        <f t="shared" si="24"/>
        <v>0</v>
      </c>
    </row>
    <row r="75" spans="1:46" s="168" customFormat="1" ht="31" x14ac:dyDescent="0.35">
      <c r="A75" s="414">
        <v>24</v>
      </c>
      <c r="B75" s="862"/>
      <c r="C75" s="465" t="s">
        <v>512</v>
      </c>
      <c r="D75" s="419">
        <v>400</v>
      </c>
      <c r="E75" s="287">
        <v>291</v>
      </c>
      <c r="F75" s="286">
        <v>290.74</v>
      </c>
      <c r="G75" s="289">
        <v>290.74</v>
      </c>
      <c r="H75" s="289">
        <f t="shared" si="20"/>
        <v>0.25999999999999091</v>
      </c>
      <c r="I75" s="286">
        <v>0</v>
      </c>
      <c r="J75" s="286">
        <f t="shared" si="21"/>
        <v>0</v>
      </c>
      <c r="K75" s="289">
        <f t="shared" si="22"/>
        <v>291</v>
      </c>
      <c r="L75" s="180">
        <f t="shared" si="23"/>
        <v>0</v>
      </c>
      <c r="M75" s="183"/>
      <c r="N75" s="414">
        <v>22</v>
      </c>
      <c r="O75" s="285">
        <v>0</v>
      </c>
      <c r="P75" s="285">
        <v>0</v>
      </c>
      <c r="Q75" s="285">
        <v>0</v>
      </c>
      <c r="R75" s="285">
        <v>0</v>
      </c>
      <c r="S75" s="285">
        <v>0</v>
      </c>
      <c r="T75" s="285">
        <v>0</v>
      </c>
      <c r="U75" s="285">
        <v>0</v>
      </c>
      <c r="V75" s="285">
        <v>0</v>
      </c>
      <c r="W75" s="285">
        <v>0</v>
      </c>
      <c r="X75" s="285">
        <v>0</v>
      </c>
      <c r="Y75" s="285">
        <v>0</v>
      </c>
      <c r="Z75" s="285">
        <v>0</v>
      </c>
      <c r="AA75" s="285">
        <v>0</v>
      </c>
      <c r="AB75" s="285">
        <v>0</v>
      </c>
      <c r="AC75" s="285">
        <v>0</v>
      </c>
      <c r="AD75" s="285">
        <v>0</v>
      </c>
      <c r="AE75" s="285">
        <v>0</v>
      </c>
      <c r="AF75" s="285">
        <v>0</v>
      </c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9"/>
      <c r="AR75" s="285"/>
      <c r="AS75" s="166"/>
      <c r="AT75" s="167">
        <f>SUM(O75:AS75)</f>
        <v>0</v>
      </c>
    </row>
    <row r="76" spans="1:46" s="168" customFormat="1" x14ac:dyDescent="0.35">
      <c r="A76" s="414">
        <v>26</v>
      </c>
      <c r="B76" s="862"/>
      <c r="C76" s="465" t="s">
        <v>475</v>
      </c>
      <c r="D76" s="419">
        <v>800</v>
      </c>
      <c r="E76" s="621">
        <f>807.5+55+65.18+48+727.2</f>
        <v>1702.88</v>
      </c>
      <c r="F76" s="621">
        <f>807.5+55+65.18+48+727.2</f>
        <v>1702.88</v>
      </c>
      <c r="G76" s="621">
        <f>807.5+55+65.18+48+727.2</f>
        <v>1702.88</v>
      </c>
      <c r="H76" s="467">
        <f t="shared" si="20"/>
        <v>0</v>
      </c>
      <c r="I76" s="286">
        <v>0</v>
      </c>
      <c r="J76" s="286">
        <f t="shared" si="21"/>
        <v>0</v>
      </c>
      <c r="K76" s="289">
        <f t="shared" si="22"/>
        <v>1702.88</v>
      </c>
      <c r="L76" s="180">
        <f t="shared" si="23"/>
        <v>0</v>
      </c>
      <c r="M76" s="183"/>
      <c r="N76" s="414">
        <v>0</v>
      </c>
      <c r="O76" s="285">
        <v>0</v>
      </c>
      <c r="P76" s="285">
        <v>0</v>
      </c>
      <c r="Q76" s="285">
        <v>0</v>
      </c>
      <c r="R76" s="285">
        <v>0</v>
      </c>
      <c r="S76" s="285">
        <v>0</v>
      </c>
      <c r="T76" s="285">
        <v>0</v>
      </c>
      <c r="U76" s="285">
        <v>0</v>
      </c>
      <c r="V76" s="285">
        <v>0</v>
      </c>
      <c r="W76" s="285">
        <v>0</v>
      </c>
      <c r="X76" s="285">
        <v>0</v>
      </c>
      <c r="Y76" s="285">
        <v>0</v>
      </c>
      <c r="Z76" s="285">
        <v>0</v>
      </c>
      <c r="AA76" s="285">
        <v>0</v>
      </c>
      <c r="AB76" s="285">
        <v>0</v>
      </c>
      <c r="AC76" s="285">
        <v>0</v>
      </c>
      <c r="AD76" s="285">
        <v>0</v>
      </c>
      <c r="AE76" s="285">
        <v>0</v>
      </c>
      <c r="AF76" s="285">
        <v>0</v>
      </c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9"/>
      <c r="AR76" s="285"/>
      <c r="AS76" s="166"/>
      <c r="AT76" s="167">
        <f>SUM(O76:AS76)</f>
        <v>0</v>
      </c>
    </row>
    <row r="77" spans="1:46" s="168" customFormat="1" ht="16" thickBot="1" x14ac:dyDescent="0.4">
      <c r="A77" s="414">
        <v>27</v>
      </c>
      <c r="B77" s="862"/>
      <c r="C77" s="465" t="s">
        <v>476</v>
      </c>
      <c r="D77" s="418">
        <v>0</v>
      </c>
      <c r="E77" s="689">
        <v>675</v>
      </c>
      <c r="F77" s="481">
        <v>0</v>
      </c>
      <c r="G77" s="467">
        <v>0</v>
      </c>
      <c r="H77" s="482">
        <f t="shared" si="20"/>
        <v>675</v>
      </c>
      <c r="I77" s="288">
        <v>0</v>
      </c>
      <c r="J77" s="288">
        <f t="shared" si="21"/>
        <v>0</v>
      </c>
      <c r="K77" s="245">
        <f t="shared" si="22"/>
        <v>675</v>
      </c>
      <c r="L77" s="297">
        <f t="shared" si="23"/>
        <v>0</v>
      </c>
      <c r="M77" s="183"/>
      <c r="N77" s="414">
        <v>0</v>
      </c>
      <c r="O77" s="285">
        <v>0</v>
      </c>
      <c r="P77" s="285">
        <v>0</v>
      </c>
      <c r="Q77" s="285">
        <v>0</v>
      </c>
      <c r="R77" s="285">
        <v>0</v>
      </c>
      <c r="S77" s="285">
        <v>0</v>
      </c>
      <c r="T77" s="285">
        <v>0</v>
      </c>
      <c r="U77" s="285">
        <v>0</v>
      </c>
      <c r="V77" s="285">
        <v>0</v>
      </c>
      <c r="W77" s="285">
        <v>0</v>
      </c>
      <c r="X77" s="285">
        <v>0</v>
      </c>
      <c r="Y77" s="285">
        <v>0</v>
      </c>
      <c r="Z77" s="285">
        <v>0</v>
      </c>
      <c r="AA77" s="285">
        <v>0</v>
      </c>
      <c r="AB77" s="285">
        <v>0</v>
      </c>
      <c r="AC77" s="285">
        <v>0</v>
      </c>
      <c r="AD77" s="285">
        <v>0</v>
      </c>
      <c r="AE77" s="285">
        <v>0</v>
      </c>
      <c r="AF77" s="285">
        <v>0</v>
      </c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9"/>
      <c r="AR77" s="285"/>
      <c r="AS77" s="166"/>
      <c r="AT77" s="232">
        <f>SUM(O77:AS77)</f>
        <v>0</v>
      </c>
    </row>
    <row r="78" spans="1:46" s="168" customFormat="1" ht="16" thickBot="1" x14ac:dyDescent="0.4">
      <c r="A78" s="199"/>
      <c r="B78" s="879"/>
      <c r="C78" s="294" t="s">
        <v>513</v>
      </c>
      <c r="D78" s="551">
        <f>SUM(D52:D77)</f>
        <v>15140</v>
      </c>
      <c r="E78" s="257">
        <f>SUM(E52:E77)</f>
        <v>20115.210000000003</v>
      </c>
      <c r="F78" s="295">
        <f>SUM(F52:F77)</f>
        <v>16722.48</v>
      </c>
      <c r="G78" s="211">
        <f>SUM(G52:G77)</f>
        <v>16722.59</v>
      </c>
      <c r="H78" s="295">
        <f t="shared" si="20"/>
        <v>3392.6200000000026</v>
      </c>
      <c r="I78" s="211">
        <f>SUM(I52:I77)</f>
        <v>7119.2999999999993</v>
      </c>
      <c r="J78" s="247">
        <f>SUM(J52:J77)</f>
        <v>7246.2999999999993</v>
      </c>
      <c r="K78" s="233">
        <f>E78-J78</f>
        <v>12868.910000000003</v>
      </c>
      <c r="L78" s="298">
        <f t="shared" si="23"/>
        <v>36.023983841083435</v>
      </c>
      <c r="M78" s="230"/>
      <c r="N78" s="257">
        <f t="shared" ref="N78:AT78" si="26">SUM(N52:N77)</f>
        <v>674</v>
      </c>
      <c r="O78" s="257">
        <f>SUM(O52:O77)</f>
        <v>27</v>
      </c>
      <c r="P78" s="257">
        <f>SUM(P52:P77)</f>
        <v>0</v>
      </c>
      <c r="Q78" s="257">
        <f t="shared" si="26"/>
        <v>0</v>
      </c>
      <c r="R78" s="257">
        <f t="shared" si="26"/>
        <v>0</v>
      </c>
      <c r="S78" s="257">
        <f t="shared" si="26"/>
        <v>0</v>
      </c>
      <c r="T78" s="257">
        <f t="shared" si="26"/>
        <v>0</v>
      </c>
      <c r="U78" s="257">
        <f t="shared" si="26"/>
        <v>2</v>
      </c>
      <c r="V78" s="257">
        <f t="shared" si="26"/>
        <v>0</v>
      </c>
      <c r="W78" s="257">
        <f t="shared" si="26"/>
        <v>0</v>
      </c>
      <c r="X78" s="257">
        <f t="shared" si="26"/>
        <v>8</v>
      </c>
      <c r="Y78" s="257">
        <f t="shared" si="26"/>
        <v>0</v>
      </c>
      <c r="Z78" s="257">
        <f t="shared" si="26"/>
        <v>0</v>
      </c>
      <c r="AA78" s="257">
        <f t="shared" si="26"/>
        <v>0</v>
      </c>
      <c r="AB78" s="257">
        <f t="shared" si="26"/>
        <v>0</v>
      </c>
      <c r="AC78" s="257">
        <f t="shared" si="26"/>
        <v>0</v>
      </c>
      <c r="AD78" s="257">
        <f t="shared" si="26"/>
        <v>90</v>
      </c>
      <c r="AE78" s="257">
        <f t="shared" si="26"/>
        <v>0</v>
      </c>
      <c r="AF78" s="257">
        <f t="shared" si="26"/>
        <v>0</v>
      </c>
      <c r="AG78" s="257">
        <f t="shared" si="26"/>
        <v>0</v>
      </c>
      <c r="AH78" s="257">
        <f t="shared" si="26"/>
        <v>0</v>
      </c>
      <c r="AI78" s="257">
        <f t="shared" si="26"/>
        <v>0</v>
      </c>
      <c r="AJ78" s="257">
        <f t="shared" si="26"/>
        <v>0</v>
      </c>
      <c r="AK78" s="257">
        <v>28</v>
      </c>
      <c r="AL78" s="257">
        <f t="shared" si="26"/>
        <v>0</v>
      </c>
      <c r="AM78" s="257">
        <f t="shared" si="26"/>
        <v>0</v>
      </c>
      <c r="AN78" s="257">
        <f t="shared" si="26"/>
        <v>0</v>
      </c>
      <c r="AO78" s="257">
        <f t="shared" si="26"/>
        <v>0</v>
      </c>
      <c r="AP78" s="257">
        <f t="shared" si="26"/>
        <v>0</v>
      </c>
      <c r="AQ78" s="257">
        <f t="shared" si="26"/>
        <v>0</v>
      </c>
      <c r="AR78" s="257">
        <f t="shared" si="26"/>
        <v>0</v>
      </c>
      <c r="AS78" s="257">
        <f t="shared" si="26"/>
        <v>0</v>
      </c>
      <c r="AT78" s="257">
        <f t="shared" si="26"/>
        <v>127</v>
      </c>
    </row>
    <row r="79" spans="1:46" s="197" customFormat="1" ht="8.15" customHeight="1" x14ac:dyDescent="0.35">
      <c r="A79" s="188"/>
      <c r="B79" s="229"/>
      <c r="C79" s="189"/>
      <c r="D79" s="203"/>
      <c r="E79" s="191"/>
      <c r="F79" s="191"/>
      <c r="G79" s="191"/>
      <c r="H79" s="191"/>
      <c r="I79" s="191"/>
      <c r="J79" s="191"/>
      <c r="K79" s="191"/>
      <c r="L79" s="204"/>
      <c r="M79" s="193"/>
      <c r="N79" s="202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206"/>
      <c r="AR79" s="191"/>
      <c r="AS79" s="207"/>
      <c r="AT79" s="208"/>
    </row>
    <row r="80" spans="1:46" s="176" customFormat="1" ht="16" thickBot="1" x14ac:dyDescent="0.4">
      <c r="A80" s="117">
        <v>29</v>
      </c>
      <c r="B80" s="881" t="s">
        <v>125</v>
      </c>
      <c r="C80" s="125" t="s">
        <v>514</v>
      </c>
      <c r="D80" s="215">
        <v>1000</v>
      </c>
      <c r="E80" s="511">
        <v>1000</v>
      </c>
      <c r="F80" s="511">
        <v>1000</v>
      </c>
      <c r="G80" s="511">
        <v>811</v>
      </c>
      <c r="H80" s="105">
        <f>E80-G80</f>
        <v>189</v>
      </c>
      <c r="I80" s="215">
        <v>0</v>
      </c>
      <c r="J80" s="215">
        <f>I80+AT80</f>
        <v>0</v>
      </c>
      <c r="K80" s="215">
        <f>E80-J80</f>
        <v>1000</v>
      </c>
      <c r="L80" s="299">
        <f>J80/E80%</f>
        <v>0</v>
      </c>
      <c r="M80" s="184"/>
      <c r="N80" s="117">
        <v>0</v>
      </c>
      <c r="O80" s="119">
        <v>0</v>
      </c>
      <c r="P80" s="185">
        <v>0</v>
      </c>
      <c r="Q80" s="119">
        <v>0</v>
      </c>
      <c r="R80" s="119">
        <v>0</v>
      </c>
      <c r="S80" s="185">
        <v>0</v>
      </c>
      <c r="T80" s="185">
        <v>0</v>
      </c>
      <c r="U80" s="185">
        <v>0</v>
      </c>
      <c r="V80" s="185">
        <v>0</v>
      </c>
      <c r="W80" s="185">
        <v>0</v>
      </c>
      <c r="X80" s="185">
        <v>0</v>
      </c>
      <c r="Y80" s="185">
        <v>0</v>
      </c>
      <c r="Z80" s="185">
        <v>0</v>
      </c>
      <c r="AA80" s="185">
        <v>0</v>
      </c>
      <c r="AB80" s="185">
        <v>0</v>
      </c>
      <c r="AC80" s="185">
        <v>0</v>
      </c>
      <c r="AD80" s="119"/>
      <c r="AE80" s="186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74"/>
      <c r="AR80" s="119"/>
      <c r="AS80" s="175"/>
      <c r="AT80" s="187">
        <f>SUM(O80:AS80)</f>
        <v>0</v>
      </c>
    </row>
    <row r="81" spans="1:46" s="176" customFormat="1" ht="16" thickBot="1" x14ac:dyDescent="0.4">
      <c r="A81" s="117"/>
      <c r="B81" s="882"/>
      <c r="C81" s="222" t="s">
        <v>515</v>
      </c>
      <c r="D81" s="552">
        <f>SUM(D80)</f>
        <v>1000</v>
      </c>
      <c r="E81" s="516">
        <f>SUM(E80)</f>
        <v>1000</v>
      </c>
      <c r="F81" s="516">
        <f>SUM(F80)</f>
        <v>1000</v>
      </c>
      <c r="G81" s="517">
        <f>SUM(G80)</f>
        <v>811</v>
      </c>
      <c r="H81" s="517">
        <f>E81-G81</f>
        <v>189</v>
      </c>
      <c r="I81" s="223">
        <v>0</v>
      </c>
      <c r="J81" s="223">
        <f>SUM(J80)</f>
        <v>0</v>
      </c>
      <c r="K81" s="223">
        <f>E81-J81</f>
        <v>1000</v>
      </c>
      <c r="L81" s="300">
        <f>J81/E81%</f>
        <v>0</v>
      </c>
      <c r="M81" s="184"/>
      <c r="N81" s="353">
        <f>N80</f>
        <v>0</v>
      </c>
      <c r="O81" s="353">
        <f t="shared" ref="O81:AT81" si="27">O80</f>
        <v>0</v>
      </c>
      <c r="P81" s="353">
        <f t="shared" si="27"/>
        <v>0</v>
      </c>
      <c r="Q81" s="353">
        <f t="shared" si="27"/>
        <v>0</v>
      </c>
      <c r="R81" s="353">
        <f t="shared" si="27"/>
        <v>0</v>
      </c>
      <c r="S81" s="353">
        <f t="shared" si="27"/>
        <v>0</v>
      </c>
      <c r="T81" s="353">
        <f t="shared" si="27"/>
        <v>0</v>
      </c>
      <c r="U81" s="353">
        <f t="shared" si="27"/>
        <v>0</v>
      </c>
      <c r="V81" s="353">
        <f t="shared" si="27"/>
        <v>0</v>
      </c>
      <c r="W81" s="353">
        <f>W80</f>
        <v>0</v>
      </c>
      <c r="X81" s="353">
        <f t="shared" si="27"/>
        <v>0</v>
      </c>
      <c r="Y81" s="353">
        <f t="shared" si="27"/>
        <v>0</v>
      </c>
      <c r="Z81" s="353">
        <f t="shared" si="27"/>
        <v>0</v>
      </c>
      <c r="AA81" s="353">
        <f t="shared" si="27"/>
        <v>0</v>
      </c>
      <c r="AB81" s="353">
        <f t="shared" si="27"/>
        <v>0</v>
      </c>
      <c r="AC81" s="353">
        <f t="shared" si="27"/>
        <v>0</v>
      </c>
      <c r="AD81" s="353">
        <f t="shared" si="27"/>
        <v>0</v>
      </c>
      <c r="AE81" s="353">
        <f t="shared" si="27"/>
        <v>0</v>
      </c>
      <c r="AF81" s="353">
        <f t="shared" si="27"/>
        <v>0</v>
      </c>
      <c r="AG81" s="353">
        <f t="shared" si="27"/>
        <v>0</v>
      </c>
      <c r="AH81" s="353">
        <f>AH80</f>
        <v>0</v>
      </c>
      <c r="AI81" s="353">
        <f t="shared" si="27"/>
        <v>0</v>
      </c>
      <c r="AJ81" s="353">
        <f t="shared" si="27"/>
        <v>0</v>
      </c>
      <c r="AK81" s="353">
        <f t="shared" si="27"/>
        <v>0</v>
      </c>
      <c r="AL81" s="353">
        <f t="shared" si="27"/>
        <v>0</v>
      </c>
      <c r="AM81" s="353">
        <f t="shared" si="27"/>
        <v>0</v>
      </c>
      <c r="AN81" s="353">
        <f t="shared" si="27"/>
        <v>0</v>
      </c>
      <c r="AO81" s="353">
        <f t="shared" si="27"/>
        <v>0</v>
      </c>
      <c r="AP81" s="353">
        <f t="shared" si="27"/>
        <v>0</v>
      </c>
      <c r="AQ81" s="353">
        <f t="shared" si="27"/>
        <v>0</v>
      </c>
      <c r="AR81" s="353">
        <f t="shared" si="27"/>
        <v>0</v>
      </c>
      <c r="AS81" s="353">
        <f t="shared" si="27"/>
        <v>0</v>
      </c>
      <c r="AT81" s="353">
        <f t="shared" si="27"/>
        <v>0</v>
      </c>
    </row>
    <row r="82" spans="1:46" s="197" customFormat="1" ht="8.15" customHeight="1" x14ac:dyDescent="0.35">
      <c r="A82" s="188"/>
      <c r="B82" s="229"/>
      <c r="C82" s="189"/>
      <c r="D82" s="203"/>
      <c r="E82" s="190"/>
      <c r="F82" s="190"/>
      <c r="G82" s="191"/>
      <c r="H82" s="191"/>
      <c r="I82" s="191"/>
      <c r="J82" s="191"/>
      <c r="K82" s="191"/>
      <c r="L82" s="204"/>
      <c r="M82" s="193"/>
      <c r="N82" s="188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4"/>
      <c r="AR82" s="190"/>
      <c r="AS82" s="195"/>
      <c r="AT82" s="196"/>
    </row>
    <row r="83" spans="1:46" s="177" customFormat="1" ht="15.65" customHeight="1" x14ac:dyDescent="0.35">
      <c r="A83" s="425">
        <v>22</v>
      </c>
      <c r="B83" s="876" t="s">
        <v>127</v>
      </c>
      <c r="C83" s="520" t="s">
        <v>516</v>
      </c>
      <c r="D83" s="427">
        <v>550</v>
      </c>
      <c r="E83" s="427">
        <v>600</v>
      </c>
      <c r="F83" s="521">
        <v>0</v>
      </c>
      <c r="G83" s="521">
        <v>0</v>
      </c>
      <c r="H83" s="427">
        <f>E83-G83</f>
        <v>600</v>
      </c>
      <c r="I83" s="427">
        <v>0</v>
      </c>
      <c r="J83" s="427">
        <f>I83+AT83</f>
        <v>0</v>
      </c>
      <c r="K83" s="427">
        <f>E83-J83</f>
        <v>600</v>
      </c>
      <c r="L83" s="522">
        <f>J83/E83*100</f>
        <v>0</v>
      </c>
      <c r="M83" s="523"/>
      <c r="N83" s="425">
        <v>0</v>
      </c>
      <c r="O83" s="427">
        <v>0</v>
      </c>
      <c r="P83" s="524">
        <v>0</v>
      </c>
      <c r="Q83" s="427">
        <v>0</v>
      </c>
      <c r="R83" s="427">
        <v>0</v>
      </c>
      <c r="S83" s="524">
        <v>0</v>
      </c>
      <c r="T83" s="524">
        <v>0</v>
      </c>
      <c r="U83" s="524">
        <v>0</v>
      </c>
      <c r="V83" s="524">
        <v>0</v>
      </c>
      <c r="W83" s="524">
        <v>0</v>
      </c>
      <c r="X83" s="524">
        <v>0</v>
      </c>
      <c r="Y83" s="524">
        <v>0</v>
      </c>
      <c r="Z83" s="487">
        <v>0</v>
      </c>
      <c r="AA83" s="487">
        <v>0</v>
      </c>
      <c r="AB83" s="487">
        <v>0</v>
      </c>
      <c r="AC83" s="487">
        <v>0</v>
      </c>
      <c r="AD83" s="487">
        <v>0</v>
      </c>
      <c r="AE83" s="487">
        <v>0</v>
      </c>
      <c r="AF83" s="487">
        <v>0</v>
      </c>
      <c r="AG83" s="427"/>
      <c r="AH83" s="427"/>
      <c r="AI83" s="427"/>
      <c r="AJ83" s="427"/>
      <c r="AK83" s="427"/>
      <c r="AL83" s="427"/>
      <c r="AM83" s="427"/>
      <c r="AN83" s="427"/>
      <c r="AO83" s="427"/>
      <c r="AP83" s="427"/>
      <c r="AQ83" s="428"/>
      <c r="AR83" s="427"/>
      <c r="AS83" s="431"/>
      <c r="AT83" s="525">
        <f t="shared" si="24"/>
        <v>0</v>
      </c>
    </row>
    <row r="84" spans="1:46" s="177" customFormat="1" ht="16" thickBot="1" x14ac:dyDescent="0.4">
      <c r="A84" s="425">
        <v>26</v>
      </c>
      <c r="B84" s="877"/>
      <c r="C84" s="520" t="s">
        <v>517</v>
      </c>
      <c r="D84" s="427">
        <v>200</v>
      </c>
      <c r="E84" s="427">
        <v>200</v>
      </c>
      <c r="F84" s="521">
        <v>0</v>
      </c>
      <c r="G84" s="521">
        <v>0</v>
      </c>
      <c r="H84" s="427">
        <f>E84-G84</f>
        <v>200</v>
      </c>
      <c r="I84" s="427">
        <v>0</v>
      </c>
      <c r="J84" s="427">
        <f>I84+AT84</f>
        <v>0</v>
      </c>
      <c r="K84" s="427">
        <f>E84-J84</f>
        <v>200</v>
      </c>
      <c r="L84" s="522">
        <f>J84/E84*100</f>
        <v>0</v>
      </c>
      <c r="M84" s="523"/>
      <c r="N84" s="425">
        <v>0</v>
      </c>
      <c r="O84" s="427">
        <v>0</v>
      </c>
      <c r="P84" s="524">
        <v>0</v>
      </c>
      <c r="Q84" s="427">
        <v>0</v>
      </c>
      <c r="R84" s="427">
        <v>0</v>
      </c>
      <c r="S84" s="524">
        <v>0</v>
      </c>
      <c r="T84" s="524">
        <v>0</v>
      </c>
      <c r="U84" s="524">
        <v>0</v>
      </c>
      <c r="V84" s="524">
        <v>0</v>
      </c>
      <c r="W84" s="524">
        <v>0</v>
      </c>
      <c r="X84" s="524">
        <v>0</v>
      </c>
      <c r="Y84" s="524">
        <v>0</v>
      </c>
      <c r="Z84" s="487">
        <v>0</v>
      </c>
      <c r="AA84" s="487">
        <v>0</v>
      </c>
      <c r="AB84" s="487">
        <v>0</v>
      </c>
      <c r="AC84" s="487">
        <v>0</v>
      </c>
      <c r="AD84" s="487">
        <v>0</v>
      </c>
      <c r="AE84" s="487">
        <v>0</v>
      </c>
      <c r="AF84" s="487">
        <v>0</v>
      </c>
      <c r="AG84" s="427"/>
      <c r="AH84" s="427"/>
      <c r="AI84" s="427"/>
      <c r="AJ84" s="427"/>
      <c r="AK84" s="427"/>
      <c r="AL84" s="427"/>
      <c r="AM84" s="427"/>
      <c r="AN84" s="427"/>
      <c r="AO84" s="427"/>
      <c r="AP84" s="427"/>
      <c r="AQ84" s="428"/>
      <c r="AR84" s="427"/>
      <c r="AS84" s="431"/>
      <c r="AT84" s="525">
        <f t="shared" si="24"/>
        <v>0</v>
      </c>
    </row>
    <row r="85" spans="1:46" s="177" customFormat="1" ht="16" thickBot="1" x14ac:dyDescent="0.4">
      <c r="A85" s="435"/>
      <c r="B85" s="527"/>
      <c r="C85" s="438" t="s">
        <v>518</v>
      </c>
      <c r="D85" s="439">
        <f>SUM(D83:D84)</f>
        <v>750</v>
      </c>
      <c r="E85" s="528">
        <f>SUM(E83:E84)</f>
        <v>800</v>
      </c>
      <c r="F85" s="529">
        <f>SUM(F83:F84)</f>
        <v>0</v>
      </c>
      <c r="G85" s="590">
        <f>SUM(G83:G84)</f>
        <v>0</v>
      </c>
      <c r="H85" s="427">
        <f>E85-G85</f>
        <v>800</v>
      </c>
      <c r="I85" s="440">
        <v>0</v>
      </c>
      <c r="J85" s="440">
        <f>SUM(J83:J84)</f>
        <v>0</v>
      </c>
      <c r="K85" s="546">
        <f>E85-J85</f>
        <v>800</v>
      </c>
      <c r="L85" s="547">
        <f>J85/E85*100</f>
        <v>0</v>
      </c>
      <c r="M85" s="526"/>
      <c r="N85" s="548">
        <f t="shared" ref="N85:AT85" si="28">SUM(N83:N84)</f>
        <v>0</v>
      </c>
      <c r="O85" s="548">
        <f t="shared" si="28"/>
        <v>0</v>
      </c>
      <c r="P85" s="548">
        <f t="shared" si="28"/>
        <v>0</v>
      </c>
      <c r="Q85" s="548">
        <f t="shared" si="28"/>
        <v>0</v>
      </c>
      <c r="R85" s="548">
        <f t="shared" si="28"/>
        <v>0</v>
      </c>
      <c r="S85" s="548">
        <f t="shared" si="28"/>
        <v>0</v>
      </c>
      <c r="T85" s="548">
        <f t="shared" si="28"/>
        <v>0</v>
      </c>
      <c r="U85" s="548">
        <f t="shared" si="28"/>
        <v>0</v>
      </c>
      <c r="V85" s="548">
        <f t="shared" si="28"/>
        <v>0</v>
      </c>
      <c r="W85" s="548">
        <f t="shared" si="28"/>
        <v>0</v>
      </c>
      <c r="X85" s="548">
        <f t="shared" si="28"/>
        <v>0</v>
      </c>
      <c r="Y85" s="548">
        <f t="shared" si="28"/>
        <v>0</v>
      </c>
      <c r="Z85" s="548">
        <f t="shared" si="28"/>
        <v>0</v>
      </c>
      <c r="AA85" s="548">
        <f t="shared" si="28"/>
        <v>0</v>
      </c>
      <c r="AB85" s="548">
        <f t="shared" si="28"/>
        <v>0</v>
      </c>
      <c r="AC85" s="548">
        <f t="shared" si="28"/>
        <v>0</v>
      </c>
      <c r="AD85" s="548">
        <f t="shared" si="28"/>
        <v>0</v>
      </c>
      <c r="AE85" s="548">
        <f t="shared" si="28"/>
        <v>0</v>
      </c>
      <c r="AF85" s="548">
        <f t="shared" si="28"/>
        <v>0</v>
      </c>
      <c r="AG85" s="548">
        <f t="shared" si="28"/>
        <v>0</v>
      </c>
      <c r="AH85" s="548">
        <f t="shared" si="28"/>
        <v>0</v>
      </c>
      <c r="AI85" s="548">
        <f t="shared" si="28"/>
        <v>0</v>
      </c>
      <c r="AJ85" s="548">
        <f t="shared" si="28"/>
        <v>0</v>
      </c>
      <c r="AK85" s="548">
        <f t="shared" si="28"/>
        <v>0</v>
      </c>
      <c r="AL85" s="548">
        <f t="shared" si="28"/>
        <v>0</v>
      </c>
      <c r="AM85" s="548">
        <f t="shared" si="28"/>
        <v>0</v>
      </c>
      <c r="AN85" s="548">
        <f t="shared" si="28"/>
        <v>0</v>
      </c>
      <c r="AO85" s="548">
        <f t="shared" si="28"/>
        <v>0</v>
      </c>
      <c r="AP85" s="548">
        <f t="shared" si="28"/>
        <v>0</v>
      </c>
      <c r="AQ85" s="548">
        <f t="shared" si="28"/>
        <v>0</v>
      </c>
      <c r="AR85" s="548">
        <f t="shared" si="28"/>
        <v>0</v>
      </c>
      <c r="AS85" s="548">
        <f t="shared" si="28"/>
        <v>0</v>
      </c>
      <c r="AT85" s="548">
        <f t="shared" si="28"/>
        <v>0</v>
      </c>
    </row>
    <row r="86" spans="1:46" s="197" customFormat="1" ht="8.15" customHeight="1" x14ac:dyDescent="0.35">
      <c r="A86" s="188"/>
      <c r="B86" s="229"/>
      <c r="C86" s="189"/>
      <c r="D86" s="203"/>
      <c r="E86" s="190"/>
      <c r="F86" s="190"/>
      <c r="G86" s="191"/>
      <c r="H86" s="191"/>
      <c r="I86" s="191"/>
      <c r="J86" s="191"/>
      <c r="K86" s="191"/>
      <c r="L86" s="204"/>
      <c r="M86" s="193"/>
      <c r="N86" s="188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4"/>
      <c r="AR86" s="190"/>
      <c r="AS86" s="195"/>
      <c r="AT86" s="196"/>
    </row>
    <row r="87" spans="1:46" s="178" customFormat="1" ht="19.5" customHeight="1" x14ac:dyDescent="0.35">
      <c r="A87" s="485">
        <v>27</v>
      </c>
      <c r="B87" s="632" t="s">
        <v>485</v>
      </c>
      <c r="C87" s="532" t="s">
        <v>519</v>
      </c>
      <c r="D87" s="487">
        <v>0</v>
      </c>
      <c r="E87" s="158">
        <f>276.3+196.618</f>
        <v>472.91800000000001</v>
      </c>
      <c r="F87" s="158">
        <f>276.3+196.618</f>
        <v>472.91800000000001</v>
      </c>
      <c r="G87" s="158">
        <f>276.3+196.618</f>
        <v>472.91800000000001</v>
      </c>
      <c r="H87" s="487">
        <f>E87-G87</f>
        <v>0</v>
      </c>
      <c r="I87" s="487">
        <v>0</v>
      </c>
      <c r="J87" s="487">
        <f>I87+AT87</f>
        <v>0</v>
      </c>
      <c r="K87" s="487">
        <f>E87-J87</f>
        <v>472.91800000000001</v>
      </c>
      <c r="L87" s="534">
        <f>J87/E87*100</f>
        <v>0</v>
      </c>
      <c r="M87" s="535"/>
      <c r="N87" s="485">
        <v>0</v>
      </c>
      <c r="O87" s="487">
        <v>0</v>
      </c>
      <c r="P87" s="536">
        <v>0</v>
      </c>
      <c r="Q87" s="487">
        <v>0</v>
      </c>
      <c r="R87" s="487">
        <v>0</v>
      </c>
      <c r="S87" s="536">
        <v>0</v>
      </c>
      <c r="T87" s="536">
        <v>0</v>
      </c>
      <c r="U87" s="536">
        <v>0</v>
      </c>
      <c r="V87" s="536">
        <v>0</v>
      </c>
      <c r="W87" s="536">
        <v>0</v>
      </c>
      <c r="X87" s="536">
        <v>0</v>
      </c>
      <c r="Y87" s="536">
        <v>0</v>
      </c>
      <c r="Z87" s="487">
        <v>0</v>
      </c>
      <c r="AA87" s="487">
        <v>0</v>
      </c>
      <c r="AB87" s="487">
        <v>0</v>
      </c>
      <c r="AC87" s="487">
        <v>0</v>
      </c>
      <c r="AD87" s="487">
        <v>0</v>
      </c>
      <c r="AE87" s="487">
        <v>0</v>
      </c>
      <c r="AF87" s="487">
        <v>0</v>
      </c>
      <c r="AG87" s="487"/>
      <c r="AH87" s="487"/>
      <c r="AI87" s="487"/>
      <c r="AJ87" s="487"/>
      <c r="AK87" s="487"/>
      <c r="AL87" s="487"/>
      <c r="AM87" s="487"/>
      <c r="AN87" s="487"/>
      <c r="AO87" s="487"/>
      <c r="AP87" s="487"/>
      <c r="AQ87" s="157"/>
      <c r="AR87" s="487"/>
      <c r="AS87" s="490"/>
      <c r="AT87" s="538">
        <f t="shared" si="24"/>
        <v>0</v>
      </c>
    </row>
    <row r="88" spans="1:46" s="178" customFormat="1" ht="16" thickBot="1" x14ac:dyDescent="0.4">
      <c r="A88" s="485">
        <v>28</v>
      </c>
      <c r="B88" s="632" t="s">
        <v>128</v>
      </c>
      <c r="C88" s="532" t="s">
        <v>520</v>
      </c>
      <c r="D88" s="494">
        <v>0</v>
      </c>
      <c r="E88" s="487">
        <v>650</v>
      </c>
      <c r="F88" s="533">
        <v>0</v>
      </c>
      <c r="G88" s="487">
        <v>0</v>
      </c>
      <c r="H88" s="487">
        <f>E88-G88</f>
        <v>650</v>
      </c>
      <c r="I88" s="494">
        <v>0</v>
      </c>
      <c r="J88" s="494">
        <f>I88+AT88</f>
        <v>0</v>
      </c>
      <c r="K88" s="494">
        <f>E88-J88</f>
        <v>650</v>
      </c>
      <c r="L88" s="549">
        <f>J88/E88*100</f>
        <v>0</v>
      </c>
      <c r="M88" s="535"/>
      <c r="N88" s="485">
        <v>0</v>
      </c>
      <c r="O88" s="487">
        <v>0</v>
      </c>
      <c r="P88" s="536">
        <v>0</v>
      </c>
      <c r="Q88" s="487">
        <v>0</v>
      </c>
      <c r="R88" s="487">
        <v>0</v>
      </c>
      <c r="S88" s="536">
        <v>0</v>
      </c>
      <c r="T88" s="536">
        <v>0</v>
      </c>
      <c r="U88" s="536">
        <v>0</v>
      </c>
      <c r="V88" s="536">
        <v>0</v>
      </c>
      <c r="W88" s="536">
        <v>0</v>
      </c>
      <c r="X88" s="536">
        <v>0</v>
      </c>
      <c r="Y88" s="536">
        <v>0</v>
      </c>
      <c r="Z88" s="487">
        <v>0</v>
      </c>
      <c r="AA88" s="487">
        <v>0</v>
      </c>
      <c r="AB88" s="487">
        <v>0</v>
      </c>
      <c r="AC88" s="487">
        <v>0</v>
      </c>
      <c r="AD88" s="487">
        <v>0</v>
      </c>
      <c r="AE88" s="487">
        <v>0</v>
      </c>
      <c r="AF88" s="487">
        <v>0</v>
      </c>
      <c r="AG88" s="487"/>
      <c r="AH88" s="487"/>
      <c r="AI88" s="487"/>
      <c r="AJ88" s="487"/>
      <c r="AK88" s="487"/>
      <c r="AL88" s="487"/>
      <c r="AM88" s="487"/>
      <c r="AN88" s="487"/>
      <c r="AO88" s="487"/>
      <c r="AP88" s="487"/>
      <c r="AQ88" s="157"/>
      <c r="AR88" s="487"/>
      <c r="AS88" s="490"/>
      <c r="AT88" s="538">
        <f t="shared" si="24"/>
        <v>0</v>
      </c>
    </row>
    <row r="89" spans="1:46" s="178" customFormat="1" ht="16" thickBot="1" x14ac:dyDescent="0.4">
      <c r="A89" s="539"/>
      <c r="B89" s="540"/>
      <c r="C89" s="541" t="s">
        <v>521</v>
      </c>
      <c r="D89" s="502">
        <f>SUM(D87:D88)</f>
        <v>0</v>
      </c>
      <c r="E89" s="628">
        <f>SUM(E87:E88)</f>
        <v>1122.9180000000001</v>
      </c>
      <c r="F89" s="629">
        <f>SUM(F87:F88)</f>
        <v>472.91800000000001</v>
      </c>
      <c r="G89" s="620">
        <f>SUM(G87:G88)</f>
        <v>472.91800000000001</v>
      </c>
      <c r="H89" s="487">
        <f>E89-G89</f>
        <v>650.00000000000011</v>
      </c>
      <c r="I89" s="503">
        <v>0</v>
      </c>
      <c r="J89" s="503">
        <f>SUM(J87:J88)</f>
        <v>0</v>
      </c>
      <c r="K89" s="637">
        <f>E89-J89</f>
        <v>1122.9180000000001</v>
      </c>
      <c r="L89" s="550">
        <f>J89/E89*100</f>
        <v>0</v>
      </c>
      <c r="M89" s="542"/>
      <c r="N89" s="539">
        <f>SUM(N87:N88)</f>
        <v>0</v>
      </c>
      <c r="O89" s="539">
        <f t="shared" ref="O89:AS89" si="29">SUM(O87:O88)</f>
        <v>0</v>
      </c>
      <c r="P89" s="539">
        <f t="shared" si="29"/>
        <v>0</v>
      </c>
      <c r="Q89" s="539">
        <f t="shared" si="29"/>
        <v>0</v>
      </c>
      <c r="R89" s="539">
        <f t="shared" si="29"/>
        <v>0</v>
      </c>
      <c r="S89" s="539">
        <f t="shared" si="29"/>
        <v>0</v>
      </c>
      <c r="T89" s="539">
        <f t="shared" si="29"/>
        <v>0</v>
      </c>
      <c r="U89" s="539">
        <f t="shared" si="29"/>
        <v>0</v>
      </c>
      <c r="V89" s="539">
        <f t="shared" si="29"/>
        <v>0</v>
      </c>
      <c r="W89" s="539">
        <f t="shared" si="29"/>
        <v>0</v>
      </c>
      <c r="X89" s="539">
        <f t="shared" si="29"/>
        <v>0</v>
      </c>
      <c r="Y89" s="539">
        <f t="shared" si="29"/>
        <v>0</v>
      </c>
      <c r="Z89" s="539">
        <f t="shared" si="29"/>
        <v>0</v>
      </c>
      <c r="AA89" s="539">
        <f t="shared" si="29"/>
        <v>0</v>
      </c>
      <c r="AB89" s="539">
        <f t="shared" si="29"/>
        <v>0</v>
      </c>
      <c r="AC89" s="539">
        <f t="shared" si="29"/>
        <v>0</v>
      </c>
      <c r="AD89" s="539">
        <f t="shared" si="29"/>
        <v>0</v>
      </c>
      <c r="AE89" s="539">
        <f t="shared" si="29"/>
        <v>0</v>
      </c>
      <c r="AF89" s="539">
        <f t="shared" si="29"/>
        <v>0</v>
      </c>
      <c r="AG89" s="539">
        <f t="shared" si="29"/>
        <v>0</v>
      </c>
      <c r="AH89" s="539">
        <f t="shared" si="29"/>
        <v>0</v>
      </c>
      <c r="AI89" s="539">
        <f t="shared" si="29"/>
        <v>0</v>
      </c>
      <c r="AJ89" s="539">
        <f t="shared" si="29"/>
        <v>0</v>
      </c>
      <c r="AK89" s="539">
        <f t="shared" si="29"/>
        <v>0</v>
      </c>
      <c r="AL89" s="539">
        <f t="shared" si="29"/>
        <v>0</v>
      </c>
      <c r="AM89" s="539">
        <f t="shared" si="29"/>
        <v>0</v>
      </c>
      <c r="AN89" s="539">
        <f t="shared" si="29"/>
        <v>0</v>
      </c>
      <c r="AO89" s="539">
        <f t="shared" si="29"/>
        <v>0</v>
      </c>
      <c r="AP89" s="539">
        <f t="shared" si="29"/>
        <v>0</v>
      </c>
      <c r="AQ89" s="539">
        <f t="shared" si="29"/>
        <v>0</v>
      </c>
      <c r="AR89" s="539">
        <f t="shared" si="29"/>
        <v>0</v>
      </c>
      <c r="AS89" s="539">
        <f t="shared" si="29"/>
        <v>0</v>
      </c>
      <c r="AT89" s="539">
        <f>SUM(AT87:AT88)</f>
        <v>0</v>
      </c>
    </row>
    <row r="90" spans="1:46" ht="52" customHeight="1" thickBot="1" x14ac:dyDescent="0.4">
      <c r="A90" s="86"/>
      <c r="B90" s="228"/>
      <c r="C90" s="198" t="s">
        <v>522</v>
      </c>
      <c r="D90" s="234">
        <f>SUM(D78+D81+D85+D89)</f>
        <v>16890</v>
      </c>
      <c r="E90" s="234">
        <f>E78+E81+E85+E89</f>
        <v>23038.128000000004</v>
      </c>
      <c r="F90" s="234">
        <f>F78+F81+F85+F89</f>
        <v>18195.398000000001</v>
      </c>
      <c r="G90" s="234">
        <f>G78+G81+G85+G89</f>
        <v>18006.508000000002</v>
      </c>
      <c r="H90" s="234">
        <f>E90-G90</f>
        <v>5031.6200000000026</v>
      </c>
      <c r="I90" s="258">
        <f>I78+I81+I85+I89</f>
        <v>7119.2999999999993</v>
      </c>
      <c r="J90" s="258">
        <f>J78+J81+J85+J89</f>
        <v>7246.2999999999993</v>
      </c>
      <c r="K90" s="258">
        <f>E90-J90</f>
        <v>15791.828000000005</v>
      </c>
      <c r="L90" s="259">
        <f>J90/E90%</f>
        <v>31.453510458835883</v>
      </c>
      <c r="M90" s="237"/>
      <c r="N90" s="260">
        <f t="shared" ref="N90:AT90" si="30">N78+N81+N85+N89</f>
        <v>674</v>
      </c>
      <c r="O90" s="260">
        <f t="shared" si="30"/>
        <v>27</v>
      </c>
      <c r="P90" s="260">
        <f t="shared" si="30"/>
        <v>0</v>
      </c>
      <c r="Q90" s="260">
        <f t="shared" si="30"/>
        <v>0</v>
      </c>
      <c r="R90" s="260">
        <f t="shared" si="30"/>
        <v>0</v>
      </c>
      <c r="S90" s="260">
        <f t="shared" si="30"/>
        <v>0</v>
      </c>
      <c r="T90" s="260">
        <f t="shared" si="30"/>
        <v>0</v>
      </c>
      <c r="U90" s="260">
        <f t="shared" si="30"/>
        <v>2</v>
      </c>
      <c r="V90" s="260">
        <f t="shared" si="30"/>
        <v>0</v>
      </c>
      <c r="W90" s="260">
        <f t="shared" si="30"/>
        <v>0</v>
      </c>
      <c r="X90" s="260">
        <f t="shared" si="30"/>
        <v>8</v>
      </c>
      <c r="Y90" s="260">
        <f t="shared" si="30"/>
        <v>0</v>
      </c>
      <c r="Z90" s="260">
        <f t="shared" si="30"/>
        <v>0</v>
      </c>
      <c r="AA90" s="260">
        <f t="shared" si="30"/>
        <v>0</v>
      </c>
      <c r="AB90" s="260">
        <f t="shared" si="30"/>
        <v>0</v>
      </c>
      <c r="AC90" s="260">
        <f t="shared" si="30"/>
        <v>0</v>
      </c>
      <c r="AD90" s="261">
        <f t="shared" si="30"/>
        <v>90</v>
      </c>
      <c r="AE90" s="260">
        <f t="shared" si="30"/>
        <v>0</v>
      </c>
      <c r="AF90" s="260">
        <f t="shared" si="30"/>
        <v>0</v>
      </c>
      <c r="AG90" s="260">
        <f t="shared" si="30"/>
        <v>0</v>
      </c>
      <c r="AH90" s="260">
        <f t="shared" si="30"/>
        <v>0</v>
      </c>
      <c r="AI90" s="260">
        <f t="shared" si="30"/>
        <v>0</v>
      </c>
      <c r="AJ90" s="260">
        <f t="shared" si="30"/>
        <v>0</v>
      </c>
      <c r="AK90" s="260">
        <f t="shared" si="30"/>
        <v>28</v>
      </c>
      <c r="AL90" s="260">
        <f t="shared" si="30"/>
        <v>0</v>
      </c>
      <c r="AM90" s="260">
        <f t="shared" si="30"/>
        <v>0</v>
      </c>
      <c r="AN90" s="260">
        <f t="shared" si="30"/>
        <v>0</v>
      </c>
      <c r="AO90" s="260">
        <f t="shared" si="30"/>
        <v>0</v>
      </c>
      <c r="AP90" s="260">
        <f t="shared" si="30"/>
        <v>0</v>
      </c>
      <c r="AQ90" s="260">
        <f t="shared" si="30"/>
        <v>0</v>
      </c>
      <c r="AR90" s="260">
        <f t="shared" si="30"/>
        <v>0</v>
      </c>
      <c r="AS90" s="260">
        <f t="shared" si="30"/>
        <v>0</v>
      </c>
      <c r="AT90" s="260">
        <f t="shared" si="30"/>
        <v>127</v>
      </c>
    </row>
    <row r="91" spans="1:46" ht="56.5" customHeight="1" thickBot="1" x14ac:dyDescent="0.55000000000000004">
      <c r="A91" s="239"/>
      <c r="B91" s="240"/>
      <c r="C91" s="241" t="s">
        <v>523</v>
      </c>
      <c r="D91" s="242">
        <f>SUM(D49+D90)</f>
        <v>49720</v>
      </c>
      <c r="E91" s="242">
        <f>E49+E90</f>
        <v>68604.839000000007</v>
      </c>
      <c r="F91" s="242">
        <f>F49+F90</f>
        <v>56752.109000000004</v>
      </c>
      <c r="G91" s="356">
        <f>G49+G90</f>
        <v>55720.718999999997</v>
      </c>
      <c r="H91" s="234">
        <f>E91-G91</f>
        <v>12884.12000000001</v>
      </c>
      <c r="I91" s="301">
        <f>I49+I90</f>
        <v>15156.14</v>
      </c>
      <c r="J91" s="242">
        <f>J49+J90</f>
        <v>16049.779999999999</v>
      </c>
      <c r="K91" s="242">
        <f>K49+K90</f>
        <v>52555.059000000008</v>
      </c>
      <c r="L91" s="236">
        <f>J91/E91%</f>
        <v>23.394530522839649</v>
      </c>
      <c r="N91" s="262">
        <f t="shared" ref="N91:AT91" si="31">N49+N90</f>
        <v>2629.67</v>
      </c>
      <c r="O91" s="242">
        <f t="shared" si="31"/>
        <v>49.68</v>
      </c>
      <c r="P91" s="242">
        <f t="shared" si="31"/>
        <v>25.24</v>
      </c>
      <c r="Q91" s="242">
        <f t="shared" si="31"/>
        <v>0</v>
      </c>
      <c r="R91" s="242">
        <f t="shared" si="31"/>
        <v>76.27</v>
      </c>
      <c r="S91" s="242">
        <f t="shared" si="31"/>
        <v>45.29</v>
      </c>
      <c r="T91" s="242">
        <f t="shared" si="31"/>
        <v>29.09</v>
      </c>
      <c r="U91" s="242">
        <f t="shared" si="31"/>
        <v>33.260000000000005</v>
      </c>
      <c r="V91" s="242">
        <f t="shared" si="31"/>
        <v>84.95</v>
      </c>
      <c r="W91" s="242">
        <f t="shared" si="31"/>
        <v>32.29</v>
      </c>
      <c r="X91" s="242">
        <f t="shared" si="31"/>
        <v>91.91</v>
      </c>
      <c r="Y91" s="242">
        <f t="shared" si="31"/>
        <v>0</v>
      </c>
      <c r="Z91" s="242">
        <f t="shared" si="31"/>
        <v>28.4</v>
      </c>
      <c r="AA91" s="242">
        <f t="shared" si="31"/>
        <v>31.54</v>
      </c>
      <c r="AB91" s="242">
        <f t="shared" si="31"/>
        <v>33.85</v>
      </c>
      <c r="AC91" s="242">
        <f t="shared" si="31"/>
        <v>39.99</v>
      </c>
      <c r="AD91" s="242">
        <f t="shared" si="31"/>
        <v>209.07</v>
      </c>
      <c r="AE91" s="242">
        <f t="shared" si="31"/>
        <v>0</v>
      </c>
      <c r="AF91" s="242">
        <f t="shared" si="31"/>
        <v>21</v>
      </c>
      <c r="AG91" s="242">
        <f t="shared" si="31"/>
        <v>61.81</v>
      </c>
      <c r="AH91" s="242">
        <f t="shared" si="31"/>
        <v>0</v>
      </c>
      <c r="AI91" s="242">
        <f t="shared" si="31"/>
        <v>0</v>
      </c>
      <c r="AJ91" s="242">
        <f t="shared" si="31"/>
        <v>0</v>
      </c>
      <c r="AK91" s="242">
        <f t="shared" si="31"/>
        <v>28</v>
      </c>
      <c r="AL91" s="242">
        <f t="shared" si="31"/>
        <v>0</v>
      </c>
      <c r="AM91" s="242">
        <f t="shared" si="31"/>
        <v>0</v>
      </c>
      <c r="AN91" s="242">
        <f t="shared" si="31"/>
        <v>0</v>
      </c>
      <c r="AO91" s="242">
        <f t="shared" si="31"/>
        <v>0</v>
      </c>
      <c r="AP91" s="242">
        <f t="shared" si="31"/>
        <v>0</v>
      </c>
      <c r="AQ91" s="242">
        <f t="shared" si="31"/>
        <v>0</v>
      </c>
      <c r="AR91" s="242">
        <f t="shared" si="31"/>
        <v>0</v>
      </c>
      <c r="AS91" s="242">
        <f t="shared" si="31"/>
        <v>0</v>
      </c>
      <c r="AT91" s="243">
        <f t="shared" si="31"/>
        <v>893.6400000000001</v>
      </c>
    </row>
    <row r="92" spans="1:46" x14ac:dyDescent="0.35">
      <c r="K92" s="141"/>
    </row>
    <row r="98" spans="10:12" x14ac:dyDescent="0.35">
      <c r="J98" s="25">
        <f>1625.46-1590</f>
        <v>35.460000000000036</v>
      </c>
    </row>
    <row r="104" spans="10:12" x14ac:dyDescent="0.35">
      <c r="L104" s="355"/>
    </row>
    <row r="105" spans="10:12" x14ac:dyDescent="0.35">
      <c r="L105" s="355"/>
    </row>
    <row r="106" spans="10:12" x14ac:dyDescent="0.35">
      <c r="L106" s="355"/>
    </row>
  </sheetData>
  <mergeCells count="21">
    <mergeCell ref="N50:AT50"/>
    <mergeCell ref="B52:B78"/>
    <mergeCell ref="D59:D61"/>
    <mergeCell ref="D66:D68"/>
    <mergeCell ref="A1:L1"/>
    <mergeCell ref="N1:AT1"/>
    <mergeCell ref="A3:A7"/>
    <mergeCell ref="A10:A11"/>
    <mergeCell ref="A12:A13"/>
    <mergeCell ref="B3:B31"/>
    <mergeCell ref="A15:A21"/>
    <mergeCell ref="D4:D8"/>
    <mergeCell ref="D12:D14"/>
    <mergeCell ref="D15:D21"/>
    <mergeCell ref="N4:N6"/>
    <mergeCell ref="B80:B81"/>
    <mergeCell ref="B83:B84"/>
    <mergeCell ref="A50:L50"/>
    <mergeCell ref="A55:A56"/>
    <mergeCell ref="B33:B34"/>
    <mergeCell ref="B36:B43"/>
  </mergeCells>
  <printOptions horizontalCentered="1"/>
  <pageMargins left="0.2" right="0.2" top="0.3" bottom="0.28000000000000003" header="0.2" footer="0.2"/>
  <pageSetup paperSize="8" scale="4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21"/>
  <sheetViews>
    <sheetView zoomScale="85" zoomScaleNormal="85" workbookViewId="0">
      <selection activeCell="A2" sqref="A2"/>
    </sheetView>
  </sheetViews>
  <sheetFormatPr defaultColWidth="8.7265625" defaultRowHeight="15.5" x14ac:dyDescent="0.35"/>
  <cols>
    <col min="1" max="1" width="31" style="25" customWidth="1"/>
    <col min="2" max="2" width="13.1796875" style="25" customWidth="1"/>
    <col min="3" max="3" width="11.453125" style="25" customWidth="1"/>
    <col min="4" max="4" width="14.453125" style="25" customWidth="1"/>
    <col min="5" max="5" width="16.54296875" style="25" customWidth="1"/>
    <col min="6" max="6" width="9" style="25" customWidth="1"/>
    <col min="7" max="7" width="8.7265625" style="25" customWidth="1"/>
    <col min="8" max="8" width="13.453125" style="25" customWidth="1"/>
    <col min="9" max="9" width="14.26953125" style="25" customWidth="1"/>
    <col min="10" max="10" width="8.81640625" style="25" customWidth="1"/>
    <col min="11" max="11" width="9.1796875" style="25" customWidth="1"/>
    <col min="12" max="12" width="14" style="25" customWidth="1"/>
    <col min="13" max="13" width="13.7265625" style="25" customWidth="1"/>
    <col min="14" max="14" width="12" style="25" customWidth="1"/>
    <col min="15" max="16384" width="8.7265625" style="25"/>
  </cols>
  <sheetData>
    <row r="1" spans="1:17" ht="17.5" x14ac:dyDescent="0.35">
      <c r="A1" s="884" t="s">
        <v>752</v>
      </c>
      <c r="B1" s="885"/>
      <c r="C1" s="885"/>
      <c r="D1" s="885"/>
      <c r="E1" s="885"/>
      <c r="F1" s="885"/>
      <c r="G1" s="885"/>
      <c r="H1" s="885"/>
      <c r="I1" s="885"/>
      <c r="J1" s="885"/>
      <c r="K1" s="885"/>
      <c r="L1" s="885"/>
      <c r="M1" s="885"/>
      <c r="N1" s="886"/>
    </row>
    <row r="2" spans="1:17" ht="46.5" customHeight="1" x14ac:dyDescent="0.35">
      <c r="A2" s="326" t="s">
        <v>529</v>
      </c>
      <c r="B2" s="326" t="s">
        <v>448</v>
      </c>
      <c r="C2" s="326" t="s">
        <v>530</v>
      </c>
      <c r="D2" s="326" t="s">
        <v>531</v>
      </c>
      <c r="E2" s="326" t="s">
        <v>532</v>
      </c>
      <c r="F2" s="887" t="s">
        <v>533</v>
      </c>
      <c r="G2" s="888"/>
      <c r="H2" s="326" t="s">
        <v>534</v>
      </c>
      <c r="I2" s="324" t="s">
        <v>535</v>
      </c>
      <c r="J2" s="889" t="s">
        <v>536</v>
      </c>
      <c r="K2" s="890"/>
      <c r="L2" s="325" t="s">
        <v>537</v>
      </c>
      <c r="M2" s="324" t="s">
        <v>538</v>
      </c>
      <c r="N2" s="324" t="s">
        <v>242</v>
      </c>
    </row>
    <row r="3" spans="1:17" x14ac:dyDescent="0.35">
      <c r="A3" s="326"/>
      <c r="B3" s="326"/>
      <c r="C3" s="326"/>
      <c r="D3" s="326"/>
      <c r="E3" s="326"/>
      <c r="F3" s="326" t="s">
        <v>170</v>
      </c>
      <c r="G3" s="326" t="s">
        <v>539</v>
      </c>
      <c r="H3" s="326"/>
      <c r="I3" s="324"/>
      <c r="J3" s="324" t="s">
        <v>170</v>
      </c>
      <c r="K3" s="324" t="s">
        <v>539</v>
      </c>
      <c r="L3" s="325"/>
      <c r="M3" s="324"/>
      <c r="N3" s="324"/>
    </row>
    <row r="4" spans="1:17" x14ac:dyDescent="0.35">
      <c r="A4" s="327" t="s">
        <v>540</v>
      </c>
      <c r="B4" s="323">
        <v>3016</v>
      </c>
      <c r="C4" s="323">
        <v>3016</v>
      </c>
      <c r="D4" s="323">
        <f t="shared" ref="D4:D17" si="0">B4-C4</f>
        <v>0</v>
      </c>
      <c r="E4" s="323">
        <v>1465.662</v>
      </c>
      <c r="F4" s="323">
        <v>563.75</v>
      </c>
      <c r="G4" s="323">
        <f>62+122.6+13.53+158.5+148</f>
        <v>504.63</v>
      </c>
      <c r="H4" s="323">
        <f>E4+G4</f>
        <v>1970.2919999999999</v>
      </c>
      <c r="I4" s="323">
        <v>170</v>
      </c>
      <c r="J4" s="323">
        <f>126+14</f>
        <v>140</v>
      </c>
      <c r="K4" s="743">
        <f>3.2+0+9.5+13+12+15.9+9+6.4+9.6+29+19.1+0.6+0.6</f>
        <v>127.89999999999998</v>
      </c>
      <c r="L4" s="140">
        <f>I4+K4</f>
        <v>297.89999999999998</v>
      </c>
      <c r="M4" s="140">
        <f t="shared" ref="M4:M17" si="1">B4-I4</f>
        <v>2846</v>
      </c>
      <c r="N4" s="724">
        <f t="shared" ref="N4:N17" si="2">L4/B4%</f>
        <v>9.8773209549071606</v>
      </c>
      <c r="O4" s="141"/>
      <c r="P4" s="141"/>
      <c r="Q4" s="736"/>
    </row>
    <row r="5" spans="1:17" x14ac:dyDescent="0.35">
      <c r="A5" s="327" t="s">
        <v>541</v>
      </c>
      <c r="B5" s="323">
        <v>570</v>
      </c>
      <c r="C5" s="323">
        <v>570</v>
      </c>
      <c r="D5" s="323">
        <f t="shared" si="0"/>
        <v>0</v>
      </c>
      <c r="E5" s="323">
        <v>0</v>
      </c>
      <c r="F5" s="323">
        <v>0</v>
      </c>
      <c r="G5" s="323">
        <v>0</v>
      </c>
      <c r="H5" s="323">
        <f t="shared" ref="H5:H18" si="3">E5+G5</f>
        <v>0</v>
      </c>
      <c r="I5" s="323">
        <v>0</v>
      </c>
      <c r="J5" s="323"/>
      <c r="K5" s="323"/>
      <c r="L5" s="140">
        <f t="shared" ref="L5:L18" si="4">I5+K5</f>
        <v>0</v>
      </c>
      <c r="M5" s="140">
        <f t="shared" si="1"/>
        <v>570</v>
      </c>
      <c r="N5" s="724">
        <f t="shared" si="2"/>
        <v>0</v>
      </c>
    </row>
    <row r="6" spans="1:17" x14ac:dyDescent="0.35">
      <c r="A6" s="327" t="s">
        <v>347</v>
      </c>
      <c r="B6" s="323">
        <v>2328</v>
      </c>
      <c r="C6" s="323">
        <v>1970</v>
      </c>
      <c r="D6" s="323">
        <f t="shared" si="0"/>
        <v>358</v>
      </c>
      <c r="E6" s="323">
        <v>387.1</v>
      </c>
      <c r="F6" s="323">
        <v>743</v>
      </c>
      <c r="G6" s="323">
        <f>61+71+19+108+89+119</f>
        <v>467</v>
      </c>
      <c r="H6" s="323">
        <f t="shared" si="3"/>
        <v>854.1</v>
      </c>
      <c r="I6" s="323">
        <v>0</v>
      </c>
      <c r="J6" s="323"/>
      <c r="K6" s="323"/>
      <c r="L6" s="140">
        <f t="shared" si="4"/>
        <v>0</v>
      </c>
      <c r="M6" s="140">
        <f t="shared" si="1"/>
        <v>2328</v>
      </c>
      <c r="N6" s="724">
        <f t="shared" si="2"/>
        <v>0</v>
      </c>
      <c r="O6" s="141">
        <f>853.8-H6</f>
        <v>-0.30000000000006821</v>
      </c>
      <c r="P6" s="141"/>
    </row>
    <row r="7" spans="1:17" x14ac:dyDescent="0.35">
      <c r="A7" s="327" t="s">
        <v>222</v>
      </c>
      <c r="B7" s="323">
        <v>3000</v>
      </c>
      <c r="C7" s="323">
        <v>1825</v>
      </c>
      <c r="D7" s="323">
        <f t="shared" si="0"/>
        <v>1175</v>
      </c>
      <c r="E7" s="323">
        <v>140</v>
      </c>
      <c r="F7" s="323">
        <v>200</v>
      </c>
      <c r="G7" s="323">
        <v>40</v>
      </c>
      <c r="H7" s="323">
        <f t="shared" si="3"/>
        <v>180</v>
      </c>
      <c r="I7" s="323">
        <v>0</v>
      </c>
      <c r="J7" s="323"/>
      <c r="K7" s="323"/>
      <c r="L7" s="140">
        <f t="shared" si="4"/>
        <v>0</v>
      </c>
      <c r="M7" s="140">
        <f t="shared" si="1"/>
        <v>3000</v>
      </c>
      <c r="N7" s="724">
        <f t="shared" si="2"/>
        <v>0</v>
      </c>
    </row>
    <row r="8" spans="1:17" x14ac:dyDescent="0.35">
      <c r="A8" s="327" t="s">
        <v>542</v>
      </c>
      <c r="B8" s="323">
        <v>550</v>
      </c>
      <c r="C8" s="323">
        <v>550</v>
      </c>
      <c r="D8" s="323">
        <f t="shared" si="0"/>
        <v>0</v>
      </c>
      <c r="E8" s="323">
        <v>164.95299999999997</v>
      </c>
      <c r="F8" s="323">
        <v>127</v>
      </c>
      <c r="G8" s="323">
        <f>31+7.72+31.33</f>
        <v>70.05</v>
      </c>
      <c r="H8" s="323">
        <f t="shared" si="3"/>
        <v>235.00299999999999</v>
      </c>
      <c r="I8" s="323">
        <v>8.5</v>
      </c>
      <c r="J8" s="323">
        <f>48+19</f>
        <v>67</v>
      </c>
      <c r="K8" s="323">
        <f>1.7+9.5+9</f>
        <v>20.2</v>
      </c>
      <c r="L8" s="140">
        <f t="shared" si="4"/>
        <v>28.7</v>
      </c>
      <c r="M8" s="140">
        <f t="shared" si="1"/>
        <v>541.5</v>
      </c>
      <c r="N8" s="724">
        <f t="shared" si="2"/>
        <v>5.2181818181818178</v>
      </c>
    </row>
    <row r="9" spans="1:17" x14ac:dyDescent="0.35">
      <c r="A9" s="327" t="s">
        <v>543</v>
      </c>
      <c r="B9" s="323">
        <v>506</v>
      </c>
      <c r="C9" s="323">
        <v>506</v>
      </c>
      <c r="D9" s="323">
        <f t="shared" si="0"/>
        <v>0</v>
      </c>
      <c r="E9" s="323">
        <v>156.71999999999997</v>
      </c>
      <c r="F9" s="323">
        <v>0</v>
      </c>
      <c r="G9" s="323">
        <v>0</v>
      </c>
      <c r="H9" s="323">
        <f t="shared" si="3"/>
        <v>156.71999999999997</v>
      </c>
      <c r="I9" s="323">
        <v>0</v>
      </c>
      <c r="J9" s="323"/>
      <c r="K9" s="323"/>
      <c r="L9" s="140">
        <f t="shared" si="4"/>
        <v>0</v>
      </c>
      <c r="M9" s="140">
        <f t="shared" si="1"/>
        <v>506</v>
      </c>
      <c r="N9" s="724">
        <f t="shared" si="2"/>
        <v>0</v>
      </c>
    </row>
    <row r="10" spans="1:17" x14ac:dyDescent="0.35">
      <c r="A10" s="327" t="s">
        <v>343</v>
      </c>
      <c r="B10" s="323">
        <v>506</v>
      </c>
      <c r="C10" s="323">
        <v>68</v>
      </c>
      <c r="D10" s="323">
        <f t="shared" si="0"/>
        <v>438</v>
      </c>
      <c r="E10" s="323">
        <v>42.82</v>
      </c>
      <c r="F10" s="323">
        <f>133+19.54</f>
        <v>152.54</v>
      </c>
      <c r="G10" s="323">
        <f>19.54+17.285</f>
        <v>36.825000000000003</v>
      </c>
      <c r="H10" s="323">
        <f t="shared" si="3"/>
        <v>79.64500000000001</v>
      </c>
      <c r="I10" s="323">
        <v>0</v>
      </c>
      <c r="J10" s="323"/>
      <c r="K10" s="323"/>
      <c r="L10" s="140">
        <f t="shared" si="4"/>
        <v>0</v>
      </c>
      <c r="M10" s="140">
        <f t="shared" si="1"/>
        <v>506</v>
      </c>
      <c r="N10" s="724">
        <f t="shared" si="2"/>
        <v>0</v>
      </c>
    </row>
    <row r="11" spans="1:17" ht="31" x14ac:dyDescent="0.35">
      <c r="A11" s="327" t="s">
        <v>544</v>
      </c>
      <c r="B11" s="323">
        <v>928</v>
      </c>
      <c r="C11" s="323">
        <v>928</v>
      </c>
      <c r="D11" s="323">
        <f t="shared" si="0"/>
        <v>0</v>
      </c>
      <c r="E11" s="323">
        <v>4</v>
      </c>
      <c r="F11" s="323">
        <v>0</v>
      </c>
      <c r="G11" s="323">
        <v>0</v>
      </c>
      <c r="H11" s="323">
        <f t="shared" si="3"/>
        <v>4</v>
      </c>
      <c r="I11" s="323">
        <v>0</v>
      </c>
      <c r="J11" s="323"/>
      <c r="K11" s="323"/>
      <c r="L11" s="140">
        <f t="shared" si="4"/>
        <v>0</v>
      </c>
      <c r="M11" s="140">
        <f t="shared" si="1"/>
        <v>928</v>
      </c>
      <c r="N11" s="724">
        <f t="shared" si="2"/>
        <v>0</v>
      </c>
    </row>
    <row r="12" spans="1:17" x14ac:dyDescent="0.35">
      <c r="A12" s="327" t="s">
        <v>308</v>
      </c>
      <c r="B12" s="323">
        <v>475</v>
      </c>
      <c r="C12" s="323">
        <v>475</v>
      </c>
      <c r="D12" s="323">
        <f t="shared" si="0"/>
        <v>0</v>
      </c>
      <c r="E12" s="323">
        <v>0</v>
      </c>
      <c r="F12" s="323">
        <v>300</v>
      </c>
      <c r="G12" s="323">
        <f>70+50+15+98+7+43</f>
        <v>283</v>
      </c>
      <c r="H12" s="323">
        <f t="shared" si="3"/>
        <v>283</v>
      </c>
      <c r="I12" s="323">
        <v>0</v>
      </c>
      <c r="J12" s="323"/>
      <c r="K12" s="323"/>
      <c r="L12" s="140">
        <f t="shared" si="4"/>
        <v>0</v>
      </c>
      <c r="M12" s="140">
        <f t="shared" si="1"/>
        <v>475</v>
      </c>
      <c r="N12" s="724">
        <f t="shared" si="2"/>
        <v>0</v>
      </c>
      <c r="P12" s="141"/>
    </row>
    <row r="13" spans="1:17" x14ac:dyDescent="0.35">
      <c r="A13" s="327" t="s">
        <v>383</v>
      </c>
      <c r="B13" s="323">
        <v>1800</v>
      </c>
      <c r="C13" s="323">
        <v>849.4</v>
      </c>
      <c r="D13" s="323">
        <f t="shared" si="0"/>
        <v>950.6</v>
      </c>
      <c r="E13" s="323">
        <v>398.8</v>
      </c>
      <c r="F13" s="323">
        <f>130+51</f>
        <v>181</v>
      </c>
      <c r="G13" s="323">
        <f>51+13+42</f>
        <v>106</v>
      </c>
      <c r="H13" s="323">
        <f t="shared" si="3"/>
        <v>504.8</v>
      </c>
      <c r="I13" s="323">
        <v>72</v>
      </c>
      <c r="J13" s="323">
        <v>99.5</v>
      </c>
      <c r="K13" s="323">
        <v>52</v>
      </c>
      <c r="L13" s="140">
        <f t="shared" si="4"/>
        <v>124</v>
      </c>
      <c r="M13" s="140">
        <f t="shared" si="1"/>
        <v>1728</v>
      </c>
      <c r="N13" s="724">
        <f t="shared" si="2"/>
        <v>6.8888888888888893</v>
      </c>
    </row>
    <row r="14" spans="1:17" x14ac:dyDescent="0.35">
      <c r="A14" s="327" t="s">
        <v>545</v>
      </c>
      <c r="B14" s="323">
        <v>715</v>
      </c>
      <c r="C14" s="323">
        <f>400+100</f>
        <v>500</v>
      </c>
      <c r="D14" s="323">
        <f t="shared" si="0"/>
        <v>215</v>
      </c>
      <c r="E14" s="323">
        <v>223.3</v>
      </c>
      <c r="F14" s="323">
        <v>40</v>
      </c>
      <c r="G14" s="323">
        <f>20+20</f>
        <v>40</v>
      </c>
      <c r="H14" s="323">
        <f t="shared" si="3"/>
        <v>263.3</v>
      </c>
      <c r="I14" s="323">
        <v>2</v>
      </c>
      <c r="J14" s="323">
        <v>10</v>
      </c>
      <c r="K14" s="323">
        <v>10</v>
      </c>
      <c r="L14" s="140">
        <f t="shared" si="4"/>
        <v>12</v>
      </c>
      <c r="M14" s="140">
        <f t="shared" si="1"/>
        <v>713</v>
      </c>
      <c r="N14" s="724">
        <f t="shared" si="2"/>
        <v>1.6783216783216783</v>
      </c>
    </row>
    <row r="15" spans="1:17" x14ac:dyDescent="0.35">
      <c r="A15" s="327" t="s">
        <v>546</v>
      </c>
      <c r="B15" s="323">
        <v>350</v>
      </c>
      <c r="C15" s="323">
        <v>172.2</v>
      </c>
      <c r="D15" s="323">
        <f t="shared" si="0"/>
        <v>177.8</v>
      </c>
      <c r="E15" s="323">
        <v>0</v>
      </c>
      <c r="F15" s="323">
        <v>0</v>
      </c>
      <c r="G15" s="323">
        <v>0</v>
      </c>
      <c r="H15" s="323">
        <f t="shared" si="3"/>
        <v>0</v>
      </c>
      <c r="I15" s="323">
        <v>0</v>
      </c>
      <c r="J15" s="323"/>
      <c r="K15" s="323"/>
      <c r="L15" s="140">
        <f t="shared" si="4"/>
        <v>0</v>
      </c>
      <c r="M15" s="140">
        <f t="shared" si="1"/>
        <v>350</v>
      </c>
      <c r="N15" s="724">
        <f t="shared" si="2"/>
        <v>0</v>
      </c>
    </row>
    <row r="16" spans="1:17" ht="31" x14ac:dyDescent="0.35">
      <c r="A16" s="327" t="s">
        <v>547</v>
      </c>
      <c r="B16" s="323">
        <v>2280</v>
      </c>
      <c r="C16" s="323">
        <f>175*12</f>
        <v>2100</v>
      </c>
      <c r="D16" s="323">
        <f t="shared" si="0"/>
        <v>180</v>
      </c>
      <c r="E16" s="323">
        <v>0</v>
      </c>
      <c r="F16" s="323">
        <v>0</v>
      </c>
      <c r="G16" s="323">
        <v>0</v>
      </c>
      <c r="H16" s="323">
        <f t="shared" si="3"/>
        <v>0</v>
      </c>
      <c r="I16" s="323">
        <v>0</v>
      </c>
      <c r="J16" s="323"/>
      <c r="K16" s="323"/>
      <c r="L16" s="140">
        <f t="shared" si="4"/>
        <v>0</v>
      </c>
      <c r="M16" s="140">
        <f t="shared" si="1"/>
        <v>2280</v>
      </c>
      <c r="N16" s="724">
        <f t="shared" si="2"/>
        <v>0</v>
      </c>
    </row>
    <row r="17" spans="1:14" x14ac:dyDescent="0.35">
      <c r="A17" s="327" t="s">
        <v>548</v>
      </c>
      <c r="B17" s="323">
        <v>78.5</v>
      </c>
      <c r="C17" s="323">
        <f>36.2+10.5+0.6+8.44+0.2+10.1</f>
        <v>66.040000000000006</v>
      </c>
      <c r="D17" s="323">
        <f t="shared" si="0"/>
        <v>12.459999999999994</v>
      </c>
      <c r="E17" s="323">
        <v>0</v>
      </c>
      <c r="F17" s="323">
        <v>55.8</v>
      </c>
      <c r="G17" s="323">
        <v>1</v>
      </c>
      <c r="H17" s="323">
        <f t="shared" si="3"/>
        <v>1</v>
      </c>
      <c r="I17" s="323">
        <v>0</v>
      </c>
      <c r="J17" s="323"/>
      <c r="K17" s="323"/>
      <c r="L17" s="140">
        <f t="shared" si="4"/>
        <v>0</v>
      </c>
      <c r="M17" s="140">
        <f t="shared" si="1"/>
        <v>78.5</v>
      </c>
      <c r="N17" s="724">
        <f t="shared" si="2"/>
        <v>0</v>
      </c>
    </row>
    <row r="18" spans="1:14" x14ac:dyDescent="0.35">
      <c r="A18" s="327" t="s">
        <v>549</v>
      </c>
      <c r="B18" s="323">
        <v>300</v>
      </c>
      <c r="C18" s="323">
        <v>0</v>
      </c>
      <c r="D18" s="323">
        <v>0</v>
      </c>
      <c r="E18" s="323">
        <v>0</v>
      </c>
      <c r="F18" s="323">
        <v>0</v>
      </c>
      <c r="G18" s="323">
        <v>0</v>
      </c>
      <c r="H18" s="323">
        <f t="shared" si="3"/>
        <v>0</v>
      </c>
      <c r="I18" s="323">
        <v>0</v>
      </c>
      <c r="J18" s="323"/>
      <c r="K18" s="323"/>
      <c r="L18" s="140">
        <f t="shared" si="4"/>
        <v>0</v>
      </c>
      <c r="M18" s="140"/>
      <c r="N18" s="724"/>
    </row>
    <row r="19" spans="1:14" x14ac:dyDescent="0.35">
      <c r="A19" s="328" t="s">
        <v>149</v>
      </c>
      <c r="B19" s="329">
        <f>SUM(B4:B18)</f>
        <v>17402.5</v>
      </c>
      <c r="C19" s="329">
        <f>SUM(C4:C18)</f>
        <v>13595.640000000001</v>
      </c>
      <c r="D19" s="329">
        <f>B19-C19</f>
        <v>3806.8599999999988</v>
      </c>
      <c r="E19" s="329">
        <f>SUM(E4:E18)</f>
        <v>2983.3550000000005</v>
      </c>
      <c r="F19" s="329">
        <f>SUM(F4:F18)</f>
        <v>2363.09</v>
      </c>
      <c r="G19" s="329">
        <f>SUM(G4:G18)</f>
        <v>1548.5050000000001</v>
      </c>
      <c r="H19" s="329">
        <f>E19+G19</f>
        <v>4531.8600000000006</v>
      </c>
      <c r="I19" s="329">
        <f>SUM(I4:I17)</f>
        <v>252.5</v>
      </c>
      <c r="J19" s="329">
        <f>SUM(J4:J17)</f>
        <v>316.5</v>
      </c>
      <c r="K19" s="329">
        <f>SUM(K4:K17)</f>
        <v>210.09999999999997</v>
      </c>
      <c r="L19" s="330">
        <f>SUM(L4:L17)</f>
        <v>462.59999999999997</v>
      </c>
      <c r="M19" s="331">
        <f>SUM(M4:M17)</f>
        <v>16850</v>
      </c>
      <c r="N19" s="593">
        <f>L19/B19%</f>
        <v>2.658238758799023</v>
      </c>
    </row>
    <row r="21" spans="1:14" x14ac:dyDescent="0.35">
      <c r="G21" s="141"/>
    </row>
  </sheetData>
  <mergeCells count="3">
    <mergeCell ref="A1:N1"/>
    <mergeCell ref="F2:G2"/>
    <mergeCell ref="J2:K2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W29"/>
  <sheetViews>
    <sheetView topLeftCell="C1" zoomScale="85" zoomScaleNormal="85" workbookViewId="0">
      <selection activeCell="P10" sqref="P10"/>
    </sheetView>
  </sheetViews>
  <sheetFormatPr defaultColWidth="8.7265625" defaultRowHeight="15.5" x14ac:dyDescent="0.35"/>
  <cols>
    <col min="1" max="1" width="7.81640625" style="315" bestFit="1" customWidth="1"/>
    <col min="2" max="2" width="13.54296875" style="315" customWidth="1"/>
    <col min="3" max="3" width="17.54296875" style="315" customWidth="1"/>
    <col min="4" max="4" width="31.1796875" style="315" customWidth="1"/>
    <col min="5" max="5" width="14" style="315" bestFit="1" customWidth="1"/>
    <col min="6" max="6" width="12.26953125" style="315" customWidth="1"/>
    <col min="7" max="7" width="18" style="315" customWidth="1"/>
    <col min="8" max="8" width="9.7265625" style="315" hidden="1" customWidth="1"/>
    <col min="9" max="9" width="12" style="315" hidden="1" customWidth="1"/>
    <col min="10" max="10" width="12" style="315" customWidth="1"/>
    <col min="11" max="11" width="9" style="25" customWidth="1"/>
    <col min="12" max="12" width="8.7265625" style="25" customWidth="1"/>
    <col min="13" max="13" width="10.26953125" style="25" bestFit="1" customWidth="1"/>
    <col min="14" max="14" width="14.54296875" style="315" customWidth="1"/>
    <col min="15" max="15" width="9" style="25" customWidth="1"/>
    <col min="16" max="16" width="8.7265625" style="25" customWidth="1"/>
    <col min="17" max="17" width="12" style="315" customWidth="1"/>
    <col min="18" max="18" width="10.26953125" style="315" customWidth="1"/>
    <col min="19" max="19" width="11.54296875" style="315" customWidth="1"/>
    <col min="20" max="22" width="8.7265625" style="315"/>
    <col min="23" max="23" width="10.453125" style="315" bestFit="1" customWidth="1"/>
    <col min="24" max="25" width="8.7265625" style="315"/>
    <col min="26" max="26" width="10.453125" style="315" bestFit="1" customWidth="1"/>
    <col min="27" max="16384" width="8.7265625" style="315"/>
  </cols>
  <sheetData>
    <row r="1" spans="1:23" ht="20.149999999999999" customHeight="1" x14ac:dyDescent="0.3">
      <c r="A1" s="892" t="s">
        <v>550</v>
      </c>
      <c r="B1" s="892"/>
      <c r="C1" s="892"/>
      <c r="D1" s="892"/>
      <c r="E1" s="892"/>
      <c r="F1" s="892"/>
      <c r="G1" s="892"/>
      <c r="H1" s="892"/>
      <c r="I1" s="892"/>
      <c r="J1" s="892"/>
      <c r="K1" s="892"/>
      <c r="L1" s="892"/>
      <c r="M1" s="892"/>
      <c r="N1" s="892"/>
      <c r="O1" s="892"/>
      <c r="P1" s="892"/>
      <c r="Q1" s="892"/>
      <c r="R1" s="892"/>
      <c r="S1" s="892"/>
    </row>
    <row r="2" spans="1:23" ht="62" x14ac:dyDescent="0.3">
      <c r="A2" s="314" t="s">
        <v>234</v>
      </c>
      <c r="B2" s="314" t="s">
        <v>108</v>
      </c>
      <c r="C2" s="314" t="s">
        <v>181</v>
      </c>
      <c r="D2" s="314" t="s">
        <v>235</v>
      </c>
      <c r="E2" s="314" t="s">
        <v>449</v>
      </c>
      <c r="F2" s="314" t="s">
        <v>237</v>
      </c>
      <c r="G2" s="314" t="s">
        <v>238</v>
      </c>
      <c r="H2" s="314" t="s">
        <v>551</v>
      </c>
      <c r="I2" s="597" t="s">
        <v>552</v>
      </c>
      <c r="J2" s="597" t="s">
        <v>553</v>
      </c>
      <c r="K2" s="897" t="s">
        <v>554</v>
      </c>
      <c r="L2" s="897"/>
      <c r="M2" s="597" t="s">
        <v>555</v>
      </c>
      <c r="N2" s="314" t="s">
        <v>535</v>
      </c>
      <c r="O2" s="897" t="s">
        <v>556</v>
      </c>
      <c r="P2" s="897"/>
      <c r="Q2" s="597" t="s">
        <v>537</v>
      </c>
      <c r="R2" s="314" t="s">
        <v>241</v>
      </c>
      <c r="S2" s="314" t="s">
        <v>242</v>
      </c>
      <c r="T2" s="315">
        <f>65000-52292</f>
        <v>12708</v>
      </c>
    </row>
    <row r="3" spans="1:23" x14ac:dyDescent="0.3">
      <c r="A3" s="314"/>
      <c r="B3" s="314"/>
      <c r="C3" s="553"/>
      <c r="D3" s="553"/>
      <c r="E3" s="553"/>
      <c r="F3" s="553"/>
      <c r="G3" s="553"/>
      <c r="H3" s="553"/>
      <c r="I3" s="598"/>
      <c r="J3" s="598"/>
      <c r="K3" s="694" t="s">
        <v>170</v>
      </c>
      <c r="L3" s="694" t="s">
        <v>539</v>
      </c>
      <c r="M3" s="694"/>
      <c r="N3" s="553"/>
      <c r="O3" s="694" t="s">
        <v>170</v>
      </c>
      <c r="P3" s="694" t="s">
        <v>539</v>
      </c>
      <c r="Q3" s="598"/>
      <c r="R3" s="553"/>
      <c r="S3" s="553"/>
    </row>
    <row r="4" spans="1:23" ht="14" x14ac:dyDescent="0.3">
      <c r="A4" s="693">
        <v>1</v>
      </c>
      <c r="B4" s="316"/>
      <c r="C4" s="893" t="s">
        <v>286</v>
      </c>
      <c r="D4" s="317" t="s">
        <v>557</v>
      </c>
      <c r="E4" s="560">
        <v>120000</v>
      </c>
      <c r="F4" s="390">
        <v>105000</v>
      </c>
      <c r="G4" s="693">
        <f>E4-F4</f>
        <v>15000</v>
      </c>
      <c r="H4" s="893">
        <v>126000</v>
      </c>
      <c r="I4" s="893">
        <v>100000</v>
      </c>
      <c r="J4" s="894">
        <v>330000</v>
      </c>
      <c r="K4" s="894">
        <v>18000</v>
      </c>
      <c r="L4" s="894">
        <v>15000</v>
      </c>
      <c r="M4" s="894">
        <f>J4+L4</f>
        <v>345000</v>
      </c>
      <c r="N4" s="693">
        <v>5000</v>
      </c>
      <c r="O4" s="693">
        <v>5200</v>
      </c>
      <c r="P4" s="693">
        <f>7+34.2+10+11</f>
        <v>62.2</v>
      </c>
      <c r="Q4" s="693">
        <v>5000</v>
      </c>
      <c r="R4" s="693">
        <f>E4-Q4</f>
        <v>115000</v>
      </c>
      <c r="S4" s="320">
        <f>Q4/E4%</f>
        <v>4.166666666666667</v>
      </c>
      <c r="T4" s="315" t="s">
        <v>558</v>
      </c>
    </row>
    <row r="5" spans="1:23" x14ac:dyDescent="0.3">
      <c r="A5" s="693">
        <v>2</v>
      </c>
      <c r="B5" s="316"/>
      <c r="C5" s="893"/>
      <c r="D5" s="317" t="s">
        <v>559</v>
      </c>
      <c r="E5" s="560">
        <v>12000</v>
      </c>
      <c r="F5" s="313">
        <v>7000</v>
      </c>
      <c r="G5" s="693">
        <f t="shared" ref="G5:G29" si="0">E5-F5</f>
        <v>5000</v>
      </c>
      <c r="H5" s="893"/>
      <c r="I5" s="893"/>
      <c r="J5" s="895"/>
      <c r="K5" s="895"/>
      <c r="L5" s="895"/>
      <c r="M5" s="895"/>
      <c r="N5" s="693">
        <v>0</v>
      </c>
      <c r="O5" s="693"/>
      <c r="P5" s="323"/>
      <c r="Q5" s="693">
        <v>0</v>
      </c>
      <c r="R5" s="693">
        <f t="shared" ref="R5:R28" si="1">E5-Q5</f>
        <v>12000</v>
      </c>
      <c r="S5" s="320">
        <f t="shared" ref="S5:S29" si="2">Q5/E5%</f>
        <v>0</v>
      </c>
    </row>
    <row r="6" spans="1:23" x14ac:dyDescent="0.3">
      <c r="A6" s="693">
        <v>3</v>
      </c>
      <c r="B6" s="316"/>
      <c r="C6" s="893"/>
      <c r="D6" s="317" t="s">
        <v>560</v>
      </c>
      <c r="E6" s="635">
        <v>89000</v>
      </c>
      <c r="F6" s="313">
        <f>45000+15000</f>
        <v>60000</v>
      </c>
      <c r="G6" s="693">
        <f t="shared" si="0"/>
        <v>29000</v>
      </c>
      <c r="H6" s="893"/>
      <c r="I6" s="893"/>
      <c r="J6" s="895"/>
      <c r="K6" s="895"/>
      <c r="L6" s="895"/>
      <c r="M6" s="895"/>
      <c r="N6" s="693">
        <v>0</v>
      </c>
      <c r="O6" s="693"/>
      <c r="P6" s="323"/>
      <c r="Q6" s="693">
        <v>0</v>
      </c>
      <c r="R6" s="693">
        <f t="shared" si="1"/>
        <v>89000</v>
      </c>
      <c r="S6" s="320">
        <f t="shared" si="2"/>
        <v>0</v>
      </c>
    </row>
    <row r="7" spans="1:23" x14ac:dyDescent="0.3">
      <c r="A7" s="693">
        <v>4</v>
      </c>
      <c r="B7" s="316"/>
      <c r="C7" s="893"/>
      <c r="D7" s="317" t="s">
        <v>222</v>
      </c>
      <c r="E7" s="635">
        <v>4000</v>
      </c>
      <c r="F7" s="313">
        <v>0</v>
      </c>
      <c r="G7" s="693">
        <f t="shared" si="0"/>
        <v>4000</v>
      </c>
      <c r="H7" s="893"/>
      <c r="I7" s="893"/>
      <c r="J7" s="895"/>
      <c r="K7" s="895"/>
      <c r="L7" s="895"/>
      <c r="M7" s="895"/>
      <c r="N7" s="693">
        <v>0</v>
      </c>
      <c r="O7" s="693"/>
      <c r="P7" s="323"/>
      <c r="Q7" s="693">
        <v>0</v>
      </c>
      <c r="R7" s="693">
        <f t="shared" si="1"/>
        <v>4000</v>
      </c>
      <c r="S7" s="320">
        <f t="shared" si="2"/>
        <v>0</v>
      </c>
    </row>
    <row r="8" spans="1:23" x14ac:dyDescent="0.3">
      <c r="A8" s="693">
        <v>5</v>
      </c>
      <c r="B8" s="316"/>
      <c r="C8" s="893"/>
      <c r="D8" s="317" t="s">
        <v>264</v>
      </c>
      <c r="E8" s="560">
        <v>10000</v>
      </c>
      <c r="F8" s="313">
        <v>6600</v>
      </c>
      <c r="G8" s="693">
        <f t="shared" si="0"/>
        <v>3400</v>
      </c>
      <c r="H8" s="893"/>
      <c r="I8" s="893"/>
      <c r="J8" s="895"/>
      <c r="K8" s="895"/>
      <c r="L8" s="895"/>
      <c r="M8" s="895"/>
      <c r="N8" s="693">
        <v>0</v>
      </c>
      <c r="O8" s="693"/>
      <c r="P8" s="323"/>
      <c r="Q8" s="693">
        <v>0</v>
      </c>
      <c r="R8" s="693">
        <f t="shared" si="1"/>
        <v>10000</v>
      </c>
      <c r="S8" s="320">
        <f t="shared" si="2"/>
        <v>0</v>
      </c>
    </row>
    <row r="9" spans="1:23" x14ac:dyDescent="0.3">
      <c r="A9" s="693">
        <v>6</v>
      </c>
      <c r="B9" s="316"/>
      <c r="C9" s="893"/>
      <c r="D9" s="317" t="s">
        <v>561</v>
      </c>
      <c r="E9" s="635">
        <v>106000</v>
      </c>
      <c r="F9" s="313">
        <f>35000+45000</f>
        <v>80000</v>
      </c>
      <c r="G9" s="693">
        <f t="shared" si="0"/>
        <v>26000</v>
      </c>
      <c r="H9" s="893"/>
      <c r="I9" s="893"/>
      <c r="J9" s="895"/>
      <c r="K9" s="895"/>
      <c r="L9" s="895"/>
      <c r="M9" s="895"/>
      <c r="N9" s="693">
        <v>14025</v>
      </c>
      <c r="O9" s="600">
        <v>10000</v>
      </c>
      <c r="P9" s="323">
        <f>620+700+700+700+470+500+520+630+330+480+640+150+720+560</f>
        <v>7720</v>
      </c>
      <c r="Q9" s="633">
        <f>N9+P9</f>
        <v>21745</v>
      </c>
      <c r="R9" s="693">
        <f t="shared" si="1"/>
        <v>84255</v>
      </c>
      <c r="S9" s="320">
        <f t="shared" si="2"/>
        <v>20.514150943396228</v>
      </c>
      <c r="T9" s="315" t="s">
        <v>562</v>
      </c>
      <c r="V9" s="562"/>
      <c r="W9" s="561"/>
    </row>
    <row r="10" spans="1:23" x14ac:dyDescent="0.3">
      <c r="A10" s="693">
        <v>7</v>
      </c>
      <c r="B10" s="316"/>
      <c r="C10" s="893"/>
      <c r="D10" s="317" t="s">
        <v>563</v>
      </c>
      <c r="E10" s="635">
        <v>7000</v>
      </c>
      <c r="F10" s="313">
        <v>0</v>
      </c>
      <c r="G10" s="693">
        <f t="shared" si="0"/>
        <v>7000</v>
      </c>
      <c r="H10" s="893"/>
      <c r="I10" s="893"/>
      <c r="J10" s="896"/>
      <c r="K10" s="896"/>
      <c r="L10" s="896"/>
      <c r="M10" s="896"/>
      <c r="N10" s="693">
        <v>0</v>
      </c>
      <c r="O10" s="600"/>
      <c r="P10" s="323"/>
      <c r="Q10" s="693">
        <v>0</v>
      </c>
      <c r="R10" s="693">
        <f t="shared" si="1"/>
        <v>7000</v>
      </c>
      <c r="S10" s="320">
        <f t="shared" si="2"/>
        <v>0</v>
      </c>
      <c r="V10" s="562"/>
      <c r="W10" s="561"/>
    </row>
    <row r="11" spans="1:23" x14ac:dyDescent="0.3">
      <c r="A11" s="693">
        <v>8</v>
      </c>
      <c r="B11" s="316"/>
      <c r="C11" s="893" t="s">
        <v>564</v>
      </c>
      <c r="D11" s="317" t="s">
        <v>557</v>
      </c>
      <c r="E11" s="560">
        <v>30000</v>
      </c>
      <c r="F11" s="313">
        <v>3400</v>
      </c>
      <c r="G11" s="693">
        <f t="shared" si="0"/>
        <v>26600</v>
      </c>
      <c r="H11" s="893">
        <f>49615-I11</f>
        <v>18449</v>
      </c>
      <c r="I11" s="893">
        <v>31166</v>
      </c>
      <c r="J11" s="893">
        <v>60000</v>
      </c>
      <c r="K11" s="323"/>
      <c r="L11" s="898">
        <v>0</v>
      </c>
      <c r="M11" s="898">
        <f>J11+L11</f>
        <v>60000</v>
      </c>
      <c r="N11" s="693">
        <v>0</v>
      </c>
      <c r="O11" s="600"/>
      <c r="P11" s="323"/>
      <c r="Q11" s="693">
        <v>0</v>
      </c>
      <c r="R11" s="693">
        <f t="shared" si="1"/>
        <v>30000</v>
      </c>
      <c r="S11" s="320">
        <f t="shared" si="2"/>
        <v>0</v>
      </c>
      <c r="V11" s="562"/>
      <c r="W11" s="561"/>
    </row>
    <row r="12" spans="1:23" x14ac:dyDescent="0.3">
      <c r="A12" s="693">
        <v>9</v>
      </c>
      <c r="B12" s="316"/>
      <c r="C12" s="893"/>
      <c r="D12" s="317" t="s">
        <v>559</v>
      </c>
      <c r="E12" s="560">
        <v>10000</v>
      </c>
      <c r="F12" s="313">
        <v>700</v>
      </c>
      <c r="G12" s="693">
        <f t="shared" si="0"/>
        <v>9300</v>
      </c>
      <c r="H12" s="893"/>
      <c r="I12" s="893"/>
      <c r="J12" s="893"/>
      <c r="K12" s="323"/>
      <c r="L12" s="899"/>
      <c r="M12" s="899"/>
      <c r="N12" s="693">
        <v>0</v>
      </c>
      <c r="O12" s="600"/>
      <c r="P12" s="323"/>
      <c r="Q12" s="693">
        <v>0</v>
      </c>
      <c r="R12" s="693">
        <f t="shared" si="1"/>
        <v>10000</v>
      </c>
      <c r="S12" s="320">
        <f t="shared" si="2"/>
        <v>0</v>
      </c>
      <c r="V12" s="562"/>
      <c r="W12" s="561"/>
    </row>
    <row r="13" spans="1:23" x14ac:dyDescent="0.3">
      <c r="A13" s="693">
        <v>10</v>
      </c>
      <c r="B13" s="316"/>
      <c r="C13" s="893"/>
      <c r="D13" s="317" t="s">
        <v>222</v>
      </c>
      <c r="E13" s="636">
        <v>5000</v>
      </c>
      <c r="F13" s="313">
        <v>0</v>
      </c>
      <c r="G13" s="693">
        <f t="shared" si="0"/>
        <v>5000</v>
      </c>
      <c r="H13" s="893"/>
      <c r="I13" s="893"/>
      <c r="J13" s="893"/>
      <c r="K13" s="323"/>
      <c r="L13" s="899"/>
      <c r="M13" s="899"/>
      <c r="N13" s="693">
        <v>0</v>
      </c>
      <c r="O13" s="600"/>
      <c r="P13" s="323"/>
      <c r="Q13" s="693">
        <v>0</v>
      </c>
      <c r="R13" s="693">
        <f t="shared" si="1"/>
        <v>5000</v>
      </c>
      <c r="S13" s="320">
        <f t="shared" si="2"/>
        <v>0</v>
      </c>
      <c r="V13" s="562"/>
      <c r="W13" s="561"/>
    </row>
    <row r="14" spans="1:23" x14ac:dyDescent="0.3">
      <c r="A14" s="693">
        <v>11</v>
      </c>
      <c r="B14" s="316"/>
      <c r="C14" s="893"/>
      <c r="D14" s="317" t="s">
        <v>264</v>
      </c>
      <c r="E14" s="560">
        <v>5000</v>
      </c>
      <c r="F14" s="313">
        <v>2900</v>
      </c>
      <c r="G14" s="693">
        <f t="shared" si="0"/>
        <v>2100</v>
      </c>
      <c r="H14" s="893"/>
      <c r="I14" s="893"/>
      <c r="J14" s="893"/>
      <c r="K14" s="323"/>
      <c r="L14" s="899"/>
      <c r="M14" s="899"/>
      <c r="N14" s="693">
        <v>0</v>
      </c>
      <c r="O14" s="600"/>
      <c r="P14" s="323"/>
      <c r="Q14" s="693">
        <v>0</v>
      </c>
      <c r="R14" s="693">
        <f t="shared" si="1"/>
        <v>5000</v>
      </c>
      <c r="S14" s="320">
        <f t="shared" si="2"/>
        <v>0</v>
      </c>
      <c r="V14" s="562"/>
      <c r="W14" s="561"/>
    </row>
    <row r="15" spans="1:23" x14ac:dyDescent="0.3">
      <c r="A15" s="693">
        <v>12</v>
      </c>
      <c r="B15" s="316"/>
      <c r="C15" s="893"/>
      <c r="D15" s="317" t="s">
        <v>565</v>
      </c>
      <c r="E15" s="636">
        <v>50000</v>
      </c>
      <c r="F15" s="313">
        <v>10000</v>
      </c>
      <c r="G15" s="693">
        <f t="shared" si="0"/>
        <v>40000</v>
      </c>
      <c r="H15" s="893"/>
      <c r="I15" s="893"/>
      <c r="J15" s="893"/>
      <c r="K15" s="323"/>
      <c r="L15" s="900"/>
      <c r="M15" s="900"/>
      <c r="N15" s="693">
        <v>0</v>
      </c>
      <c r="O15" s="600"/>
      <c r="P15" s="323"/>
      <c r="Q15" s="693">
        <v>0</v>
      </c>
      <c r="R15" s="693">
        <f t="shared" si="1"/>
        <v>50000</v>
      </c>
      <c r="S15" s="320">
        <f t="shared" si="2"/>
        <v>0</v>
      </c>
      <c r="V15" s="562"/>
      <c r="W15" s="561"/>
    </row>
    <row r="16" spans="1:23" x14ac:dyDescent="0.3">
      <c r="A16" s="693"/>
      <c r="B16" s="316"/>
      <c r="C16" s="693"/>
      <c r="D16" s="317" t="s">
        <v>566</v>
      </c>
      <c r="E16" s="636">
        <v>11000</v>
      </c>
      <c r="F16" s="313">
        <v>11000</v>
      </c>
      <c r="G16" s="693">
        <f t="shared" si="0"/>
        <v>0</v>
      </c>
      <c r="H16" s="693"/>
      <c r="I16" s="693"/>
      <c r="J16" s="693">
        <v>0</v>
      </c>
      <c r="K16" s="323">
        <v>0</v>
      </c>
      <c r="L16" s="735">
        <v>0</v>
      </c>
      <c r="M16" s="735">
        <v>0</v>
      </c>
      <c r="N16" s="693">
        <v>0</v>
      </c>
      <c r="O16" s="600">
        <v>0</v>
      </c>
      <c r="P16" s="323">
        <v>0</v>
      </c>
      <c r="Q16" s="693">
        <v>0</v>
      </c>
      <c r="R16" s="693">
        <f t="shared" si="1"/>
        <v>11000</v>
      </c>
      <c r="S16" s="320">
        <f t="shared" si="2"/>
        <v>0</v>
      </c>
      <c r="V16" s="562"/>
      <c r="W16" s="561"/>
    </row>
    <row r="17" spans="1:23" x14ac:dyDescent="0.3">
      <c r="A17" s="693">
        <v>13</v>
      </c>
      <c r="B17" s="316"/>
      <c r="C17" s="317" t="s">
        <v>273</v>
      </c>
      <c r="D17" s="317" t="s">
        <v>567</v>
      </c>
      <c r="E17" s="560">
        <v>35000</v>
      </c>
      <c r="F17" s="390">
        <v>35000</v>
      </c>
      <c r="G17" s="693">
        <f t="shared" si="0"/>
        <v>0</v>
      </c>
      <c r="H17" s="693">
        <v>10000</v>
      </c>
      <c r="I17" s="693">
        <v>856</v>
      </c>
      <c r="J17" s="693">
        <f>H17+I17</f>
        <v>10856</v>
      </c>
      <c r="K17" s="323"/>
      <c r="L17" s="323">
        <v>0</v>
      </c>
      <c r="M17" s="323">
        <f>J17+L17</f>
        <v>10856</v>
      </c>
      <c r="N17" s="693">
        <v>912</v>
      </c>
      <c r="O17" s="600">
        <v>2356</v>
      </c>
      <c r="P17" s="323"/>
      <c r="Q17" s="633">
        <f>N17+P17</f>
        <v>912</v>
      </c>
      <c r="R17" s="693">
        <f t="shared" si="1"/>
        <v>34088</v>
      </c>
      <c r="S17" s="320">
        <f t="shared" si="2"/>
        <v>2.6057142857142859</v>
      </c>
      <c r="V17" s="562"/>
      <c r="W17" s="561"/>
    </row>
    <row r="18" spans="1:23" x14ac:dyDescent="0.3">
      <c r="A18" s="693">
        <v>14</v>
      </c>
      <c r="B18" s="317"/>
      <c r="C18" s="317" t="s">
        <v>383</v>
      </c>
      <c r="D18" s="317" t="s">
        <v>567</v>
      </c>
      <c r="E18" s="560">
        <v>5000</v>
      </c>
      <c r="F18" s="313">
        <v>0</v>
      </c>
      <c r="G18" s="693">
        <f t="shared" si="0"/>
        <v>5000</v>
      </c>
      <c r="H18" s="693">
        <v>0</v>
      </c>
      <c r="I18" s="693">
        <v>0</v>
      </c>
      <c r="J18" s="693">
        <f t="shared" ref="J18:J28" si="3">H18+I18</f>
        <v>0</v>
      </c>
      <c r="K18" s="323"/>
      <c r="L18" s="323">
        <v>0</v>
      </c>
      <c r="M18" s="323">
        <f t="shared" ref="M18:M29" si="4">J18+L18</f>
        <v>0</v>
      </c>
      <c r="N18" s="693">
        <v>0</v>
      </c>
      <c r="O18" s="600"/>
      <c r="P18" s="323"/>
      <c r="Q18" s="693">
        <v>0</v>
      </c>
      <c r="R18" s="693">
        <f t="shared" si="1"/>
        <v>5000</v>
      </c>
      <c r="S18" s="320">
        <f t="shared" si="2"/>
        <v>0</v>
      </c>
      <c r="V18" s="562"/>
      <c r="W18" s="562"/>
    </row>
    <row r="19" spans="1:23" ht="28" x14ac:dyDescent="0.3">
      <c r="A19" s="693">
        <v>15</v>
      </c>
      <c r="B19" s="317"/>
      <c r="C19" s="322" t="s">
        <v>568</v>
      </c>
      <c r="D19" s="317" t="s">
        <v>567</v>
      </c>
      <c r="E19" s="560">
        <v>10000</v>
      </c>
      <c r="F19" s="313">
        <v>0</v>
      </c>
      <c r="G19" s="693">
        <f t="shared" si="0"/>
        <v>10000</v>
      </c>
      <c r="H19" s="693">
        <v>0</v>
      </c>
      <c r="I19" s="693">
        <v>0</v>
      </c>
      <c r="J19" s="693">
        <f t="shared" si="3"/>
        <v>0</v>
      </c>
      <c r="K19" s="323"/>
      <c r="L19" s="323">
        <v>0</v>
      </c>
      <c r="M19" s="323">
        <f t="shared" si="4"/>
        <v>0</v>
      </c>
      <c r="N19" s="693">
        <v>0</v>
      </c>
      <c r="O19" s="600"/>
      <c r="P19" s="323"/>
      <c r="Q19" s="693">
        <v>0</v>
      </c>
      <c r="R19" s="693">
        <f t="shared" si="1"/>
        <v>10000</v>
      </c>
      <c r="S19" s="320">
        <f t="shared" si="2"/>
        <v>0</v>
      </c>
      <c r="V19" s="562"/>
      <c r="W19" s="561"/>
    </row>
    <row r="20" spans="1:23" ht="15.65" customHeight="1" x14ac:dyDescent="0.3">
      <c r="A20" s="693">
        <v>16</v>
      </c>
      <c r="B20" s="317"/>
      <c r="C20" s="891" t="s">
        <v>569</v>
      </c>
      <c r="D20" s="312" t="s">
        <v>570</v>
      </c>
      <c r="E20" s="560">
        <v>3612</v>
      </c>
      <c r="F20" s="390">
        <v>3612</v>
      </c>
      <c r="G20" s="693">
        <f t="shared" si="0"/>
        <v>0</v>
      </c>
      <c r="H20" s="693">
        <v>0</v>
      </c>
      <c r="I20" s="693">
        <v>0</v>
      </c>
      <c r="J20" s="693">
        <f t="shared" si="3"/>
        <v>0</v>
      </c>
      <c r="K20" s="323"/>
      <c r="L20" s="323">
        <v>0</v>
      </c>
      <c r="M20" s="323">
        <f t="shared" si="4"/>
        <v>0</v>
      </c>
      <c r="N20" s="693">
        <v>0</v>
      </c>
      <c r="O20" s="600"/>
      <c r="P20" s="323"/>
      <c r="Q20" s="693">
        <v>0</v>
      </c>
      <c r="R20" s="693">
        <f t="shared" si="1"/>
        <v>3612</v>
      </c>
      <c r="S20" s="320">
        <f t="shared" si="2"/>
        <v>0</v>
      </c>
      <c r="V20" s="562"/>
      <c r="W20" s="561"/>
    </row>
    <row r="21" spans="1:23" x14ac:dyDescent="0.3">
      <c r="A21" s="693">
        <v>17</v>
      </c>
      <c r="B21" s="317"/>
      <c r="C21" s="891"/>
      <c r="D21" s="312" t="s">
        <v>249</v>
      </c>
      <c r="E21" s="560">
        <v>8100</v>
      </c>
      <c r="F21" s="390">
        <v>8030</v>
      </c>
      <c r="G21" s="693">
        <f t="shared" si="0"/>
        <v>70</v>
      </c>
      <c r="H21" s="693">
        <v>0</v>
      </c>
      <c r="I21" s="693">
        <v>0</v>
      </c>
      <c r="J21" s="693">
        <f t="shared" si="3"/>
        <v>0</v>
      </c>
      <c r="K21" s="329"/>
      <c r="L21" s="329">
        <v>0</v>
      </c>
      <c r="M21" s="323">
        <f t="shared" si="4"/>
        <v>0</v>
      </c>
      <c r="N21" s="693">
        <v>0</v>
      </c>
      <c r="O21" s="600"/>
      <c r="P21" s="323"/>
      <c r="Q21" s="693">
        <v>0</v>
      </c>
      <c r="R21" s="693">
        <f t="shared" si="1"/>
        <v>8100</v>
      </c>
      <c r="S21" s="320">
        <f t="shared" si="2"/>
        <v>0</v>
      </c>
      <c r="W21" s="562"/>
    </row>
    <row r="22" spans="1:23" x14ac:dyDescent="0.35">
      <c r="A22" s="693">
        <v>18</v>
      </c>
      <c r="B22" s="317"/>
      <c r="C22" s="891"/>
      <c r="D22" s="312" t="s">
        <v>571</v>
      </c>
      <c r="E22" s="560">
        <v>368</v>
      </c>
      <c r="F22" s="313">
        <v>368</v>
      </c>
      <c r="G22" s="693">
        <f t="shared" si="0"/>
        <v>0</v>
      </c>
      <c r="H22" s="693">
        <v>0</v>
      </c>
      <c r="I22" s="693">
        <v>0</v>
      </c>
      <c r="J22" s="693">
        <f t="shared" si="3"/>
        <v>0</v>
      </c>
      <c r="K22" s="596"/>
      <c r="L22" s="26">
        <v>0</v>
      </c>
      <c r="M22" s="323">
        <f t="shared" si="4"/>
        <v>0</v>
      </c>
      <c r="N22" s="693">
        <v>0</v>
      </c>
      <c r="O22" s="600"/>
      <c r="P22" s="323"/>
      <c r="Q22" s="693">
        <v>0</v>
      </c>
      <c r="R22" s="693">
        <f t="shared" si="1"/>
        <v>368</v>
      </c>
      <c r="S22" s="320">
        <f t="shared" si="2"/>
        <v>0</v>
      </c>
      <c r="W22" s="562"/>
    </row>
    <row r="23" spans="1:23" x14ac:dyDescent="0.35">
      <c r="A23" s="693">
        <v>19</v>
      </c>
      <c r="B23" s="317"/>
      <c r="C23" s="891"/>
      <c r="D23" s="312" t="s">
        <v>222</v>
      </c>
      <c r="E23" s="560">
        <v>3000</v>
      </c>
      <c r="F23" s="313">
        <v>0</v>
      </c>
      <c r="G23" s="693">
        <f t="shared" si="0"/>
        <v>3000</v>
      </c>
      <c r="H23" s="693">
        <v>0</v>
      </c>
      <c r="I23" s="693">
        <v>0</v>
      </c>
      <c r="J23" s="693">
        <f t="shared" si="3"/>
        <v>0</v>
      </c>
      <c r="K23" s="596"/>
      <c r="L23" s="26">
        <v>0</v>
      </c>
      <c r="M23" s="323">
        <f t="shared" si="4"/>
        <v>0</v>
      </c>
      <c r="N23" s="693">
        <v>0</v>
      </c>
      <c r="O23" s="600"/>
      <c r="P23" s="323"/>
      <c r="Q23" s="693">
        <v>0</v>
      </c>
      <c r="R23" s="693">
        <f t="shared" si="1"/>
        <v>3000</v>
      </c>
      <c r="S23" s="320">
        <f t="shared" si="2"/>
        <v>0</v>
      </c>
      <c r="W23" s="562"/>
    </row>
    <row r="24" spans="1:23" x14ac:dyDescent="0.35">
      <c r="A24" s="693">
        <v>20</v>
      </c>
      <c r="B24" s="317"/>
      <c r="C24" s="891"/>
      <c r="D24" s="312" t="s">
        <v>264</v>
      </c>
      <c r="E24" s="560">
        <v>11585</v>
      </c>
      <c r="F24" s="313">
        <v>11585</v>
      </c>
      <c r="G24" s="693">
        <f t="shared" si="0"/>
        <v>0</v>
      </c>
      <c r="H24" s="693">
        <v>0</v>
      </c>
      <c r="I24" s="693">
        <v>0</v>
      </c>
      <c r="J24" s="693">
        <f t="shared" si="3"/>
        <v>0</v>
      </c>
      <c r="K24" s="596"/>
      <c r="L24" s="26">
        <v>0</v>
      </c>
      <c r="M24" s="323">
        <f t="shared" si="4"/>
        <v>0</v>
      </c>
      <c r="N24" s="693">
        <v>0</v>
      </c>
      <c r="O24" s="600"/>
      <c r="P24" s="323"/>
      <c r="Q24" s="693">
        <v>0</v>
      </c>
      <c r="R24" s="693">
        <f t="shared" si="1"/>
        <v>11585</v>
      </c>
      <c r="S24" s="320">
        <f t="shared" si="2"/>
        <v>0</v>
      </c>
      <c r="W24" s="561"/>
    </row>
    <row r="25" spans="1:23" x14ac:dyDescent="0.35">
      <c r="A25" s="693">
        <v>21</v>
      </c>
      <c r="B25" s="317"/>
      <c r="C25" s="891"/>
      <c r="D25" s="312" t="s">
        <v>572</v>
      </c>
      <c r="E25" s="560">
        <v>500</v>
      </c>
      <c r="F25" s="313">
        <v>500</v>
      </c>
      <c r="G25" s="693">
        <f t="shared" si="0"/>
        <v>0</v>
      </c>
      <c r="H25" s="693">
        <v>0</v>
      </c>
      <c r="I25" s="693">
        <v>0</v>
      </c>
      <c r="J25" s="693">
        <f t="shared" si="3"/>
        <v>0</v>
      </c>
      <c r="K25" s="596"/>
      <c r="L25" s="26">
        <v>0</v>
      </c>
      <c r="M25" s="323">
        <f t="shared" si="4"/>
        <v>0</v>
      </c>
      <c r="N25" s="693">
        <v>0</v>
      </c>
      <c r="O25" s="600"/>
      <c r="P25" s="323"/>
      <c r="Q25" s="693">
        <v>0</v>
      </c>
      <c r="R25" s="693">
        <f t="shared" si="1"/>
        <v>500</v>
      </c>
      <c r="S25" s="320">
        <f t="shared" si="2"/>
        <v>0</v>
      </c>
    </row>
    <row r="26" spans="1:23" x14ac:dyDescent="0.35">
      <c r="A26" s="693">
        <v>22</v>
      </c>
      <c r="B26" s="317"/>
      <c r="C26" s="891"/>
      <c r="D26" s="312" t="s">
        <v>573</v>
      </c>
      <c r="E26" s="560">
        <v>800</v>
      </c>
      <c r="F26" s="313">
        <v>0</v>
      </c>
      <c r="G26" s="693">
        <f t="shared" si="0"/>
        <v>800</v>
      </c>
      <c r="H26" s="693">
        <v>0</v>
      </c>
      <c r="I26" s="693">
        <v>0</v>
      </c>
      <c r="J26" s="693">
        <f t="shared" si="3"/>
        <v>0</v>
      </c>
      <c r="K26" s="596"/>
      <c r="L26" s="26">
        <v>0</v>
      </c>
      <c r="M26" s="323">
        <f t="shared" si="4"/>
        <v>0</v>
      </c>
      <c r="N26" s="693">
        <v>0</v>
      </c>
      <c r="O26" s="600"/>
      <c r="P26" s="323"/>
      <c r="Q26" s="693">
        <v>0</v>
      </c>
      <c r="R26" s="693">
        <f t="shared" si="1"/>
        <v>800</v>
      </c>
      <c r="S26" s="320">
        <f t="shared" si="2"/>
        <v>0</v>
      </c>
    </row>
    <row r="27" spans="1:23" x14ac:dyDescent="0.35">
      <c r="A27" s="693">
        <v>23</v>
      </c>
      <c r="B27" s="317"/>
      <c r="C27" s="891"/>
      <c r="D27" s="312" t="s">
        <v>308</v>
      </c>
      <c r="E27" s="560">
        <v>800</v>
      </c>
      <c r="F27" s="313">
        <v>0</v>
      </c>
      <c r="G27" s="693">
        <f t="shared" si="0"/>
        <v>800</v>
      </c>
      <c r="H27" s="693">
        <v>0</v>
      </c>
      <c r="I27" s="693">
        <v>0</v>
      </c>
      <c r="J27" s="693">
        <f t="shared" si="3"/>
        <v>0</v>
      </c>
      <c r="K27" s="596"/>
      <c r="L27" s="26">
        <v>0</v>
      </c>
      <c r="M27" s="323">
        <f t="shared" si="4"/>
        <v>0</v>
      </c>
      <c r="N27" s="693">
        <v>0</v>
      </c>
      <c r="O27" s="600"/>
      <c r="P27" s="323"/>
      <c r="Q27" s="693">
        <v>0</v>
      </c>
      <c r="R27" s="693">
        <f t="shared" si="1"/>
        <v>800</v>
      </c>
      <c r="S27" s="320">
        <f t="shared" si="2"/>
        <v>0</v>
      </c>
    </row>
    <row r="28" spans="1:23" x14ac:dyDescent="0.35">
      <c r="A28" s="693">
        <v>24</v>
      </c>
      <c r="B28" s="317"/>
      <c r="C28" s="891"/>
      <c r="D28" s="312" t="s">
        <v>574</v>
      </c>
      <c r="E28" s="560">
        <v>300</v>
      </c>
      <c r="F28" s="313">
        <v>0</v>
      </c>
      <c r="G28" s="693">
        <f t="shared" si="0"/>
        <v>300</v>
      </c>
      <c r="H28" s="693">
        <v>0</v>
      </c>
      <c r="I28" s="693">
        <v>0</v>
      </c>
      <c r="J28" s="693">
        <f t="shared" si="3"/>
        <v>0</v>
      </c>
      <c r="K28" s="596"/>
      <c r="L28" s="26">
        <v>0</v>
      </c>
      <c r="M28" s="323">
        <f t="shared" si="4"/>
        <v>0</v>
      </c>
      <c r="N28" s="693">
        <v>0</v>
      </c>
      <c r="O28" s="600"/>
      <c r="P28" s="323"/>
      <c r="Q28" s="693">
        <v>0</v>
      </c>
      <c r="R28" s="693">
        <f t="shared" si="1"/>
        <v>300</v>
      </c>
      <c r="S28" s="320">
        <f t="shared" si="2"/>
        <v>0</v>
      </c>
    </row>
    <row r="29" spans="1:23" x14ac:dyDescent="0.35">
      <c r="A29" s="317"/>
      <c r="B29" s="317"/>
      <c r="C29" s="317"/>
      <c r="D29" s="318" t="s">
        <v>575</v>
      </c>
      <c r="E29" s="318">
        <f>SUM(E4:E28)</f>
        <v>538065</v>
      </c>
      <c r="F29" s="319">
        <f>SUM(F4:F28)</f>
        <v>345695</v>
      </c>
      <c r="G29" s="318">
        <f t="shared" si="0"/>
        <v>192370</v>
      </c>
      <c r="H29" s="318">
        <f>SUM(H4:H28)</f>
        <v>154449</v>
      </c>
      <c r="I29" s="318">
        <f>SUM(I4:I28)</f>
        <v>132022</v>
      </c>
      <c r="J29" s="318">
        <f>H29+I29</f>
        <v>286471</v>
      </c>
      <c r="K29" s="596">
        <f>SUM(K4:K28)</f>
        <v>18000</v>
      </c>
      <c r="L29" s="720">
        <f>L4+L11</f>
        <v>15000</v>
      </c>
      <c r="M29" s="329">
        <f t="shared" si="4"/>
        <v>301471</v>
      </c>
      <c r="N29" s="318">
        <f>SUM(N4:N28)</f>
        <v>19937</v>
      </c>
      <c r="O29" s="330">
        <f>SUM(O4:O28)</f>
        <v>17556</v>
      </c>
      <c r="P29" s="330">
        <f>SUM(P4:P28)</f>
        <v>7782.2</v>
      </c>
      <c r="Q29" s="318">
        <f>SUM(Q4:Q28)</f>
        <v>27657</v>
      </c>
      <c r="R29" s="318">
        <f>SUM(R4:R28)</f>
        <v>510408</v>
      </c>
      <c r="S29" s="321">
        <f t="shared" si="2"/>
        <v>5.1400853056786824</v>
      </c>
    </row>
  </sheetData>
  <mergeCells count="17">
    <mergeCell ref="K4:K10"/>
    <mergeCell ref="C20:C28"/>
    <mergeCell ref="A1:S1"/>
    <mergeCell ref="C4:C10"/>
    <mergeCell ref="C11:C15"/>
    <mergeCell ref="I4:I10"/>
    <mergeCell ref="H11:H15"/>
    <mergeCell ref="I11:I15"/>
    <mergeCell ref="H4:H10"/>
    <mergeCell ref="J4:J10"/>
    <mergeCell ref="J11:J15"/>
    <mergeCell ref="K2:L2"/>
    <mergeCell ref="O2:P2"/>
    <mergeCell ref="L4:L10"/>
    <mergeCell ref="L11:L15"/>
    <mergeCell ref="M4:M10"/>
    <mergeCell ref="M11:M15"/>
  </mergeCells>
  <pageMargins left="0.7" right="0.7" top="0.75" bottom="0.75" header="0.3" footer="0.3"/>
  <pageSetup paperSize="9"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T20"/>
  <sheetViews>
    <sheetView zoomScale="55" zoomScaleNormal="55" workbookViewId="0">
      <selection activeCell="AB14" sqref="AB14"/>
    </sheetView>
  </sheetViews>
  <sheetFormatPr defaultRowHeight="14.5" x14ac:dyDescent="0.35"/>
  <cols>
    <col min="2" max="2" width="8.81640625" bestFit="1" customWidth="1"/>
    <col min="3" max="3" width="47.1796875" customWidth="1"/>
    <col min="4" max="6" width="8.81640625" bestFit="1" customWidth="1"/>
    <col min="7" max="7" width="10.453125" bestFit="1" customWidth="1"/>
    <col min="8" max="17" width="8.81640625" bestFit="1" customWidth="1"/>
    <col min="18" max="18" width="10.453125" bestFit="1" customWidth="1"/>
    <col min="19" max="20" width="8.81640625" bestFit="1" customWidth="1"/>
  </cols>
  <sheetData>
    <row r="1" spans="2:20" ht="15" thickBot="1" x14ac:dyDescent="0.4"/>
    <row r="2" spans="2:20" ht="31" thickBot="1" x14ac:dyDescent="0.4">
      <c r="B2" s="380" t="s">
        <v>234</v>
      </c>
      <c r="C2" s="380" t="s">
        <v>181</v>
      </c>
      <c r="D2" s="901" t="s">
        <v>51</v>
      </c>
      <c r="E2" s="902"/>
      <c r="F2" s="902"/>
      <c r="G2" s="902"/>
      <c r="H2" s="902"/>
      <c r="I2" s="903"/>
      <c r="J2" s="901" t="s">
        <v>576</v>
      </c>
      <c r="K2" s="902"/>
      <c r="L2" s="902"/>
      <c r="M2" s="902"/>
      <c r="N2" s="903"/>
      <c r="O2" s="904" t="s">
        <v>577</v>
      </c>
      <c r="P2" s="905"/>
      <c r="Q2" s="906"/>
      <c r="R2" s="904" t="s">
        <v>578</v>
      </c>
      <c r="S2" s="905"/>
      <c r="T2" s="906"/>
    </row>
    <row r="3" spans="2:20" ht="16.5" thickBot="1" x14ac:dyDescent="0.4">
      <c r="B3" s="381"/>
      <c r="C3" s="381"/>
      <c r="D3" s="910" t="s">
        <v>579</v>
      </c>
      <c r="E3" s="911"/>
      <c r="F3" s="912"/>
      <c r="G3" s="910" t="s">
        <v>580</v>
      </c>
      <c r="H3" s="911"/>
      <c r="I3" s="912"/>
      <c r="J3" s="910" t="s">
        <v>581</v>
      </c>
      <c r="K3" s="911"/>
      <c r="L3" s="912"/>
      <c r="M3" s="910" t="s">
        <v>582</v>
      </c>
      <c r="N3" s="912"/>
      <c r="O3" s="907"/>
      <c r="P3" s="908"/>
      <c r="Q3" s="909"/>
      <c r="R3" s="907"/>
      <c r="S3" s="908"/>
      <c r="T3" s="909"/>
    </row>
    <row r="4" spans="2:20" ht="46" thickBot="1" x14ac:dyDescent="0.4">
      <c r="B4" s="381"/>
      <c r="C4" s="381"/>
      <c r="D4" s="382" t="s">
        <v>583</v>
      </c>
      <c r="E4" s="382" t="s">
        <v>530</v>
      </c>
      <c r="F4" s="382" t="s">
        <v>584</v>
      </c>
      <c r="G4" s="382" t="s">
        <v>583</v>
      </c>
      <c r="H4" s="382" t="s">
        <v>530</v>
      </c>
      <c r="I4" s="382" t="s">
        <v>584</v>
      </c>
      <c r="J4" s="382" t="s">
        <v>448</v>
      </c>
      <c r="K4" s="382" t="s">
        <v>530</v>
      </c>
      <c r="L4" s="382" t="s">
        <v>584</v>
      </c>
      <c r="M4" s="382" t="s">
        <v>448</v>
      </c>
      <c r="N4" s="382" t="s">
        <v>584</v>
      </c>
      <c r="O4" s="382" t="s">
        <v>448</v>
      </c>
      <c r="P4" s="382" t="s">
        <v>530</v>
      </c>
      <c r="Q4" s="382" t="s">
        <v>584</v>
      </c>
      <c r="R4" s="382" t="s">
        <v>583</v>
      </c>
      <c r="S4" s="382" t="s">
        <v>530</v>
      </c>
      <c r="T4" s="382" t="s">
        <v>584</v>
      </c>
    </row>
    <row r="5" spans="2:20" ht="17.5" thickBot="1" x14ac:dyDescent="0.4">
      <c r="B5" s="383">
        <v>1</v>
      </c>
      <c r="C5" s="383" t="s">
        <v>245</v>
      </c>
      <c r="D5" s="384">
        <v>731</v>
      </c>
      <c r="E5" s="384">
        <v>731</v>
      </c>
      <c r="F5" s="384">
        <v>727</v>
      </c>
      <c r="G5" s="384">
        <v>9700</v>
      </c>
      <c r="H5" s="384">
        <v>9480</v>
      </c>
      <c r="I5" s="384">
        <v>9442</v>
      </c>
      <c r="J5" s="384">
        <v>5972</v>
      </c>
      <c r="K5" s="384">
        <v>5959</v>
      </c>
      <c r="L5" s="384">
        <v>3843</v>
      </c>
      <c r="M5" s="384">
        <v>5972</v>
      </c>
      <c r="N5" s="384">
        <v>1952</v>
      </c>
      <c r="O5" s="384">
        <v>3016</v>
      </c>
      <c r="P5" s="386">
        <v>3016</v>
      </c>
      <c r="Q5" s="384">
        <v>0</v>
      </c>
      <c r="R5" s="126">
        <v>153600</v>
      </c>
      <c r="S5" s="126">
        <v>55810</v>
      </c>
      <c r="T5" s="126">
        <v>5000</v>
      </c>
    </row>
    <row r="6" spans="2:20" ht="23" thickBot="1" x14ac:dyDescent="0.4">
      <c r="B6" s="383">
        <v>2</v>
      </c>
      <c r="C6" s="383" t="s">
        <v>585</v>
      </c>
      <c r="D6" s="384">
        <v>1294</v>
      </c>
      <c r="E6" s="384">
        <v>1294</v>
      </c>
      <c r="F6" s="384">
        <v>1294</v>
      </c>
      <c r="G6" s="384">
        <v>8540</v>
      </c>
      <c r="H6" s="384">
        <v>4195</v>
      </c>
      <c r="I6" s="384">
        <v>3868</v>
      </c>
      <c r="J6" s="384">
        <v>8764</v>
      </c>
      <c r="K6" s="384">
        <v>8322</v>
      </c>
      <c r="L6" s="384">
        <v>0</v>
      </c>
      <c r="M6" s="384">
        <v>8764</v>
      </c>
      <c r="N6" s="384">
        <v>0</v>
      </c>
      <c r="O6" s="384">
        <v>570</v>
      </c>
      <c r="P6" s="386">
        <v>570</v>
      </c>
      <c r="Q6" s="384">
        <v>0</v>
      </c>
      <c r="R6" s="389" t="s">
        <v>586</v>
      </c>
      <c r="S6" s="126">
        <v>8030</v>
      </c>
      <c r="T6" s="126">
        <v>0</v>
      </c>
    </row>
    <row r="7" spans="2:20" ht="17.5" thickBot="1" x14ac:dyDescent="0.4">
      <c r="B7" s="383">
        <v>3</v>
      </c>
      <c r="C7" s="383" t="s">
        <v>347</v>
      </c>
      <c r="D7" s="384">
        <v>1128</v>
      </c>
      <c r="E7" s="384">
        <v>1128</v>
      </c>
      <c r="F7" s="384">
        <v>1128</v>
      </c>
      <c r="G7" s="384">
        <v>9260</v>
      </c>
      <c r="H7" s="384">
        <v>6842</v>
      </c>
      <c r="I7" s="384">
        <v>5246</v>
      </c>
      <c r="J7" s="384">
        <v>7394</v>
      </c>
      <c r="K7" s="384">
        <v>7484</v>
      </c>
      <c r="L7" s="384">
        <v>1785</v>
      </c>
      <c r="M7" s="384">
        <v>7394</v>
      </c>
      <c r="N7" s="384">
        <v>992</v>
      </c>
      <c r="O7" s="384">
        <v>2328</v>
      </c>
      <c r="P7" s="386">
        <v>743</v>
      </c>
      <c r="Q7" s="384">
        <v>0</v>
      </c>
      <c r="R7" s="126">
        <v>19000</v>
      </c>
      <c r="S7" s="126">
        <v>0</v>
      </c>
      <c r="T7" s="126">
        <v>0</v>
      </c>
    </row>
    <row r="8" spans="2:20" ht="17.5" thickBot="1" x14ac:dyDescent="0.4">
      <c r="B8" s="383">
        <v>4</v>
      </c>
      <c r="C8" s="383" t="s">
        <v>222</v>
      </c>
      <c r="D8" s="384">
        <v>1557</v>
      </c>
      <c r="E8" s="384">
        <v>1427</v>
      </c>
      <c r="F8" s="384">
        <v>1360</v>
      </c>
      <c r="G8" s="384">
        <v>13459</v>
      </c>
      <c r="H8" s="384">
        <v>6558</v>
      </c>
      <c r="I8" s="384">
        <v>5859</v>
      </c>
      <c r="J8" s="384">
        <v>20680</v>
      </c>
      <c r="K8" s="384">
        <v>15046</v>
      </c>
      <c r="L8" s="384">
        <v>9026</v>
      </c>
      <c r="M8" s="384">
        <v>20680</v>
      </c>
      <c r="N8" s="384">
        <v>4739</v>
      </c>
      <c r="O8" s="384">
        <v>3000</v>
      </c>
      <c r="P8" s="386">
        <v>100</v>
      </c>
      <c r="Q8" s="384">
        <v>0</v>
      </c>
      <c r="R8" s="126">
        <v>12000</v>
      </c>
      <c r="S8" s="126">
        <v>0</v>
      </c>
      <c r="T8" s="126">
        <v>0</v>
      </c>
    </row>
    <row r="9" spans="2:20" ht="23" thickBot="1" x14ac:dyDescent="0.4">
      <c r="B9" s="383">
        <v>5</v>
      </c>
      <c r="C9" s="383" t="s">
        <v>587</v>
      </c>
      <c r="D9" s="384">
        <v>578</v>
      </c>
      <c r="E9" s="384">
        <v>578</v>
      </c>
      <c r="F9" s="384">
        <v>578</v>
      </c>
      <c r="G9" s="384">
        <v>18580</v>
      </c>
      <c r="H9" s="384">
        <v>16096</v>
      </c>
      <c r="I9" s="384">
        <v>8240</v>
      </c>
      <c r="J9" s="384">
        <v>1209</v>
      </c>
      <c r="K9" s="384">
        <v>1012</v>
      </c>
      <c r="L9" s="384">
        <v>0</v>
      </c>
      <c r="M9" s="384">
        <v>1209</v>
      </c>
      <c r="N9" s="384">
        <v>0</v>
      </c>
      <c r="O9" s="384">
        <v>1043</v>
      </c>
      <c r="P9" s="386">
        <f>520.7+333</f>
        <v>853.7</v>
      </c>
      <c r="Q9" s="384">
        <v>0</v>
      </c>
      <c r="R9" s="389" t="s">
        <v>588</v>
      </c>
      <c r="S9" s="126">
        <v>35000</v>
      </c>
      <c r="T9" s="126">
        <v>0</v>
      </c>
    </row>
    <row r="10" spans="2:20" ht="17.5" thickBot="1" x14ac:dyDescent="0.4">
      <c r="B10" s="383">
        <v>6</v>
      </c>
      <c r="C10" s="383" t="s">
        <v>589</v>
      </c>
      <c r="D10" s="384">
        <v>136</v>
      </c>
      <c r="E10" s="384">
        <v>136</v>
      </c>
      <c r="F10" s="384">
        <v>136</v>
      </c>
      <c r="G10" s="384">
        <v>3000</v>
      </c>
      <c r="H10" s="384">
        <v>1111</v>
      </c>
      <c r="I10" s="384">
        <v>995</v>
      </c>
      <c r="J10" s="384">
        <v>1928</v>
      </c>
      <c r="K10" s="384">
        <v>1481</v>
      </c>
      <c r="L10" s="384">
        <v>475</v>
      </c>
      <c r="M10" s="384">
        <v>1928</v>
      </c>
      <c r="N10" s="384">
        <v>32</v>
      </c>
      <c r="O10" s="384">
        <v>506</v>
      </c>
      <c r="P10" s="386">
        <v>68</v>
      </c>
      <c r="Q10" s="384">
        <v>0</v>
      </c>
      <c r="R10" s="126">
        <v>22500</v>
      </c>
      <c r="S10" s="126">
        <v>368</v>
      </c>
      <c r="T10" s="126">
        <v>0</v>
      </c>
    </row>
    <row r="11" spans="2:20" ht="17.5" thickBot="1" x14ac:dyDescent="0.4">
      <c r="B11" s="383">
        <v>7</v>
      </c>
      <c r="C11" s="383" t="s">
        <v>544</v>
      </c>
      <c r="D11" s="384">
        <v>428</v>
      </c>
      <c r="E11" s="384">
        <v>428</v>
      </c>
      <c r="F11" s="384">
        <v>422</v>
      </c>
      <c r="G11" s="384">
        <v>7500</v>
      </c>
      <c r="H11" s="384">
        <v>6237</v>
      </c>
      <c r="I11" s="384">
        <v>1328</v>
      </c>
      <c r="J11" s="384">
        <v>2950</v>
      </c>
      <c r="K11" s="384">
        <v>1325</v>
      </c>
      <c r="L11" s="384">
        <v>0</v>
      </c>
      <c r="M11" s="384">
        <v>2950</v>
      </c>
      <c r="N11" s="384">
        <v>0</v>
      </c>
      <c r="O11" s="384">
        <v>928</v>
      </c>
      <c r="P11" s="386">
        <v>928</v>
      </c>
      <c r="Q11" s="384">
        <v>0</v>
      </c>
      <c r="R11" s="126">
        <v>8000</v>
      </c>
      <c r="S11" s="126">
        <v>0</v>
      </c>
      <c r="T11" s="126">
        <v>0</v>
      </c>
    </row>
    <row r="12" spans="2:20" ht="17.5" thickBot="1" x14ac:dyDescent="0.4">
      <c r="B12" s="383">
        <v>8</v>
      </c>
      <c r="C12" s="383" t="s">
        <v>308</v>
      </c>
      <c r="D12" s="384">
        <v>126</v>
      </c>
      <c r="E12" s="384">
        <v>126</v>
      </c>
      <c r="F12" s="384">
        <v>126</v>
      </c>
      <c r="G12" s="384">
        <v>3000</v>
      </c>
      <c r="H12" s="384">
        <v>936</v>
      </c>
      <c r="I12" s="384">
        <v>875</v>
      </c>
      <c r="J12" s="384">
        <v>500</v>
      </c>
      <c r="K12" s="384">
        <v>375</v>
      </c>
      <c r="L12" s="384">
        <v>0</v>
      </c>
      <c r="M12" s="384">
        <v>500</v>
      </c>
      <c r="N12" s="384">
        <v>0</v>
      </c>
      <c r="O12" s="384">
        <v>475</v>
      </c>
      <c r="P12" s="386">
        <v>475</v>
      </c>
      <c r="Q12" s="384">
        <v>0</v>
      </c>
      <c r="R12" s="126">
        <v>4000</v>
      </c>
      <c r="S12" s="126">
        <v>0</v>
      </c>
      <c r="T12" s="126">
        <v>0</v>
      </c>
    </row>
    <row r="13" spans="2:20" ht="17.5" thickBot="1" x14ac:dyDescent="0.4">
      <c r="B13" s="383">
        <v>9</v>
      </c>
      <c r="C13" s="383" t="s">
        <v>590</v>
      </c>
      <c r="D13" s="384">
        <v>374</v>
      </c>
      <c r="E13" s="384">
        <v>304</v>
      </c>
      <c r="F13" s="384">
        <v>124</v>
      </c>
      <c r="G13" s="384">
        <v>3551</v>
      </c>
      <c r="H13" s="384">
        <v>2536</v>
      </c>
      <c r="I13" s="384">
        <v>0</v>
      </c>
      <c r="J13" s="384">
        <v>3599</v>
      </c>
      <c r="K13" s="384">
        <v>1266</v>
      </c>
      <c r="L13" s="384">
        <v>0</v>
      </c>
      <c r="M13" s="384">
        <v>3599</v>
      </c>
      <c r="N13" s="384">
        <v>0</v>
      </c>
      <c r="O13" s="384">
        <v>0</v>
      </c>
      <c r="P13" s="387">
        <v>0</v>
      </c>
      <c r="Q13" s="384">
        <v>0</v>
      </c>
      <c r="R13" s="126">
        <v>0</v>
      </c>
      <c r="S13" s="126">
        <v>0</v>
      </c>
      <c r="T13" s="126">
        <v>0</v>
      </c>
    </row>
    <row r="14" spans="2:20" ht="17.5" thickBot="1" x14ac:dyDescent="0.4">
      <c r="B14" s="383">
        <v>10</v>
      </c>
      <c r="C14" s="383" t="s">
        <v>383</v>
      </c>
      <c r="D14" s="384">
        <v>416</v>
      </c>
      <c r="E14" s="384">
        <v>416</v>
      </c>
      <c r="F14" s="384">
        <v>407</v>
      </c>
      <c r="G14" s="384">
        <v>7000</v>
      </c>
      <c r="H14" s="384">
        <v>3596</v>
      </c>
      <c r="I14" s="384">
        <v>2004</v>
      </c>
      <c r="J14" s="384">
        <v>5240</v>
      </c>
      <c r="K14" s="384">
        <v>3168</v>
      </c>
      <c r="L14" s="384">
        <v>2106</v>
      </c>
      <c r="M14" s="384">
        <v>5240</v>
      </c>
      <c r="N14" s="384">
        <v>0</v>
      </c>
      <c r="O14" s="384">
        <v>1800</v>
      </c>
      <c r="P14" s="386">
        <v>849.4</v>
      </c>
      <c r="Q14" s="384">
        <v>0</v>
      </c>
      <c r="R14" s="126">
        <v>5500</v>
      </c>
      <c r="S14" s="126">
        <v>0</v>
      </c>
      <c r="T14" s="126">
        <v>0</v>
      </c>
    </row>
    <row r="15" spans="2:20" ht="17.5" thickBot="1" x14ac:dyDescent="0.4">
      <c r="B15" s="383">
        <v>12</v>
      </c>
      <c r="C15" s="383" t="s">
        <v>545</v>
      </c>
      <c r="D15" s="384">
        <v>358</v>
      </c>
      <c r="E15" s="384">
        <v>300</v>
      </c>
      <c r="F15" s="384">
        <v>269</v>
      </c>
      <c r="G15" s="384">
        <v>9110</v>
      </c>
      <c r="H15" s="384">
        <v>8016</v>
      </c>
      <c r="I15" s="384">
        <v>6560</v>
      </c>
      <c r="J15" s="384">
        <v>975</v>
      </c>
      <c r="K15" s="384">
        <v>767</v>
      </c>
      <c r="L15" s="384">
        <v>149</v>
      </c>
      <c r="M15" s="384">
        <v>975</v>
      </c>
      <c r="N15" s="384">
        <v>68</v>
      </c>
      <c r="O15" s="384">
        <v>600</v>
      </c>
      <c r="P15" s="386">
        <v>300</v>
      </c>
      <c r="Q15" s="384">
        <v>0</v>
      </c>
      <c r="R15" s="126">
        <v>252000</v>
      </c>
      <c r="S15" s="126">
        <v>0</v>
      </c>
      <c r="T15" s="126">
        <v>0</v>
      </c>
    </row>
    <row r="16" spans="2:20" ht="17.5" thickBot="1" x14ac:dyDescent="0.4">
      <c r="B16" s="383">
        <v>13</v>
      </c>
      <c r="C16" s="383" t="s">
        <v>591</v>
      </c>
      <c r="D16" s="384">
        <v>460</v>
      </c>
      <c r="E16" s="384">
        <v>180</v>
      </c>
      <c r="F16" s="384">
        <v>156</v>
      </c>
      <c r="G16" s="384">
        <v>5000</v>
      </c>
      <c r="H16" s="384">
        <v>443</v>
      </c>
      <c r="I16" s="384">
        <v>0</v>
      </c>
      <c r="J16" s="384">
        <v>7203</v>
      </c>
      <c r="K16" s="384">
        <v>1742</v>
      </c>
      <c r="L16" s="384">
        <v>0</v>
      </c>
      <c r="M16" s="384">
        <v>7203</v>
      </c>
      <c r="N16" s="384">
        <v>0</v>
      </c>
      <c r="O16" s="384">
        <v>660</v>
      </c>
      <c r="P16" s="386">
        <v>0</v>
      </c>
      <c r="Q16" s="384">
        <v>0</v>
      </c>
      <c r="R16" s="126">
        <v>0</v>
      </c>
      <c r="S16" s="126">
        <v>0</v>
      </c>
      <c r="T16" s="126">
        <v>0</v>
      </c>
    </row>
    <row r="17" spans="2:20" ht="17.5" thickBot="1" x14ac:dyDescent="0.4">
      <c r="B17" s="383">
        <v>14</v>
      </c>
      <c r="C17" s="383" t="s">
        <v>299</v>
      </c>
      <c r="D17" s="384">
        <v>992</v>
      </c>
      <c r="E17" s="384">
        <v>992</v>
      </c>
      <c r="F17" s="384">
        <v>992</v>
      </c>
      <c r="G17" s="384">
        <v>5549</v>
      </c>
      <c r="H17" s="384">
        <v>5039</v>
      </c>
      <c r="I17" s="384">
        <v>2310</v>
      </c>
      <c r="J17" s="384">
        <v>750</v>
      </c>
      <c r="K17" s="384">
        <v>0</v>
      </c>
      <c r="L17" s="384">
        <v>0</v>
      </c>
      <c r="M17" s="384">
        <v>750</v>
      </c>
      <c r="N17" s="384">
        <v>0</v>
      </c>
      <c r="O17" s="384">
        <v>0</v>
      </c>
      <c r="P17" s="387">
        <v>0</v>
      </c>
      <c r="Q17" s="384">
        <v>0</v>
      </c>
      <c r="R17" s="126">
        <v>0</v>
      </c>
      <c r="S17" s="126">
        <v>0</v>
      </c>
      <c r="T17" s="126">
        <v>0</v>
      </c>
    </row>
    <row r="18" spans="2:20" ht="31" thickBot="1" x14ac:dyDescent="0.4">
      <c r="B18" s="383">
        <v>15</v>
      </c>
      <c r="C18" s="383" t="s">
        <v>483</v>
      </c>
      <c r="D18" s="384">
        <v>0</v>
      </c>
      <c r="E18" s="384" t="s">
        <v>592</v>
      </c>
      <c r="F18" s="384"/>
      <c r="G18" s="384">
        <v>1951</v>
      </c>
      <c r="H18" s="384">
        <v>2269</v>
      </c>
      <c r="I18" s="384">
        <v>1390</v>
      </c>
      <c r="J18" s="384">
        <v>1145</v>
      </c>
      <c r="K18" s="384">
        <v>1145</v>
      </c>
      <c r="L18" s="384">
        <v>0</v>
      </c>
      <c r="M18" s="384">
        <v>1145</v>
      </c>
      <c r="N18" s="384">
        <v>0</v>
      </c>
      <c r="O18" s="384">
        <v>2280</v>
      </c>
      <c r="P18" s="386">
        <v>1980</v>
      </c>
      <c r="Q18" s="384">
        <v>0</v>
      </c>
      <c r="R18" s="389"/>
      <c r="S18" s="126">
        <v>0</v>
      </c>
      <c r="T18" s="126">
        <v>0</v>
      </c>
    </row>
    <row r="19" spans="2:20" ht="23" thickBot="1" x14ac:dyDescent="0.4">
      <c r="B19" s="383">
        <v>16</v>
      </c>
      <c r="C19" s="383" t="s">
        <v>593</v>
      </c>
      <c r="D19" s="384"/>
      <c r="E19" s="384"/>
      <c r="F19" s="384">
        <v>25</v>
      </c>
      <c r="G19" s="384"/>
      <c r="H19" s="384">
        <v>8149</v>
      </c>
      <c r="I19" s="384">
        <v>0</v>
      </c>
      <c r="J19" s="384">
        <v>880</v>
      </c>
      <c r="K19" s="381"/>
      <c r="L19" s="381"/>
      <c r="M19" s="384">
        <v>880</v>
      </c>
      <c r="N19" s="381"/>
      <c r="O19" s="384">
        <v>79</v>
      </c>
      <c r="P19" s="386">
        <v>66.040000000000006</v>
      </c>
      <c r="Q19" s="384"/>
      <c r="R19" s="389" t="s">
        <v>594</v>
      </c>
      <c r="S19" s="126" t="s">
        <v>595</v>
      </c>
      <c r="T19" s="126"/>
    </row>
    <row r="20" spans="2:20" ht="16" thickBot="1" x14ac:dyDescent="0.4">
      <c r="B20" s="381"/>
      <c r="C20" s="385" t="s">
        <v>149</v>
      </c>
      <c r="D20" s="382">
        <f>SUM(D5:D19)</f>
        <v>8578</v>
      </c>
      <c r="E20" s="382">
        <f t="shared" ref="E20:T20" si="0">SUM(E5:E19)</f>
        <v>8040</v>
      </c>
      <c r="F20" s="382">
        <f t="shared" si="0"/>
        <v>7744</v>
      </c>
      <c r="G20" s="382">
        <f t="shared" si="0"/>
        <v>105200</v>
      </c>
      <c r="H20" s="382">
        <f t="shared" si="0"/>
        <v>81503</v>
      </c>
      <c r="I20" s="382">
        <f t="shared" si="0"/>
        <v>48117</v>
      </c>
      <c r="J20" s="382">
        <f t="shared" si="0"/>
        <v>69189</v>
      </c>
      <c r="K20" s="382">
        <f t="shared" si="0"/>
        <v>49092</v>
      </c>
      <c r="L20" s="382">
        <f t="shared" si="0"/>
        <v>17384</v>
      </c>
      <c r="M20" s="382">
        <f t="shared" si="0"/>
        <v>69189</v>
      </c>
      <c r="N20" s="382">
        <f t="shared" si="0"/>
        <v>7783</v>
      </c>
      <c r="O20" s="382">
        <f t="shared" si="0"/>
        <v>17285</v>
      </c>
      <c r="P20" s="388">
        <f>SUM(P5:P19)</f>
        <v>9949.14</v>
      </c>
      <c r="Q20" s="382">
        <f t="shared" si="0"/>
        <v>0</v>
      </c>
      <c r="R20" s="382">
        <v>520000</v>
      </c>
      <c r="S20" s="382">
        <f t="shared" si="0"/>
        <v>99208</v>
      </c>
      <c r="T20" s="382">
        <f t="shared" si="0"/>
        <v>5000</v>
      </c>
    </row>
  </sheetData>
  <mergeCells count="8">
    <mergeCell ref="D2:I2"/>
    <mergeCell ref="J2:N2"/>
    <mergeCell ref="O2:Q3"/>
    <mergeCell ref="R2:T3"/>
    <mergeCell ref="D3:F3"/>
    <mergeCell ref="G3:I3"/>
    <mergeCell ref="J3:L3"/>
    <mergeCell ref="M3:N3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3:K15"/>
  <sheetViews>
    <sheetView workbookViewId="0">
      <selection activeCell="J4" sqref="J4"/>
    </sheetView>
  </sheetViews>
  <sheetFormatPr defaultRowHeight="14.5" x14ac:dyDescent="0.35"/>
  <cols>
    <col min="3" max="3" width="43.54296875" customWidth="1"/>
    <col min="5" max="5" width="10.453125" bestFit="1" customWidth="1"/>
    <col min="6" max="9" width="8.81640625" bestFit="1" customWidth="1"/>
    <col min="10" max="10" width="9.453125" bestFit="1" customWidth="1"/>
  </cols>
  <sheetData>
    <row r="3" spans="3:11" ht="15" thickBot="1" x14ac:dyDescent="0.4"/>
    <row r="4" spans="3:11" ht="15.5" thickBot="1" x14ac:dyDescent="0.4">
      <c r="C4" s="391" t="s">
        <v>53</v>
      </c>
      <c r="D4" s="392" t="s">
        <v>173</v>
      </c>
      <c r="E4" s="392">
        <v>8500</v>
      </c>
      <c r="F4" s="392">
        <v>8040</v>
      </c>
      <c r="G4" s="393">
        <v>400</v>
      </c>
      <c r="H4" s="393">
        <v>198</v>
      </c>
      <c r="I4" s="392">
        <v>7746</v>
      </c>
      <c r="J4" s="392">
        <f>I4/E4%</f>
        <v>91.129411764705878</v>
      </c>
      <c r="K4" s="392">
        <f>E4-I4</f>
        <v>754</v>
      </c>
    </row>
    <row r="5" spans="3:11" ht="16" thickTop="1" thickBot="1" x14ac:dyDescent="0.4">
      <c r="C5" s="394" t="s">
        <v>51</v>
      </c>
      <c r="D5" s="395" t="s">
        <v>174</v>
      </c>
      <c r="E5" s="395">
        <v>105000</v>
      </c>
      <c r="F5" s="395">
        <v>76110</v>
      </c>
      <c r="G5" s="396">
        <v>4198</v>
      </c>
      <c r="H5" s="396">
        <v>2354</v>
      </c>
      <c r="I5" s="395">
        <v>48309</v>
      </c>
      <c r="J5" s="395">
        <f t="shared" ref="J5:J15" si="0">I5/E5%</f>
        <v>46.008571428571429</v>
      </c>
      <c r="K5" s="395">
        <f t="shared" ref="K5:K15" si="1">E5-I5</f>
        <v>56691</v>
      </c>
    </row>
    <row r="6" spans="3:11" ht="15.5" thickBot="1" x14ac:dyDescent="0.4">
      <c r="C6" s="397" t="s">
        <v>175</v>
      </c>
      <c r="D6" s="398" t="s">
        <v>31</v>
      </c>
      <c r="E6" s="398">
        <v>69092</v>
      </c>
      <c r="F6" s="398">
        <v>47487</v>
      </c>
      <c r="G6" s="399">
        <v>2463</v>
      </c>
      <c r="H6" s="399">
        <v>532</v>
      </c>
      <c r="I6" s="398">
        <v>13709</v>
      </c>
      <c r="J6" s="398">
        <f t="shared" si="0"/>
        <v>19.841660394835873</v>
      </c>
      <c r="K6" s="398">
        <f t="shared" si="1"/>
        <v>55383</v>
      </c>
    </row>
    <row r="7" spans="3:11" ht="15.5" thickBot="1" x14ac:dyDescent="0.4">
      <c r="C7" s="400" t="s">
        <v>176</v>
      </c>
      <c r="D7" s="401" t="s">
        <v>31</v>
      </c>
      <c r="E7" s="401">
        <v>49986</v>
      </c>
      <c r="F7" s="401">
        <v>40407</v>
      </c>
      <c r="G7" s="402">
        <v>1554</v>
      </c>
      <c r="H7" s="402">
        <v>906</v>
      </c>
      <c r="I7" s="401">
        <v>15283</v>
      </c>
      <c r="J7" s="401">
        <f t="shared" si="0"/>
        <v>30.57456087704557</v>
      </c>
      <c r="K7" s="401">
        <f t="shared" si="1"/>
        <v>34703</v>
      </c>
    </row>
    <row r="8" spans="3:11" ht="15.5" thickBot="1" x14ac:dyDescent="0.4">
      <c r="C8" s="403" t="s">
        <v>177</v>
      </c>
      <c r="D8" s="404" t="s">
        <v>31</v>
      </c>
      <c r="E8" s="404">
        <v>5240</v>
      </c>
      <c r="F8" s="404">
        <v>3168</v>
      </c>
      <c r="G8" s="402">
        <v>454</v>
      </c>
      <c r="H8" s="402">
        <v>341</v>
      </c>
      <c r="I8" s="404">
        <v>2123</v>
      </c>
      <c r="J8" s="404">
        <f t="shared" si="0"/>
        <v>40.515267175572518</v>
      </c>
      <c r="K8" s="404">
        <f t="shared" si="1"/>
        <v>3117</v>
      </c>
    </row>
    <row r="9" spans="3:11" ht="15.5" thickBot="1" x14ac:dyDescent="0.4">
      <c r="C9" s="400" t="s">
        <v>178</v>
      </c>
      <c r="D9" s="401" t="s">
        <v>31</v>
      </c>
      <c r="E9" s="401">
        <v>9566</v>
      </c>
      <c r="F9" s="401">
        <v>3767</v>
      </c>
      <c r="G9" s="402">
        <v>455</v>
      </c>
      <c r="H9" s="402">
        <v>159</v>
      </c>
      <c r="I9" s="401">
        <v>159</v>
      </c>
      <c r="J9" s="401">
        <f t="shared" si="0"/>
        <v>1.6621367342671964</v>
      </c>
      <c r="K9" s="401">
        <f t="shared" si="1"/>
        <v>9407</v>
      </c>
    </row>
    <row r="10" spans="3:11" ht="15.5" thickBot="1" x14ac:dyDescent="0.4">
      <c r="C10" s="403" t="s">
        <v>179</v>
      </c>
      <c r="D10" s="404" t="s">
        <v>31</v>
      </c>
      <c r="E10" s="404">
        <v>4300</v>
      </c>
      <c r="F10" s="404">
        <v>144</v>
      </c>
      <c r="G10" s="402">
        <v>0</v>
      </c>
      <c r="H10" s="402">
        <v>0</v>
      </c>
      <c r="I10" s="404">
        <v>0</v>
      </c>
      <c r="J10" s="404">
        <f t="shared" si="0"/>
        <v>0</v>
      </c>
      <c r="K10" s="404">
        <f t="shared" si="1"/>
        <v>4300</v>
      </c>
    </row>
    <row r="11" spans="3:11" ht="15.5" thickBot="1" x14ac:dyDescent="0.4">
      <c r="C11" s="405" t="s">
        <v>180</v>
      </c>
      <c r="D11" s="406" t="s">
        <v>31</v>
      </c>
      <c r="E11" s="406">
        <v>69092</v>
      </c>
      <c r="F11" s="406">
        <v>47487</v>
      </c>
      <c r="G11" s="399">
        <v>2176</v>
      </c>
      <c r="H11" s="399">
        <v>195</v>
      </c>
      <c r="I11" s="406">
        <v>6344</v>
      </c>
      <c r="J11" s="406">
        <f t="shared" si="0"/>
        <v>9.1819602848376078</v>
      </c>
      <c r="K11" s="406">
        <f t="shared" si="1"/>
        <v>62748</v>
      </c>
    </row>
    <row r="12" spans="3:11" ht="15.5" thickBot="1" x14ac:dyDescent="0.4">
      <c r="C12" s="403" t="s">
        <v>176</v>
      </c>
      <c r="D12" s="404" t="s">
        <v>31</v>
      </c>
      <c r="E12" s="404">
        <v>49986</v>
      </c>
      <c r="F12" s="404">
        <v>40407</v>
      </c>
      <c r="G12" s="402">
        <v>1741</v>
      </c>
      <c r="H12" s="402">
        <v>470</v>
      </c>
      <c r="I12" s="404">
        <v>7824</v>
      </c>
      <c r="J12" s="404">
        <f t="shared" si="0"/>
        <v>15.652382667146801</v>
      </c>
      <c r="K12" s="404">
        <f t="shared" si="1"/>
        <v>42162</v>
      </c>
    </row>
    <row r="13" spans="3:11" ht="15.5" thickBot="1" x14ac:dyDescent="0.4">
      <c r="C13" s="400" t="s">
        <v>177</v>
      </c>
      <c r="D13" s="401" t="s">
        <v>31</v>
      </c>
      <c r="E13" s="401">
        <v>5240</v>
      </c>
      <c r="F13" s="401">
        <v>3168</v>
      </c>
      <c r="G13" s="402">
        <v>285</v>
      </c>
      <c r="H13" s="402">
        <v>45</v>
      </c>
      <c r="I13" s="401">
        <v>45</v>
      </c>
      <c r="J13" s="401">
        <f t="shared" si="0"/>
        <v>0.85877862595419852</v>
      </c>
      <c r="K13" s="401">
        <f t="shared" si="1"/>
        <v>5195</v>
      </c>
    </row>
    <row r="14" spans="3:11" ht="15.5" thickBot="1" x14ac:dyDescent="0.4">
      <c r="C14" s="403" t="s">
        <v>178</v>
      </c>
      <c r="D14" s="404" t="s">
        <v>31</v>
      </c>
      <c r="E14" s="404">
        <v>9566</v>
      </c>
      <c r="F14" s="404">
        <v>3767</v>
      </c>
      <c r="G14" s="402">
        <v>150</v>
      </c>
      <c r="H14" s="402">
        <v>87</v>
      </c>
      <c r="I14" s="404">
        <v>88</v>
      </c>
      <c r="J14" s="404">
        <f t="shared" si="0"/>
        <v>0.91992473343090109</v>
      </c>
      <c r="K14" s="404">
        <f t="shared" si="1"/>
        <v>9478</v>
      </c>
    </row>
    <row r="15" spans="3:11" ht="15.5" thickBot="1" x14ac:dyDescent="0.4">
      <c r="C15" s="400" t="s">
        <v>179</v>
      </c>
      <c r="D15" s="401" t="s">
        <v>31</v>
      </c>
      <c r="E15" s="401">
        <v>4300</v>
      </c>
      <c r="F15" s="401">
        <v>144</v>
      </c>
      <c r="G15" s="402">
        <v>0</v>
      </c>
      <c r="H15" s="402">
        <v>0</v>
      </c>
      <c r="I15" s="401">
        <v>0</v>
      </c>
      <c r="J15" s="401">
        <f t="shared" si="0"/>
        <v>0</v>
      </c>
      <c r="K15" s="401">
        <f t="shared" si="1"/>
        <v>4300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"/>
  <sheetViews>
    <sheetView workbookViewId="0">
      <selection activeCell="A3" sqref="A3"/>
    </sheetView>
  </sheetViews>
  <sheetFormatPr defaultRowHeight="14.5" x14ac:dyDescent="0.35"/>
  <cols>
    <col min="1" max="1" width="23.453125" customWidth="1"/>
    <col min="2" max="2" width="13.81640625" customWidth="1"/>
    <col min="3" max="4" width="15.1796875" customWidth="1"/>
    <col min="5" max="5" width="4.81640625" bestFit="1" customWidth="1"/>
    <col min="6" max="6" width="7.54296875" customWidth="1"/>
    <col min="7" max="8" width="15.1796875" customWidth="1"/>
    <col min="9" max="9" width="7.453125" customWidth="1"/>
    <col min="10" max="10" width="6.54296875" bestFit="1" customWidth="1"/>
    <col min="11" max="11" width="11.54296875" customWidth="1"/>
    <col min="12" max="12" width="10.81640625" customWidth="1"/>
    <col min="13" max="13" width="12.54296875" customWidth="1"/>
  </cols>
  <sheetData>
    <row r="1" spans="1:13" ht="14.5" customHeight="1" x14ac:dyDescent="0.35">
      <c r="A1" s="915" t="s">
        <v>753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7"/>
    </row>
    <row r="2" spans="1:13" ht="14.5" customHeight="1" x14ac:dyDescent="0.35">
      <c r="A2" s="918"/>
      <c r="B2" s="919"/>
      <c r="C2" s="919"/>
      <c r="D2" s="919"/>
      <c r="E2" s="919"/>
      <c r="F2" s="919"/>
      <c r="G2" s="919"/>
      <c r="H2" s="919"/>
      <c r="I2" s="919"/>
      <c r="J2" s="919"/>
      <c r="K2" s="919"/>
      <c r="L2" s="919"/>
      <c r="M2" s="920"/>
    </row>
    <row r="3" spans="1:13" ht="46.5" customHeight="1" x14ac:dyDescent="0.35">
      <c r="A3" s="305" t="s">
        <v>181</v>
      </c>
      <c r="B3" s="306" t="s">
        <v>449</v>
      </c>
      <c r="C3" s="306" t="s">
        <v>596</v>
      </c>
      <c r="D3" s="306" t="s">
        <v>238</v>
      </c>
      <c r="E3" s="913" t="s">
        <v>597</v>
      </c>
      <c r="F3" s="914"/>
      <c r="G3" s="306" t="s">
        <v>598</v>
      </c>
      <c r="H3" s="306" t="s">
        <v>599</v>
      </c>
      <c r="I3" s="913" t="s">
        <v>600</v>
      </c>
      <c r="J3" s="914"/>
      <c r="K3" s="306" t="s">
        <v>601</v>
      </c>
      <c r="L3" s="306" t="s">
        <v>241</v>
      </c>
      <c r="M3" s="306" t="s">
        <v>242</v>
      </c>
    </row>
    <row r="4" spans="1:13" ht="31" x14ac:dyDescent="0.35">
      <c r="A4" s="305"/>
      <c r="B4" s="306"/>
      <c r="C4" s="306"/>
      <c r="D4" s="306"/>
      <c r="E4" s="306" t="s">
        <v>170</v>
      </c>
      <c r="F4" s="306" t="s">
        <v>539</v>
      </c>
      <c r="G4" s="306"/>
      <c r="H4" s="306"/>
      <c r="I4" s="306" t="s">
        <v>170</v>
      </c>
      <c r="J4" s="306" t="s">
        <v>539</v>
      </c>
      <c r="K4" s="306"/>
      <c r="L4" s="306"/>
      <c r="M4" s="306"/>
    </row>
    <row r="5" spans="1:13" ht="14.5" customHeight="1" x14ac:dyDescent="0.35">
      <c r="A5" s="307" t="s">
        <v>602</v>
      </c>
      <c r="B5" s="1">
        <v>4724</v>
      </c>
      <c r="C5" s="1">
        <v>4724</v>
      </c>
      <c r="D5" s="1">
        <f>B5-C5</f>
        <v>0</v>
      </c>
      <c r="E5" s="1">
        <v>300</v>
      </c>
      <c r="F5" s="1"/>
      <c r="G5" s="1">
        <v>340</v>
      </c>
      <c r="H5" s="1">
        <v>130</v>
      </c>
      <c r="I5" s="1">
        <v>0</v>
      </c>
      <c r="J5" s="1">
        <v>0</v>
      </c>
      <c r="K5" s="1">
        <v>130</v>
      </c>
      <c r="L5" s="16">
        <f>B5-K5</f>
        <v>4594</v>
      </c>
      <c r="M5" s="18">
        <f>K5/B5%</f>
        <v>2.7519051651143096</v>
      </c>
    </row>
    <row r="6" spans="1:13" ht="14.5" customHeight="1" x14ac:dyDescent="0.35">
      <c r="A6" s="307" t="s">
        <v>603</v>
      </c>
      <c r="B6" s="16">
        <v>19050.3</v>
      </c>
      <c r="C6" s="1">
        <v>19050</v>
      </c>
      <c r="D6" s="16">
        <f>B6-C6</f>
        <v>0.2999999999992724</v>
      </c>
      <c r="E6" s="1">
        <v>1700</v>
      </c>
      <c r="F6" s="1">
        <f>500+500+500</f>
        <v>1500</v>
      </c>
      <c r="G6" s="1">
        <f>6160+F6</f>
        <v>7660</v>
      </c>
      <c r="H6" s="1">
        <v>0</v>
      </c>
      <c r="I6" s="1">
        <v>0</v>
      </c>
      <c r="J6" s="1">
        <v>0</v>
      </c>
      <c r="K6" s="1">
        <v>0</v>
      </c>
      <c r="L6" s="16">
        <f>B6-K6</f>
        <v>19050.3</v>
      </c>
      <c r="M6" s="18">
        <f>K6/B6%</f>
        <v>0</v>
      </c>
    </row>
    <row r="7" spans="1:13" ht="14.5" customHeight="1" x14ac:dyDescent="0.35">
      <c r="A7" s="307" t="s">
        <v>249</v>
      </c>
      <c r="B7" s="1">
        <v>7640</v>
      </c>
      <c r="C7" s="1">
        <f>7640-4500</f>
        <v>3140</v>
      </c>
      <c r="D7" s="1">
        <f>B7-C7</f>
        <v>4500</v>
      </c>
      <c r="E7" s="1"/>
      <c r="F7" s="1"/>
      <c r="G7" s="1">
        <v>0</v>
      </c>
      <c r="H7" s="1">
        <v>0</v>
      </c>
      <c r="I7" s="1">
        <v>0</v>
      </c>
      <c r="J7" s="1">
        <v>0</v>
      </c>
      <c r="K7" s="1">
        <v>0</v>
      </c>
      <c r="L7" s="16">
        <f>B7-K7</f>
        <v>7640</v>
      </c>
      <c r="M7" s="18">
        <f>K7/B7%</f>
        <v>0</v>
      </c>
    </row>
    <row r="8" spans="1:13" ht="14.5" customHeight="1" x14ac:dyDescent="0.35">
      <c r="A8" s="308" t="s">
        <v>222</v>
      </c>
      <c r="B8" s="1">
        <v>1300</v>
      </c>
      <c r="C8" s="1">
        <v>1300</v>
      </c>
      <c r="D8" s="1">
        <f>B8-C8</f>
        <v>0</v>
      </c>
      <c r="E8" s="1"/>
      <c r="F8" s="1"/>
      <c r="G8" s="1">
        <v>0</v>
      </c>
      <c r="H8" s="1">
        <v>0</v>
      </c>
      <c r="I8" s="1">
        <v>0</v>
      </c>
      <c r="J8" s="1">
        <v>0</v>
      </c>
      <c r="K8" s="1">
        <v>0</v>
      </c>
      <c r="L8" s="16">
        <f>B8-K8</f>
        <v>1300</v>
      </c>
      <c r="M8" s="18">
        <f>K8/B8%</f>
        <v>0</v>
      </c>
    </row>
    <row r="9" spans="1:13" ht="15.5" x14ac:dyDescent="0.35">
      <c r="A9" s="309" t="s">
        <v>523</v>
      </c>
      <c r="B9" s="310">
        <f>SUM(B5:B8)</f>
        <v>32714.3</v>
      </c>
      <c r="C9" s="12">
        <f>SUM(C5:C8)</f>
        <v>28214</v>
      </c>
      <c r="D9" s="12">
        <f>B9-C9</f>
        <v>4500.2999999999993</v>
      </c>
      <c r="E9" s="12">
        <f t="shared" ref="E9:K9" si="0">SUM(E5:E8)</f>
        <v>2000</v>
      </c>
      <c r="F9" s="12">
        <f t="shared" si="0"/>
        <v>1500</v>
      </c>
      <c r="G9" s="12">
        <f t="shared" si="0"/>
        <v>8000</v>
      </c>
      <c r="H9" s="12">
        <f t="shared" si="0"/>
        <v>130</v>
      </c>
      <c r="I9" s="12">
        <f t="shared" si="0"/>
        <v>0</v>
      </c>
      <c r="J9" s="12">
        <f t="shared" si="0"/>
        <v>0</v>
      </c>
      <c r="K9" s="12">
        <f t="shared" si="0"/>
        <v>130</v>
      </c>
      <c r="L9" s="310">
        <f>B9-K9</f>
        <v>32584.3</v>
      </c>
      <c r="M9" s="311">
        <f>K9/B9%</f>
        <v>0.39737973913548513</v>
      </c>
    </row>
    <row r="10" spans="1:13" x14ac:dyDescent="0.35">
      <c r="G10">
        <f>G9/B9%</f>
        <v>24.454137792952931</v>
      </c>
    </row>
  </sheetData>
  <mergeCells count="3">
    <mergeCell ref="E3:F3"/>
    <mergeCell ref="I3:J3"/>
    <mergeCell ref="A1:M2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M15"/>
  <sheetViews>
    <sheetView tabSelected="1" topLeftCell="A31" zoomScale="85" zoomScaleNormal="85" workbookViewId="0">
      <selection activeCell="P19" sqref="P19"/>
    </sheetView>
  </sheetViews>
  <sheetFormatPr defaultRowHeight="14.5" x14ac:dyDescent="0.35"/>
  <cols>
    <col min="3" max="3" width="8.7265625" customWidth="1"/>
    <col min="4" max="4" width="17.7265625" customWidth="1"/>
    <col min="6" max="6" width="11" bestFit="1" customWidth="1"/>
    <col min="7" max="7" width="11" customWidth="1"/>
    <col min="8" max="8" width="10.81640625" bestFit="1" customWidth="1"/>
    <col min="9" max="9" width="11.7265625" bestFit="1" customWidth="1"/>
    <col min="10" max="10" width="16.54296875" bestFit="1" customWidth="1"/>
    <col min="11" max="11" width="13" customWidth="1"/>
    <col min="12" max="12" width="11" customWidth="1"/>
  </cols>
  <sheetData>
    <row r="1" spans="2:13" x14ac:dyDescent="0.35">
      <c r="B1" s="582" t="s">
        <v>604</v>
      </c>
      <c r="C1" s="582"/>
      <c r="D1" s="582" t="s">
        <v>181</v>
      </c>
      <c r="E1" s="582" t="s">
        <v>182</v>
      </c>
      <c r="F1" s="582" t="s">
        <v>605</v>
      </c>
      <c r="G1" s="582" t="s">
        <v>606</v>
      </c>
      <c r="H1" s="582" t="s">
        <v>607</v>
      </c>
      <c r="I1" s="582" t="s">
        <v>608</v>
      </c>
      <c r="J1" s="582" t="s">
        <v>609</v>
      </c>
      <c r="K1" s="582" t="s">
        <v>610</v>
      </c>
      <c r="L1" s="582" t="s">
        <v>611</v>
      </c>
      <c r="M1" s="582" t="s">
        <v>612</v>
      </c>
    </row>
    <row r="2" spans="2:13" x14ac:dyDescent="0.35">
      <c r="B2">
        <v>1</v>
      </c>
      <c r="C2" s="925" t="s">
        <v>53</v>
      </c>
      <c r="D2" t="s">
        <v>613</v>
      </c>
      <c r="E2" s="582">
        <f>SUM('Civil Day Wise Progress'!D3:D42)+SUM('Civil Day Wise Progress'!D50:D69)</f>
        <v>7102</v>
      </c>
      <c r="F2" s="582">
        <f>SUM('Civil Day Wise Progress'!E3:E42)+SUM('Civil Day Wise Progress'!E50:E69)</f>
        <v>7040</v>
      </c>
      <c r="G2" s="583">
        <f>F2/E2</f>
        <v>0.99127006477048718</v>
      </c>
      <c r="H2" s="582">
        <f>SUM('Civil Day Wise Progress'!H3:H42)+SUM('Civil Day Wise Progress'!H50:H69)</f>
        <v>6827</v>
      </c>
      <c r="I2" s="583">
        <f>H2/E2</f>
        <v>0.96127851309490286</v>
      </c>
      <c r="J2" s="583">
        <f>H2/F2</f>
        <v>0.96974431818181817</v>
      </c>
      <c r="K2" s="922">
        <f>'Civil Day Wise Progress'!L70</f>
        <v>100</v>
      </c>
      <c r="L2" s="922">
        <f>'Civil Day Wise Progress'!AR70</f>
        <v>35</v>
      </c>
      <c r="M2" s="921">
        <f>'Overall Progress'!J5</f>
        <v>0</v>
      </c>
    </row>
    <row r="3" spans="2:13" x14ac:dyDescent="0.35">
      <c r="B3">
        <v>2</v>
      </c>
      <c r="C3" s="925"/>
      <c r="D3" t="s">
        <v>222</v>
      </c>
      <c r="E3" s="582">
        <f>SUM('Civil Day Wise Progress'!D43:D49)</f>
        <v>1576</v>
      </c>
      <c r="F3" s="582">
        <f>SUM('Civil Day Wise Progress'!E43:E49)</f>
        <v>1514</v>
      </c>
      <c r="G3" s="583">
        <f>F3/E3</f>
        <v>0.96065989847715738</v>
      </c>
      <c r="H3" s="582">
        <f>SUM('Civil Day Wise Progress'!H43:H49)</f>
        <v>1463</v>
      </c>
      <c r="I3" s="583">
        <f>H3/E3</f>
        <v>0.9282994923857868</v>
      </c>
      <c r="J3" s="583">
        <f>H3/F3</f>
        <v>0.96631439894319682</v>
      </c>
      <c r="K3" s="922"/>
      <c r="L3" s="922"/>
      <c r="M3" s="922"/>
    </row>
    <row r="4" spans="2:13" x14ac:dyDescent="0.35">
      <c r="B4">
        <v>1</v>
      </c>
      <c r="C4" s="924" t="s">
        <v>51</v>
      </c>
      <c r="D4" t="s">
        <v>613</v>
      </c>
      <c r="E4" s="584">
        <f>SUM('Civil Day Wise Progress'!D73:D82)+SUM('Civil Day Wise Progress'!D92:D176)</f>
        <v>85188.5</v>
      </c>
      <c r="F4" s="584">
        <f>SUM('Civil Day Wise Progress'!E73:E82)+SUM('Civil Day Wise Progress'!E92:E176)</f>
        <v>79565.5</v>
      </c>
      <c r="G4" s="583">
        <f>F4/E4</f>
        <v>0.9339934380814312</v>
      </c>
      <c r="H4" s="584">
        <f>SUM('Civil Day Wise Progress'!H73:H82)+SUM('Civil Day Wise Progress'!H92:H176)</f>
        <v>56132.41</v>
      </c>
      <c r="I4" s="583">
        <f>H4/E4</f>
        <v>0.65892004202445165</v>
      </c>
      <c r="J4" s="583">
        <f>H4/F4</f>
        <v>0.70548680018349663</v>
      </c>
      <c r="K4" s="582">
        <f>SUM('Civil Day Wise Progress'!L73:L82)+SUM('Civil Day Wise Progress'!L92:L176)</f>
        <v>3347</v>
      </c>
      <c r="L4" s="582">
        <f>SUM('Civil Day Wise Progress'!AR73:AR82)+SUM('Civil Day Wise Progress'!AR92:AR176)</f>
        <v>1470</v>
      </c>
      <c r="M4" s="589">
        <f>SUM('Civil Day Wise Progress'!Q73:Q82)+SUM('Civil Day Wise Progress'!Q92:Q180)</f>
        <v>228</v>
      </c>
    </row>
    <row r="5" spans="2:13" x14ac:dyDescent="0.35">
      <c r="B5">
        <v>2</v>
      </c>
      <c r="C5" s="924"/>
      <c r="D5" t="s">
        <v>222</v>
      </c>
      <c r="E5" s="584">
        <f>SUM('Civil Day Wise Progress'!D83:D91)</f>
        <v>7804.5</v>
      </c>
      <c r="F5" s="584">
        <f>SUM('Civil Day Wise Progress'!E83:E91)</f>
        <v>6714.5</v>
      </c>
      <c r="G5" s="583">
        <f t="shared" ref="G5:G6" si="0">F5/E5</f>
        <v>0.8603369850727145</v>
      </c>
      <c r="H5" s="584">
        <f>SUM('Civil Day Wise Progress'!H83:H91)</f>
        <v>6359.5</v>
      </c>
      <c r="I5" s="583">
        <f>H5/E5</f>
        <v>0.81485040681658016</v>
      </c>
      <c r="J5" s="583">
        <f>H5/F5</f>
        <v>0.94712934693573614</v>
      </c>
      <c r="K5" s="582">
        <f>SUM('Civil Day Wise Progress'!L83:L91)</f>
        <v>212</v>
      </c>
      <c r="L5" s="582">
        <f>SUM('Civil Day Wise Progress'!AR83:AR91)</f>
        <v>34</v>
      </c>
      <c r="M5" s="588">
        <f>SUM('Civil Day Wise Progress'!Q83:Q91)</f>
        <v>0</v>
      </c>
    </row>
    <row r="6" spans="2:13" s="111" customFormat="1" x14ac:dyDescent="0.35">
      <c r="D6" s="111" t="s">
        <v>51</v>
      </c>
      <c r="E6" s="586">
        <f>SUM(E4:E5)</f>
        <v>92993</v>
      </c>
      <c r="F6" s="586">
        <f>SUM(F4:F5)</f>
        <v>86280</v>
      </c>
      <c r="G6" s="587">
        <f t="shared" si="0"/>
        <v>0.92781177077844568</v>
      </c>
      <c r="H6" s="586">
        <f>SUM(H4:H5)</f>
        <v>62491.91</v>
      </c>
      <c r="I6" s="587">
        <f t="shared" ref="I6" si="1">H6/E6</f>
        <v>0.67200660264751111</v>
      </c>
      <c r="J6" s="587">
        <f t="shared" ref="J6" si="2">H6/F6</f>
        <v>0.72429195642095512</v>
      </c>
      <c r="K6" s="586">
        <f>SUM(K4:K5)</f>
        <v>3559</v>
      </c>
      <c r="L6" s="586">
        <f>SUM(L4:L5)</f>
        <v>1504</v>
      </c>
      <c r="M6" s="586">
        <f>SUM(M4:M5)</f>
        <v>228</v>
      </c>
    </row>
    <row r="7" spans="2:13" ht="18" customHeight="1" x14ac:dyDescent="0.35">
      <c r="B7">
        <v>1</v>
      </c>
      <c r="C7" s="923" t="s">
        <v>614</v>
      </c>
      <c r="D7" t="s">
        <v>113</v>
      </c>
      <c r="E7" s="584">
        <f>'Overall Progress'!E17+'Overall Progress'!E18</f>
        <v>51654.661000000007</v>
      </c>
      <c r="F7" s="584">
        <f>'Overall Progress'!F17+'Overall Progress'!F18</f>
        <v>46887.540999999997</v>
      </c>
      <c r="G7" s="583">
        <f>F7/E7</f>
        <v>0.90771171647027149</v>
      </c>
      <c r="H7" s="584">
        <f>'Overall Progress'!L17+'Overall Progress'!L18</f>
        <v>13207.5</v>
      </c>
      <c r="I7" s="583">
        <f>H7/E7</f>
        <v>0.25568844600490165</v>
      </c>
      <c r="J7" s="583">
        <f>H7/F7</f>
        <v>0.28168463771644586</v>
      </c>
      <c r="K7" s="584">
        <f>'Overall Progress'!H17+'Overall Progress'!H18</f>
        <v>1993</v>
      </c>
      <c r="L7" s="584">
        <f>'Overall Progress'!I17+'Overall Progress'!I18</f>
        <v>553.6</v>
      </c>
      <c r="M7" s="584">
        <f>'Overall Progress'!J17+'Overall Progress'!J18</f>
        <v>26</v>
      </c>
    </row>
    <row r="8" spans="2:13" ht="25.5" customHeight="1" x14ac:dyDescent="0.35">
      <c r="B8">
        <v>2</v>
      </c>
      <c r="C8" s="923"/>
      <c r="D8" t="s">
        <v>126</v>
      </c>
      <c r="E8" s="584">
        <f>'Overall Progress'!E24+'Overall Progress'!E26</f>
        <v>7545.26</v>
      </c>
      <c r="F8" s="584">
        <f>SUM('Civil Day Wise Progress'!E88:E96)</f>
        <v>4635.5</v>
      </c>
      <c r="G8" s="583">
        <f t="shared" ref="G8:G11" si="3">F8/E8</f>
        <v>0.61435921359900125</v>
      </c>
      <c r="H8" s="584">
        <f>'Overall Progress'!L24+'Overall Progress'!L26</f>
        <v>1873.1100000000001</v>
      </c>
      <c r="I8" s="583">
        <f t="shared" ref="I8:I11" si="4">H8/E8</f>
        <v>0.2482498946358376</v>
      </c>
      <c r="J8" s="583">
        <f t="shared" ref="J8:J11" si="5">H8/F8</f>
        <v>0.40407938733685689</v>
      </c>
      <c r="K8" s="584">
        <f>'Overall Progress'!H24+'Overall Progress'!H26</f>
        <v>550</v>
      </c>
      <c r="L8" s="584">
        <f>'Overall Progress'!I24+'Overall Progress'!I26</f>
        <v>283.04000000000002</v>
      </c>
      <c r="M8" s="584">
        <f>'Overall Progress'!J24+'Overall Progress'!J26</f>
        <v>30.71</v>
      </c>
    </row>
    <row r="9" spans="2:13" ht="23.25" customHeight="1" x14ac:dyDescent="0.35">
      <c r="B9">
        <v>3</v>
      </c>
      <c r="C9" s="923"/>
      <c r="D9" t="s">
        <v>615</v>
      </c>
      <c r="E9" s="585">
        <f>'Overall Progress'!E21+'Overall Progress'!E22</f>
        <v>5290</v>
      </c>
      <c r="F9" s="585">
        <f>'Overall Progress'!F21+'Overall Progress'!F22</f>
        <v>3933</v>
      </c>
      <c r="G9" s="583">
        <f t="shared" si="3"/>
        <v>0.74347826086956526</v>
      </c>
      <c r="H9" s="582">
        <f>'Overall Progress'!L21+'Overall Progress'!L22</f>
        <v>939</v>
      </c>
      <c r="I9" s="583">
        <f t="shared" si="4"/>
        <v>0.1775047258979206</v>
      </c>
      <c r="J9" s="583">
        <f t="shared" si="5"/>
        <v>0.2387490465293669</v>
      </c>
      <c r="K9" s="584">
        <f>'Overall Progress'!H21+'Overall Progress'!H22</f>
        <v>86.67</v>
      </c>
      <c r="L9" s="584">
        <f>'Overall Progress'!I21+'Overall Progress'!I22</f>
        <v>57</v>
      </c>
      <c r="M9" s="584">
        <f>'Overall Progress'!J21+'Overall Progress'!J22</f>
        <v>5</v>
      </c>
    </row>
    <row r="10" spans="2:13" x14ac:dyDescent="0.35">
      <c r="B10">
        <v>4</v>
      </c>
      <c r="D10" t="s">
        <v>416</v>
      </c>
      <c r="E10" s="582">
        <f>'Overall Progress'!E29+'Overall Progress'!E30</f>
        <v>1972.9180000000001</v>
      </c>
      <c r="F10" s="582">
        <f>'Overall Progress'!F29+'Overall Progress'!F30</f>
        <v>672.91800000000001</v>
      </c>
      <c r="G10" s="583">
        <f t="shared" si="3"/>
        <v>0.3410775308451745</v>
      </c>
      <c r="H10" s="582">
        <f>'Overall Progress'!L29+'Overall Progress'!L30</f>
        <v>0</v>
      </c>
      <c r="I10" s="583">
        <f t="shared" si="4"/>
        <v>0</v>
      </c>
      <c r="J10" s="583">
        <f t="shared" si="5"/>
        <v>0</v>
      </c>
      <c r="K10" s="582">
        <f>'Overall Progress'!H29+'Overall Progress'!H30</f>
        <v>0</v>
      </c>
      <c r="L10" s="582">
        <f>'Overall Progress'!I29+'Overall Progress'!I30</f>
        <v>0</v>
      </c>
      <c r="M10" s="582">
        <f>'Overall Progress'!J29+'Overall Progress'!J30</f>
        <v>0</v>
      </c>
    </row>
    <row r="11" spans="2:13" s="111" customFormat="1" x14ac:dyDescent="0.35">
      <c r="D11" s="111" t="s">
        <v>149</v>
      </c>
      <c r="E11" s="586">
        <f>SUM(E7:E10)</f>
        <v>66462.839000000007</v>
      </c>
      <c r="F11" s="586">
        <f t="shared" ref="F11:H11" si="6">SUM(F7:F10)</f>
        <v>56128.958999999995</v>
      </c>
      <c r="G11" s="587">
        <f t="shared" si="3"/>
        <v>0.84451642217690981</v>
      </c>
      <c r="H11" s="586">
        <f t="shared" si="6"/>
        <v>16019.61</v>
      </c>
      <c r="I11" s="587">
        <f t="shared" si="4"/>
        <v>0.24103108204571277</v>
      </c>
      <c r="J11" s="587">
        <f t="shared" si="5"/>
        <v>0.285407217333213</v>
      </c>
      <c r="K11" s="586">
        <f t="shared" ref="K11" si="7">SUM(K7:K10)</f>
        <v>2629.67</v>
      </c>
      <c r="L11" s="586">
        <f t="shared" ref="L11:M11" si="8">SUM(L7:L10)</f>
        <v>893.6400000000001</v>
      </c>
      <c r="M11" s="586">
        <f t="shared" si="8"/>
        <v>61.71</v>
      </c>
    </row>
    <row r="12" spans="2:13" s="111" customFormat="1" x14ac:dyDescent="0.35">
      <c r="E12" s="586"/>
      <c r="F12" s="586"/>
      <c r="G12" s="587"/>
      <c r="H12" s="586"/>
      <c r="I12" s="587"/>
      <c r="J12" s="587"/>
      <c r="K12" s="586"/>
      <c r="L12" s="586"/>
      <c r="M12" s="586"/>
    </row>
    <row r="13" spans="2:13" s="111" customFormat="1" x14ac:dyDescent="0.35">
      <c r="E13" s="586"/>
      <c r="F13" s="586"/>
      <c r="G13" s="587"/>
      <c r="H13" s="586"/>
      <c r="I13" s="587"/>
      <c r="J13" s="587"/>
      <c r="K13" s="586"/>
      <c r="L13" s="586"/>
      <c r="M13" s="586"/>
    </row>
    <row r="14" spans="2:13" s="111" customFormat="1" x14ac:dyDescent="0.35">
      <c r="E14" s="586"/>
      <c r="F14" s="586"/>
      <c r="G14" s="587"/>
      <c r="H14" s="586"/>
      <c r="I14" s="587"/>
      <c r="J14" s="587"/>
      <c r="K14" s="586"/>
      <c r="L14" s="586"/>
      <c r="M14" s="586"/>
    </row>
    <row r="15" spans="2:13" s="111" customFormat="1" x14ac:dyDescent="0.35">
      <c r="E15" s="586"/>
      <c r="F15" s="586"/>
      <c r="G15" s="587"/>
      <c r="H15" s="586"/>
      <c r="I15" s="587"/>
      <c r="J15" s="587"/>
      <c r="K15" s="586"/>
      <c r="L15" s="586"/>
      <c r="M15" s="586"/>
    </row>
  </sheetData>
  <mergeCells count="6">
    <mergeCell ref="M2:M3"/>
    <mergeCell ref="C7:C9"/>
    <mergeCell ref="C4:C5"/>
    <mergeCell ref="C2:C3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M26"/>
  <sheetViews>
    <sheetView topLeftCell="A4" workbookViewId="0">
      <selection activeCell="C16" sqref="C16"/>
    </sheetView>
  </sheetViews>
  <sheetFormatPr defaultRowHeight="14.5" x14ac:dyDescent="0.35"/>
  <cols>
    <col min="3" max="3" width="27.54296875" customWidth="1"/>
    <col min="5" max="5" width="10.453125" bestFit="1" customWidth="1"/>
    <col min="6" max="9" width="8.81640625" bestFit="1" customWidth="1"/>
    <col min="10" max="10" width="17.7265625" bestFit="1" customWidth="1"/>
    <col min="11" max="11" width="19.1796875" bestFit="1" customWidth="1"/>
  </cols>
  <sheetData>
    <row r="1" spans="3:13" ht="15" thickBot="1" x14ac:dyDescent="0.4"/>
    <row r="2" spans="3:13" ht="16" thickBot="1" x14ac:dyDescent="0.4">
      <c r="C2" s="391" t="s">
        <v>53</v>
      </c>
      <c r="D2" s="392" t="s">
        <v>173</v>
      </c>
      <c r="E2" s="392">
        <v>8500</v>
      </c>
      <c r="F2" s="392">
        <v>8062</v>
      </c>
      <c r="G2" s="393">
        <v>80</v>
      </c>
      <c r="H2" s="393">
        <v>0</v>
      </c>
      <c r="I2" s="563">
        <v>7805</v>
      </c>
      <c r="J2" s="565">
        <f>I2/E2%</f>
        <v>91.82352941176471</v>
      </c>
      <c r="K2" s="575">
        <f>E2-I2</f>
        <v>695</v>
      </c>
    </row>
    <row r="3" spans="3:13" ht="16.5" thickTop="1" thickBot="1" x14ac:dyDescent="0.4">
      <c r="C3" s="394" t="s">
        <v>51</v>
      </c>
      <c r="D3" s="395" t="s">
        <v>174</v>
      </c>
      <c r="E3" s="395">
        <v>105000</v>
      </c>
      <c r="F3" s="395">
        <v>84179</v>
      </c>
      <c r="G3" s="396">
        <v>4029</v>
      </c>
      <c r="H3" s="396">
        <v>379</v>
      </c>
      <c r="I3" s="564">
        <v>50116</v>
      </c>
      <c r="J3" s="566">
        <f t="shared" ref="J3:J13" si="0">I3/E3%</f>
        <v>47.729523809523812</v>
      </c>
      <c r="K3" s="576">
        <f t="shared" ref="K3:K13" si="1">E3-I3</f>
        <v>54884</v>
      </c>
    </row>
    <row r="4" spans="3:13" ht="16" thickBot="1" x14ac:dyDescent="0.4">
      <c r="C4" s="397" t="s">
        <v>175</v>
      </c>
      <c r="D4" s="398" t="s">
        <v>31</v>
      </c>
      <c r="E4" s="398">
        <f>SUM(E5:E8)</f>
        <v>70142</v>
      </c>
      <c r="F4" s="398">
        <f>SUM(F5:F8)</f>
        <v>50265</v>
      </c>
      <c r="G4" s="399">
        <f>SUM(G5:G8)</f>
        <v>2879</v>
      </c>
      <c r="H4" s="399">
        <f>SUM(H5:H8)</f>
        <v>137</v>
      </c>
      <c r="I4" s="398">
        <f>SUM(I5:I8)</f>
        <v>18186</v>
      </c>
      <c r="J4" s="407">
        <f t="shared" si="0"/>
        <v>25.927404408200509</v>
      </c>
      <c r="K4" s="410">
        <f t="shared" si="1"/>
        <v>51956</v>
      </c>
      <c r="M4" s="377">
        <f>610+1+3+7+31+272</f>
        <v>924</v>
      </c>
    </row>
    <row r="5" spans="3:13" ht="16" thickBot="1" x14ac:dyDescent="0.4">
      <c r="C5" s="400" t="s">
        <v>176</v>
      </c>
      <c r="D5" s="401" t="s">
        <v>31</v>
      </c>
      <c r="E5" s="401">
        <v>51166</v>
      </c>
      <c r="F5" s="401">
        <v>42834</v>
      </c>
      <c r="G5" s="402">
        <v>1780</v>
      </c>
      <c r="H5" s="402">
        <v>38</v>
      </c>
      <c r="I5" s="401">
        <v>15673</v>
      </c>
      <c r="J5" s="408">
        <f t="shared" si="0"/>
        <v>30.631669468006095</v>
      </c>
      <c r="K5" s="411">
        <f t="shared" si="1"/>
        <v>35493</v>
      </c>
      <c r="M5" s="377">
        <f>210+260+45+80+240</f>
        <v>835</v>
      </c>
    </row>
    <row r="6" spans="3:13" ht="16" thickBot="1" x14ac:dyDescent="0.4">
      <c r="C6" s="403" t="s">
        <v>177</v>
      </c>
      <c r="D6" s="404" t="s">
        <v>31</v>
      </c>
      <c r="E6" s="401">
        <v>5260</v>
      </c>
      <c r="F6" s="404">
        <v>3392</v>
      </c>
      <c r="G6" s="402">
        <v>351</v>
      </c>
      <c r="H6" s="402">
        <v>17</v>
      </c>
      <c r="I6" s="404">
        <v>2177</v>
      </c>
      <c r="J6" s="409">
        <f t="shared" si="0"/>
        <v>41.387832699619771</v>
      </c>
      <c r="K6" s="412">
        <f t="shared" si="1"/>
        <v>3083</v>
      </c>
      <c r="M6" s="377">
        <f>440+20</f>
        <v>460</v>
      </c>
    </row>
    <row r="7" spans="3:13" ht="16" thickBot="1" x14ac:dyDescent="0.4">
      <c r="C7" s="400" t="s">
        <v>178</v>
      </c>
      <c r="D7" s="401" t="s">
        <v>31</v>
      </c>
      <c r="E7" s="401">
        <v>9416</v>
      </c>
      <c r="F7" s="401">
        <v>3895</v>
      </c>
      <c r="G7" s="402">
        <v>748</v>
      </c>
      <c r="H7" s="402">
        <v>82</v>
      </c>
      <c r="I7" s="401">
        <v>336</v>
      </c>
      <c r="J7" s="408">
        <f t="shared" si="0"/>
        <v>3.5683942225998302</v>
      </c>
      <c r="K7" s="411">
        <f t="shared" si="1"/>
        <v>9080</v>
      </c>
      <c r="M7" s="377">
        <f>615+140</f>
        <v>755</v>
      </c>
    </row>
    <row r="8" spans="3:13" ht="16" thickBot="1" x14ac:dyDescent="0.4">
      <c r="C8" s="403" t="s">
        <v>179</v>
      </c>
      <c r="D8" s="404" t="s">
        <v>31</v>
      </c>
      <c r="E8" s="401">
        <v>4300</v>
      </c>
      <c r="F8" s="404">
        <v>144</v>
      </c>
      <c r="G8" s="402">
        <v>0</v>
      </c>
      <c r="H8" s="402">
        <v>0</v>
      </c>
      <c r="I8" s="404">
        <v>0</v>
      </c>
      <c r="J8" s="409">
        <f t="shared" si="0"/>
        <v>0</v>
      </c>
      <c r="K8" s="412">
        <f t="shared" si="1"/>
        <v>4300</v>
      </c>
      <c r="M8" s="377">
        <f>210+235</f>
        <v>445</v>
      </c>
    </row>
    <row r="9" spans="3:13" ht="16" thickBot="1" x14ac:dyDescent="0.4">
      <c r="C9" s="405" t="s">
        <v>180</v>
      </c>
      <c r="D9" s="406" t="s">
        <v>31</v>
      </c>
      <c r="E9" s="398">
        <f>SUM(E10:E13)</f>
        <v>70142</v>
      </c>
      <c r="F9" s="406">
        <f>SUM(F10:F13)</f>
        <v>50265</v>
      </c>
      <c r="G9" s="399">
        <f>SUM(G10:G13)</f>
        <v>3083</v>
      </c>
      <c r="H9" s="399">
        <f>SUM(H10:H13)</f>
        <v>85</v>
      </c>
      <c r="I9" s="398">
        <f>SUM(I10:I13)</f>
        <v>8754</v>
      </c>
      <c r="J9" s="407">
        <f t="shared" si="0"/>
        <v>12.480396909127199</v>
      </c>
      <c r="K9" s="410">
        <f t="shared" si="1"/>
        <v>61388</v>
      </c>
      <c r="M9" s="377">
        <f>195+70+110+115</f>
        <v>490</v>
      </c>
    </row>
    <row r="10" spans="3:13" ht="15.5" thickBot="1" x14ac:dyDescent="0.4">
      <c r="C10" s="403" t="s">
        <v>176</v>
      </c>
      <c r="D10" s="404" t="s">
        <v>31</v>
      </c>
      <c r="E10" s="401">
        <v>51166</v>
      </c>
      <c r="F10" s="404">
        <v>42834</v>
      </c>
      <c r="G10" s="402">
        <v>2131</v>
      </c>
      <c r="H10" s="402">
        <v>3</v>
      </c>
      <c r="I10" s="404">
        <v>8387</v>
      </c>
      <c r="J10" s="409">
        <f t="shared" si="0"/>
        <v>16.391744517843879</v>
      </c>
      <c r="K10" s="412">
        <f t="shared" si="1"/>
        <v>42779</v>
      </c>
    </row>
    <row r="11" spans="3:13" ht="15.5" thickBot="1" x14ac:dyDescent="0.4">
      <c r="C11" s="400" t="s">
        <v>177</v>
      </c>
      <c r="D11" s="401" t="s">
        <v>31</v>
      </c>
      <c r="E11" s="401">
        <v>5260</v>
      </c>
      <c r="F11" s="401">
        <v>3392</v>
      </c>
      <c r="G11" s="402">
        <v>352</v>
      </c>
      <c r="H11" s="402">
        <v>55</v>
      </c>
      <c r="I11" s="401">
        <v>191</v>
      </c>
      <c r="J11" s="408">
        <f t="shared" si="0"/>
        <v>3.6311787072243344</v>
      </c>
      <c r="K11" s="411">
        <f t="shared" si="1"/>
        <v>5069</v>
      </c>
    </row>
    <row r="12" spans="3:13" ht="15.5" thickBot="1" x14ac:dyDescent="0.4">
      <c r="C12" s="403" t="s">
        <v>178</v>
      </c>
      <c r="D12" s="404" t="s">
        <v>31</v>
      </c>
      <c r="E12" s="401">
        <v>9416</v>
      </c>
      <c r="F12" s="404">
        <v>3895</v>
      </c>
      <c r="G12" s="402">
        <v>600</v>
      </c>
      <c r="H12" s="402">
        <v>27</v>
      </c>
      <c r="I12" s="404">
        <v>176</v>
      </c>
      <c r="J12" s="409">
        <f t="shared" si="0"/>
        <v>1.8691588785046729</v>
      </c>
      <c r="K12" s="412">
        <f t="shared" si="1"/>
        <v>9240</v>
      </c>
    </row>
    <row r="13" spans="3:13" ht="15.5" thickBot="1" x14ac:dyDescent="0.4">
      <c r="C13" s="400" t="s">
        <v>179</v>
      </c>
      <c r="D13" s="401" t="s">
        <v>31</v>
      </c>
      <c r="E13" s="401">
        <v>4300</v>
      </c>
      <c r="F13" s="401">
        <v>144</v>
      </c>
      <c r="G13" s="402">
        <v>0</v>
      </c>
      <c r="H13" s="402">
        <v>0</v>
      </c>
      <c r="I13" s="401">
        <v>0</v>
      </c>
      <c r="J13" s="408">
        <f t="shared" si="0"/>
        <v>0</v>
      </c>
      <c r="K13" s="411">
        <f t="shared" si="1"/>
        <v>4300</v>
      </c>
    </row>
    <row r="14" spans="3:13" ht="15" thickBot="1" x14ac:dyDescent="0.4"/>
    <row r="15" spans="3:13" ht="16" thickBot="1" x14ac:dyDescent="0.4">
      <c r="C15" s="391" t="s">
        <v>616</v>
      </c>
      <c r="D15" s="567"/>
      <c r="E15" s="567"/>
      <c r="F15" s="567"/>
      <c r="G15" s="568"/>
      <c r="H15" s="568"/>
      <c r="I15" s="567"/>
      <c r="J15" s="567"/>
      <c r="K15" s="567"/>
    </row>
    <row r="16" spans="3:13" ht="16" thickTop="1" thickBot="1" x14ac:dyDescent="0.4">
      <c r="C16" s="569" t="s">
        <v>617</v>
      </c>
      <c r="D16" s="570" t="s">
        <v>31</v>
      </c>
      <c r="E16" s="570">
        <v>17129</v>
      </c>
      <c r="F16" s="570">
        <v>9949</v>
      </c>
      <c r="G16" s="571">
        <v>1074</v>
      </c>
      <c r="H16" s="571">
        <v>50</v>
      </c>
      <c r="I16" s="570">
        <v>531</v>
      </c>
      <c r="J16" s="574">
        <f>I16/E16%</f>
        <v>3.100005838052426</v>
      </c>
      <c r="K16" s="570">
        <f>E16-I16</f>
        <v>16598</v>
      </c>
    </row>
    <row r="17" spans="3:11" ht="16" thickTop="1" thickBot="1" x14ac:dyDescent="0.4">
      <c r="C17" s="403" t="s">
        <v>618</v>
      </c>
      <c r="D17" s="404" t="s">
        <v>31</v>
      </c>
      <c r="E17" s="404">
        <v>17129</v>
      </c>
      <c r="F17" s="404">
        <v>9949</v>
      </c>
      <c r="G17" s="402">
        <v>50</v>
      </c>
      <c r="H17" s="402">
        <v>4</v>
      </c>
      <c r="I17" s="404">
        <v>24</v>
      </c>
      <c r="J17" s="574">
        <f>I17/E17%</f>
        <v>0.14011325821705881</v>
      </c>
      <c r="K17" s="404">
        <v>17119</v>
      </c>
    </row>
    <row r="18" spans="3:11" ht="16" thickBot="1" x14ac:dyDescent="0.4">
      <c r="C18" s="405" t="s">
        <v>619</v>
      </c>
      <c r="D18" s="572"/>
      <c r="E18" s="572"/>
      <c r="F18" s="572"/>
      <c r="G18" s="573"/>
      <c r="H18" s="573"/>
      <c r="I18" s="572"/>
      <c r="J18" s="572"/>
      <c r="K18" s="572"/>
    </row>
    <row r="19" spans="3:11" ht="15.5" thickBot="1" x14ac:dyDescent="0.4">
      <c r="C19" s="403" t="s">
        <v>617</v>
      </c>
      <c r="D19" s="404" t="s">
        <v>31</v>
      </c>
      <c r="E19" s="404">
        <v>32714</v>
      </c>
      <c r="F19" s="404">
        <v>28214</v>
      </c>
      <c r="G19" s="402">
        <v>200</v>
      </c>
      <c r="H19" s="402">
        <v>0</v>
      </c>
      <c r="I19" s="404">
        <v>1600</v>
      </c>
      <c r="J19" s="404">
        <v>4.8899999999999997</v>
      </c>
      <c r="K19" s="404">
        <v>31114</v>
      </c>
    </row>
    <row r="20" spans="3:11" ht="15.5" thickBot="1" x14ac:dyDescent="0.4">
      <c r="C20" s="400" t="s">
        <v>618</v>
      </c>
      <c r="D20" s="401" t="s">
        <v>31</v>
      </c>
      <c r="E20" s="401">
        <v>32714</v>
      </c>
      <c r="F20" s="401">
        <v>28214</v>
      </c>
      <c r="G20" s="402">
        <v>0</v>
      </c>
      <c r="H20" s="402">
        <v>0</v>
      </c>
      <c r="I20" s="401">
        <v>130</v>
      </c>
      <c r="J20" s="401">
        <v>0.4</v>
      </c>
      <c r="K20" s="401">
        <v>32584</v>
      </c>
    </row>
    <row r="21" spans="3:11" ht="30.5" thickBot="1" x14ac:dyDescent="0.4">
      <c r="C21" s="397" t="s">
        <v>620</v>
      </c>
      <c r="D21" s="404" t="s">
        <v>621</v>
      </c>
      <c r="E21" s="404">
        <v>520000</v>
      </c>
      <c r="F21" s="404">
        <v>99028</v>
      </c>
      <c r="G21" s="402">
        <v>0</v>
      </c>
      <c r="H21" s="402">
        <v>0</v>
      </c>
      <c r="I21" s="404">
        <v>5000</v>
      </c>
      <c r="J21" s="404">
        <v>0.96</v>
      </c>
      <c r="K21" s="404">
        <v>515000</v>
      </c>
    </row>
    <row r="22" spans="3:11" ht="16" thickBot="1" x14ac:dyDescent="0.4">
      <c r="C22" s="405" t="s">
        <v>622</v>
      </c>
      <c r="D22" s="572"/>
      <c r="E22" s="572"/>
      <c r="F22" s="572"/>
      <c r="G22" s="573"/>
      <c r="H22" s="573"/>
      <c r="I22" s="572"/>
      <c r="J22" s="572"/>
      <c r="K22" s="572"/>
    </row>
    <row r="23" spans="3:11" ht="15.5" thickBot="1" x14ac:dyDescent="0.4">
      <c r="C23" s="403" t="s">
        <v>623</v>
      </c>
      <c r="D23" s="404" t="s">
        <v>44</v>
      </c>
      <c r="E23" s="404">
        <v>29.5</v>
      </c>
      <c r="F23" s="404" t="s">
        <v>138</v>
      </c>
      <c r="G23" s="402">
        <v>0</v>
      </c>
      <c r="H23" s="402">
        <v>0</v>
      </c>
      <c r="I23" s="404">
        <v>0</v>
      </c>
      <c r="J23" s="404">
        <v>0</v>
      </c>
      <c r="K23" s="404">
        <v>29.5</v>
      </c>
    </row>
    <row r="24" spans="3:11" ht="15.5" thickBot="1" x14ac:dyDescent="0.4">
      <c r="C24" s="400" t="s">
        <v>624</v>
      </c>
      <c r="D24" s="401" t="s">
        <v>44</v>
      </c>
      <c r="E24" s="401">
        <v>1255</v>
      </c>
      <c r="F24" s="401" t="s">
        <v>138</v>
      </c>
      <c r="G24" s="402">
        <v>0</v>
      </c>
      <c r="H24" s="402">
        <v>0</v>
      </c>
      <c r="I24" s="401">
        <v>0</v>
      </c>
      <c r="J24" s="401">
        <v>0</v>
      </c>
      <c r="K24" s="401">
        <v>1255</v>
      </c>
    </row>
    <row r="25" spans="3:11" ht="15.5" thickBot="1" x14ac:dyDescent="0.4">
      <c r="C25" s="403" t="s">
        <v>625</v>
      </c>
      <c r="D25" s="404" t="s">
        <v>173</v>
      </c>
      <c r="E25" s="404">
        <v>1275</v>
      </c>
      <c r="F25" s="404" t="s">
        <v>138</v>
      </c>
      <c r="G25" s="402">
        <v>0</v>
      </c>
      <c r="H25" s="402">
        <v>0</v>
      </c>
      <c r="I25" s="404">
        <v>0</v>
      </c>
      <c r="J25" s="404">
        <v>0</v>
      </c>
      <c r="K25" s="404">
        <v>1275</v>
      </c>
    </row>
    <row r="26" spans="3:11" ht="15.5" thickBot="1" x14ac:dyDescent="0.4">
      <c r="C26" s="400" t="s">
        <v>379</v>
      </c>
      <c r="D26" s="401" t="s">
        <v>173</v>
      </c>
      <c r="E26" s="401">
        <v>33</v>
      </c>
      <c r="F26" s="401" t="s">
        <v>138</v>
      </c>
      <c r="G26" s="402">
        <v>0</v>
      </c>
      <c r="H26" s="402">
        <v>0</v>
      </c>
      <c r="I26" s="401">
        <v>0</v>
      </c>
      <c r="J26" s="401">
        <v>0</v>
      </c>
      <c r="K26" s="401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R18"/>
  <sheetViews>
    <sheetView workbookViewId="0">
      <selection activeCell="P5" sqref="P5"/>
    </sheetView>
  </sheetViews>
  <sheetFormatPr defaultRowHeight="14.5" x14ac:dyDescent="0.35"/>
  <cols>
    <col min="16" max="16" width="10.453125" bestFit="1" customWidth="1"/>
  </cols>
  <sheetData>
    <row r="1" spans="2:18" ht="15" thickBot="1" x14ac:dyDescent="0.4"/>
    <row r="2" spans="2:18" ht="41.5" thickBot="1" x14ac:dyDescent="0.4">
      <c r="B2" s="557" t="s">
        <v>583</v>
      </c>
      <c r="C2" s="557" t="s">
        <v>530</v>
      </c>
      <c r="D2" s="557" t="s">
        <v>584</v>
      </c>
      <c r="E2" s="557" t="s">
        <v>583</v>
      </c>
      <c r="F2" s="557" t="s">
        <v>530</v>
      </c>
      <c r="G2" s="557" t="s">
        <v>584</v>
      </c>
      <c r="H2" s="557" t="s">
        <v>448</v>
      </c>
      <c r="I2" s="557" t="s">
        <v>530</v>
      </c>
      <c r="J2" s="557" t="s">
        <v>584</v>
      </c>
      <c r="K2" s="557" t="s">
        <v>448</v>
      </c>
      <c r="L2" s="557" t="s">
        <v>584</v>
      </c>
      <c r="M2" s="557" t="s">
        <v>448</v>
      </c>
      <c r="N2" s="557" t="s">
        <v>530</v>
      </c>
      <c r="O2" s="557" t="s">
        <v>584</v>
      </c>
      <c r="P2" s="557" t="s">
        <v>583</v>
      </c>
      <c r="Q2" s="557" t="s">
        <v>530</v>
      </c>
      <c r="R2" s="557" t="s">
        <v>584</v>
      </c>
    </row>
    <row r="3" spans="2:18" ht="17.5" thickBot="1" x14ac:dyDescent="0.4">
      <c r="B3" s="558">
        <v>731</v>
      </c>
      <c r="C3" s="558">
        <v>731</v>
      </c>
      <c r="D3" s="126">
        <v>727</v>
      </c>
      <c r="E3" s="558">
        <v>9700</v>
      </c>
      <c r="F3" s="558">
        <v>9480</v>
      </c>
      <c r="G3" s="558">
        <v>9442</v>
      </c>
      <c r="H3" s="558">
        <v>5972</v>
      </c>
      <c r="I3" s="558">
        <v>5995</v>
      </c>
      <c r="J3" s="558">
        <v>4183</v>
      </c>
      <c r="K3" s="558">
        <v>5972</v>
      </c>
      <c r="L3" s="558">
        <v>2146</v>
      </c>
      <c r="M3" s="558">
        <v>3016</v>
      </c>
      <c r="N3" s="558">
        <v>3016</v>
      </c>
      <c r="O3" s="558">
        <v>0</v>
      </c>
      <c r="P3" s="126">
        <v>153600</v>
      </c>
      <c r="Q3" s="558">
        <v>55810</v>
      </c>
      <c r="R3" s="558">
        <v>5000</v>
      </c>
    </row>
    <row r="4" spans="2:18" ht="17.5" thickBot="1" x14ac:dyDescent="0.4">
      <c r="B4" s="558">
        <v>1294</v>
      </c>
      <c r="C4" s="558">
        <v>1294</v>
      </c>
      <c r="D4" s="126">
        <v>1294</v>
      </c>
      <c r="E4" s="558">
        <v>8540</v>
      </c>
      <c r="F4" s="558">
        <v>4195</v>
      </c>
      <c r="G4" s="558">
        <v>3882</v>
      </c>
      <c r="H4" s="558">
        <v>8764</v>
      </c>
      <c r="I4" s="558">
        <v>9104</v>
      </c>
      <c r="J4" s="558">
        <v>0</v>
      </c>
      <c r="K4" s="558">
        <v>8764</v>
      </c>
      <c r="L4" s="558">
        <v>0</v>
      </c>
      <c r="M4" s="558">
        <v>570</v>
      </c>
      <c r="N4" s="558">
        <v>570</v>
      </c>
      <c r="O4" s="558">
        <v>0</v>
      </c>
      <c r="P4" s="750" t="s">
        <v>626</v>
      </c>
      <c r="Q4" s="558">
        <v>8030</v>
      </c>
      <c r="R4" s="558">
        <v>0</v>
      </c>
    </row>
    <row r="5" spans="2:18" ht="17.5" thickBot="1" x14ac:dyDescent="0.4">
      <c r="B5" s="558">
        <v>1128</v>
      </c>
      <c r="C5" s="558">
        <v>1128</v>
      </c>
      <c r="D5" s="126">
        <v>1128</v>
      </c>
      <c r="E5" s="558">
        <v>9260</v>
      </c>
      <c r="F5" s="558">
        <v>6842</v>
      </c>
      <c r="G5" s="558">
        <v>5260</v>
      </c>
      <c r="H5" s="558">
        <v>7394</v>
      </c>
      <c r="I5" s="558">
        <v>7484</v>
      </c>
      <c r="J5" s="558">
        <v>2070</v>
      </c>
      <c r="K5" s="558">
        <v>7394</v>
      </c>
      <c r="L5" s="558">
        <v>1124</v>
      </c>
      <c r="M5" s="558">
        <v>2328</v>
      </c>
      <c r="N5" s="558">
        <v>743</v>
      </c>
      <c r="O5" s="558">
        <v>0</v>
      </c>
      <c r="P5" s="126">
        <v>19000</v>
      </c>
      <c r="Q5" s="558">
        <v>0</v>
      </c>
      <c r="R5" s="558">
        <v>0</v>
      </c>
    </row>
    <row r="6" spans="2:18" ht="17.5" thickBot="1" x14ac:dyDescent="0.4">
      <c r="B6" s="558">
        <v>1557</v>
      </c>
      <c r="C6" s="558">
        <v>1446</v>
      </c>
      <c r="D6" s="126">
        <v>1360</v>
      </c>
      <c r="E6" s="558">
        <v>13459</v>
      </c>
      <c r="F6" s="558">
        <v>6579</v>
      </c>
      <c r="G6" s="558">
        <v>5859</v>
      </c>
      <c r="H6" s="558">
        <v>20680</v>
      </c>
      <c r="I6" s="558">
        <v>15178</v>
      </c>
      <c r="J6" s="558">
        <v>9526</v>
      </c>
      <c r="K6" s="558">
        <v>20680</v>
      </c>
      <c r="L6" s="558">
        <v>4989</v>
      </c>
      <c r="M6" s="558">
        <v>3000</v>
      </c>
      <c r="N6" s="558">
        <v>100</v>
      </c>
      <c r="O6" s="558">
        <v>0</v>
      </c>
      <c r="P6" s="126">
        <v>12000</v>
      </c>
      <c r="Q6" s="558">
        <v>0</v>
      </c>
      <c r="R6" s="558">
        <v>0</v>
      </c>
    </row>
    <row r="7" spans="2:18" ht="17.5" thickBot="1" x14ac:dyDescent="0.4">
      <c r="B7" s="558">
        <v>578</v>
      </c>
      <c r="C7" s="558">
        <v>578</v>
      </c>
      <c r="D7" s="126">
        <v>578</v>
      </c>
      <c r="E7" s="558">
        <v>18580</v>
      </c>
      <c r="F7" s="558">
        <v>16350</v>
      </c>
      <c r="G7" s="558">
        <v>8967</v>
      </c>
      <c r="H7" s="558">
        <v>1209</v>
      </c>
      <c r="I7" s="558">
        <v>1012</v>
      </c>
      <c r="J7" s="558">
        <v>0</v>
      </c>
      <c r="K7" s="558">
        <v>1209</v>
      </c>
      <c r="L7" s="558">
        <v>0</v>
      </c>
      <c r="M7" s="558">
        <v>1043</v>
      </c>
      <c r="N7" s="558">
        <v>854</v>
      </c>
      <c r="O7" s="558">
        <v>0</v>
      </c>
      <c r="P7" s="750" t="s">
        <v>627</v>
      </c>
      <c r="Q7" s="558">
        <v>35000</v>
      </c>
      <c r="R7" s="558">
        <v>0</v>
      </c>
    </row>
    <row r="8" spans="2:18" ht="17.5" thickBot="1" x14ac:dyDescent="0.4">
      <c r="B8" s="558">
        <v>136</v>
      </c>
      <c r="C8" s="558">
        <v>136</v>
      </c>
      <c r="D8" s="126">
        <v>136</v>
      </c>
      <c r="E8" s="558">
        <v>3000</v>
      </c>
      <c r="F8" s="558">
        <v>1111</v>
      </c>
      <c r="G8" s="558">
        <v>995</v>
      </c>
      <c r="H8" s="558">
        <v>1928</v>
      </c>
      <c r="I8" s="558">
        <v>1481</v>
      </c>
      <c r="J8" s="558">
        <v>537</v>
      </c>
      <c r="K8" s="558">
        <v>1928</v>
      </c>
      <c r="L8" s="558">
        <v>128</v>
      </c>
      <c r="M8" s="558">
        <v>506</v>
      </c>
      <c r="N8" s="558">
        <v>68</v>
      </c>
      <c r="O8" s="558">
        <v>0</v>
      </c>
      <c r="P8" s="126">
        <v>22500</v>
      </c>
      <c r="Q8" s="558">
        <v>368</v>
      </c>
      <c r="R8" s="558">
        <v>0</v>
      </c>
    </row>
    <row r="9" spans="2:18" ht="17.5" thickBot="1" x14ac:dyDescent="0.4">
      <c r="B9" s="558">
        <v>428</v>
      </c>
      <c r="C9" s="558">
        <v>428</v>
      </c>
      <c r="D9" s="126">
        <v>422</v>
      </c>
      <c r="E9" s="558">
        <v>7500</v>
      </c>
      <c r="F9" s="558">
        <v>6237</v>
      </c>
      <c r="G9" s="558">
        <v>1414</v>
      </c>
      <c r="H9" s="558">
        <v>2950</v>
      </c>
      <c r="I9" s="558">
        <v>1325</v>
      </c>
      <c r="J9" s="558">
        <v>0</v>
      </c>
      <c r="K9" s="558">
        <v>2950</v>
      </c>
      <c r="L9" s="558">
        <v>0</v>
      </c>
      <c r="M9" s="558">
        <v>928</v>
      </c>
      <c r="N9" s="558">
        <v>928</v>
      </c>
      <c r="O9" s="558">
        <v>0</v>
      </c>
      <c r="P9" s="126">
        <v>8000</v>
      </c>
      <c r="Q9" s="558">
        <v>0</v>
      </c>
      <c r="R9" s="558">
        <v>0</v>
      </c>
    </row>
    <row r="10" spans="2:18" ht="17.5" thickBot="1" x14ac:dyDescent="0.4">
      <c r="B10" s="558">
        <v>126</v>
      </c>
      <c r="C10" s="558">
        <v>126</v>
      </c>
      <c r="D10" s="126">
        <v>126</v>
      </c>
      <c r="E10" s="558">
        <v>3000</v>
      </c>
      <c r="F10" s="558">
        <v>937</v>
      </c>
      <c r="G10" s="558">
        <v>904</v>
      </c>
      <c r="H10" s="558">
        <v>500</v>
      </c>
      <c r="I10" s="558">
        <v>375</v>
      </c>
      <c r="J10" s="558">
        <v>0</v>
      </c>
      <c r="K10" s="558">
        <v>500</v>
      </c>
      <c r="L10" s="558">
        <v>0</v>
      </c>
      <c r="M10" s="558">
        <v>475</v>
      </c>
      <c r="N10" s="558">
        <v>475</v>
      </c>
      <c r="O10" s="558">
        <v>0</v>
      </c>
      <c r="P10" s="126">
        <v>4000</v>
      </c>
      <c r="Q10" s="558">
        <v>0</v>
      </c>
      <c r="R10" s="558">
        <v>0</v>
      </c>
    </row>
    <row r="11" spans="2:18" ht="17.5" thickBot="1" x14ac:dyDescent="0.4">
      <c r="B11" s="558">
        <v>374</v>
      </c>
      <c r="C11" s="558">
        <v>304</v>
      </c>
      <c r="D11" s="126">
        <v>154</v>
      </c>
      <c r="E11" s="558">
        <v>3551</v>
      </c>
      <c r="F11" s="558">
        <v>1495</v>
      </c>
      <c r="G11" s="558">
        <v>470</v>
      </c>
      <c r="H11" s="558">
        <v>3599</v>
      </c>
      <c r="I11" s="558">
        <v>1266</v>
      </c>
      <c r="J11" s="558">
        <v>0</v>
      </c>
      <c r="K11" s="558">
        <v>3599</v>
      </c>
      <c r="L11" s="558">
        <v>0</v>
      </c>
      <c r="M11" s="558">
        <v>0</v>
      </c>
      <c r="N11" s="558">
        <v>0</v>
      </c>
      <c r="O11" s="558">
        <v>0</v>
      </c>
      <c r="P11" s="126">
        <v>0</v>
      </c>
      <c r="Q11" s="558">
        <v>0</v>
      </c>
      <c r="R11" s="558">
        <v>0</v>
      </c>
    </row>
    <row r="12" spans="2:18" ht="17.5" thickBot="1" x14ac:dyDescent="0.4">
      <c r="B12" s="558">
        <v>416</v>
      </c>
      <c r="C12" s="558">
        <v>416</v>
      </c>
      <c r="D12" s="126">
        <v>407</v>
      </c>
      <c r="E12" s="558">
        <v>7000</v>
      </c>
      <c r="F12" s="558">
        <v>3633</v>
      </c>
      <c r="G12" s="558">
        <v>2381</v>
      </c>
      <c r="H12" s="558">
        <v>5240</v>
      </c>
      <c r="I12" s="558">
        <v>3392</v>
      </c>
      <c r="J12" s="558">
        <v>2256</v>
      </c>
      <c r="K12" s="558">
        <v>5240</v>
      </c>
      <c r="L12" s="558">
        <v>191</v>
      </c>
      <c r="M12" s="558">
        <v>1800</v>
      </c>
      <c r="N12" s="558">
        <v>849</v>
      </c>
      <c r="O12" s="558">
        <v>0</v>
      </c>
      <c r="P12" s="126">
        <v>5500</v>
      </c>
      <c r="Q12" s="558">
        <v>0</v>
      </c>
      <c r="R12" s="558">
        <v>0</v>
      </c>
    </row>
    <row r="13" spans="2:18" ht="17.5" thickBot="1" x14ac:dyDescent="0.4">
      <c r="B13" s="558">
        <v>358</v>
      </c>
      <c r="C13" s="558">
        <v>303</v>
      </c>
      <c r="D13" s="126">
        <v>300</v>
      </c>
      <c r="E13" s="558">
        <v>9110</v>
      </c>
      <c r="F13" s="558">
        <v>9539</v>
      </c>
      <c r="G13" s="558">
        <v>6711</v>
      </c>
      <c r="H13" s="558">
        <v>975</v>
      </c>
      <c r="I13" s="558">
        <v>767</v>
      </c>
      <c r="J13" s="558">
        <v>364</v>
      </c>
      <c r="K13" s="558">
        <v>975</v>
      </c>
      <c r="L13" s="558">
        <v>176</v>
      </c>
      <c r="M13" s="558">
        <v>600</v>
      </c>
      <c r="N13" s="558">
        <v>400</v>
      </c>
      <c r="O13" s="558">
        <v>0</v>
      </c>
      <c r="P13" s="126">
        <v>252000</v>
      </c>
      <c r="Q13" s="558">
        <v>0</v>
      </c>
      <c r="R13" s="558">
        <v>0</v>
      </c>
    </row>
    <row r="14" spans="2:18" ht="17.5" thickBot="1" x14ac:dyDescent="0.4">
      <c r="B14" s="558">
        <v>460</v>
      </c>
      <c r="C14" s="558">
        <v>180</v>
      </c>
      <c r="D14" s="126">
        <v>156</v>
      </c>
      <c r="E14" s="558">
        <v>5000</v>
      </c>
      <c r="F14" s="558">
        <v>443</v>
      </c>
      <c r="G14" s="558">
        <v>0</v>
      </c>
      <c r="H14" s="558">
        <v>7203</v>
      </c>
      <c r="I14" s="558">
        <v>1742</v>
      </c>
      <c r="J14" s="558">
        <v>0</v>
      </c>
      <c r="K14" s="558">
        <v>7203</v>
      </c>
      <c r="L14" s="558">
        <v>0</v>
      </c>
      <c r="M14" s="558">
        <v>660</v>
      </c>
      <c r="N14" s="558">
        <v>0</v>
      </c>
      <c r="O14" s="558">
        <v>0</v>
      </c>
      <c r="P14" s="126">
        <v>0</v>
      </c>
      <c r="Q14" s="558">
        <v>0</v>
      </c>
      <c r="R14" s="558">
        <v>0</v>
      </c>
    </row>
    <row r="15" spans="2:18" ht="17.5" thickBot="1" x14ac:dyDescent="0.4">
      <c r="B15" s="558">
        <v>992</v>
      </c>
      <c r="C15" s="558">
        <v>992</v>
      </c>
      <c r="D15" s="126">
        <v>992</v>
      </c>
      <c r="E15" s="558">
        <v>5549</v>
      </c>
      <c r="F15" s="558">
        <v>6920</v>
      </c>
      <c r="G15" s="558">
        <v>2417</v>
      </c>
      <c r="H15" s="558">
        <v>750</v>
      </c>
      <c r="I15" s="558">
        <v>0</v>
      </c>
      <c r="J15" s="558">
        <v>0</v>
      </c>
      <c r="K15" s="558">
        <v>750</v>
      </c>
      <c r="L15" s="558">
        <v>0</v>
      </c>
      <c r="M15" s="558">
        <v>0</v>
      </c>
      <c r="N15" s="558">
        <v>0</v>
      </c>
      <c r="O15" s="558">
        <v>0</v>
      </c>
      <c r="P15" s="126">
        <v>0</v>
      </c>
      <c r="Q15" s="558">
        <v>0</v>
      </c>
      <c r="R15" s="558">
        <v>0</v>
      </c>
    </row>
    <row r="16" spans="2:18" ht="17.5" thickBot="1" x14ac:dyDescent="0.4">
      <c r="B16" s="558">
        <v>0</v>
      </c>
      <c r="C16" s="558" t="s">
        <v>592</v>
      </c>
      <c r="D16" s="126"/>
      <c r="E16" s="558">
        <v>1951</v>
      </c>
      <c r="F16" s="558">
        <v>2269</v>
      </c>
      <c r="G16" s="558">
        <v>1417</v>
      </c>
      <c r="H16" s="558">
        <v>1145</v>
      </c>
      <c r="I16" s="558">
        <v>1145</v>
      </c>
      <c r="J16" s="558">
        <v>0</v>
      </c>
      <c r="K16" s="558">
        <v>1145</v>
      </c>
      <c r="L16" s="558">
        <v>0</v>
      </c>
      <c r="M16" s="558">
        <v>2280</v>
      </c>
      <c r="N16" s="558">
        <v>1980</v>
      </c>
      <c r="O16" s="558">
        <v>0</v>
      </c>
      <c r="P16" s="750"/>
      <c r="Q16" s="558">
        <v>0</v>
      </c>
      <c r="R16" s="558">
        <v>0</v>
      </c>
    </row>
    <row r="17" spans="2:18" ht="17.5" thickBot="1" x14ac:dyDescent="0.4">
      <c r="B17" s="558"/>
      <c r="C17" s="558"/>
      <c r="D17" s="126">
        <v>25</v>
      </c>
      <c r="E17" s="558"/>
      <c r="F17" s="558">
        <v>8149</v>
      </c>
      <c r="G17" s="558">
        <v>0</v>
      </c>
      <c r="H17" s="558">
        <v>880</v>
      </c>
      <c r="I17" s="559"/>
      <c r="J17" s="559"/>
      <c r="K17" s="558">
        <v>880</v>
      </c>
      <c r="L17" s="559"/>
      <c r="M17" s="558">
        <v>79</v>
      </c>
      <c r="N17" s="558">
        <v>66</v>
      </c>
      <c r="O17" s="558"/>
      <c r="P17" s="750" t="s">
        <v>628</v>
      </c>
      <c r="Q17" s="558" t="s">
        <v>595</v>
      </c>
      <c r="R17" s="558"/>
    </row>
    <row r="18" spans="2:18" x14ac:dyDescent="0.35">
      <c r="B18">
        <f t="shared" ref="B18:R18" si="0">SUM(B3:B17)</f>
        <v>8578</v>
      </c>
      <c r="C18">
        <f t="shared" si="0"/>
        <v>8062</v>
      </c>
      <c r="D18">
        <f t="shared" si="0"/>
        <v>7805</v>
      </c>
      <c r="E18">
        <f t="shared" si="0"/>
        <v>105200</v>
      </c>
      <c r="F18">
        <f t="shared" si="0"/>
        <v>84179</v>
      </c>
      <c r="G18">
        <f t="shared" si="0"/>
        <v>50119</v>
      </c>
      <c r="H18">
        <f t="shared" si="0"/>
        <v>69189</v>
      </c>
      <c r="I18">
        <f t="shared" si="0"/>
        <v>50266</v>
      </c>
      <c r="J18">
        <f t="shared" si="0"/>
        <v>18936</v>
      </c>
      <c r="K18">
        <f t="shared" si="0"/>
        <v>69189</v>
      </c>
      <c r="L18">
        <f t="shared" si="0"/>
        <v>8754</v>
      </c>
      <c r="M18">
        <f t="shared" si="0"/>
        <v>17285</v>
      </c>
      <c r="N18">
        <f t="shared" si="0"/>
        <v>10049</v>
      </c>
      <c r="O18">
        <f t="shared" si="0"/>
        <v>0</v>
      </c>
      <c r="P18">
        <f t="shared" si="0"/>
        <v>476600</v>
      </c>
      <c r="Q18">
        <f t="shared" si="0"/>
        <v>99208</v>
      </c>
      <c r="R18">
        <f t="shared" si="0"/>
        <v>5000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S73"/>
  <sheetViews>
    <sheetView zoomScale="59" zoomScaleNormal="85" workbookViewId="0">
      <pane xSplit="10" ySplit="1" topLeftCell="M42" activePane="bottomRight" state="frozen"/>
      <selection pane="topRight" activeCell="K1" sqref="K1"/>
      <selection pane="bottomLeft" activeCell="A2" sqref="A2"/>
      <selection pane="bottomRight" activeCell="P46" sqref="P46"/>
    </sheetView>
  </sheetViews>
  <sheetFormatPr defaultColWidth="9.1796875" defaultRowHeight="15.5" x14ac:dyDescent="0.35"/>
  <cols>
    <col min="1" max="1" width="7.26953125" style="25" bestFit="1" customWidth="1"/>
    <col min="2" max="2" width="42.81640625" style="25" customWidth="1"/>
    <col min="3" max="3" width="11.453125" style="25" customWidth="1"/>
    <col min="4" max="4" width="12.54296875" style="25" customWidth="1"/>
    <col min="5" max="5" width="16.7265625" style="25" customWidth="1"/>
    <col min="6" max="7" width="15.54296875" style="25" customWidth="1"/>
    <col min="8" max="8" width="14.453125" style="25" customWidth="1"/>
    <col min="9" max="9" width="14.1796875" style="25" customWidth="1"/>
    <col min="10" max="10" width="3.54296875" style="25" customWidth="1"/>
    <col min="11" max="11" width="8.7265625" style="25" customWidth="1"/>
    <col min="12" max="12" width="5.1796875" style="25" bestFit="1" customWidth="1"/>
    <col min="13" max="28" width="3.7265625" style="25" customWidth="1"/>
    <col min="29" max="29" width="3.81640625" style="25" bestFit="1" customWidth="1"/>
    <col min="30" max="37" width="3.7265625" style="25" customWidth="1"/>
    <col min="38" max="38" width="5.1796875" style="25" bestFit="1" customWidth="1"/>
    <col min="39" max="39" width="3.7265625" style="25" customWidth="1"/>
    <col min="40" max="40" width="4.7265625" style="25" bestFit="1" customWidth="1"/>
    <col min="41" max="42" width="4.453125" style="25" customWidth="1"/>
    <col min="43" max="43" width="13" style="25" customWidth="1"/>
    <col min="44" max="16384" width="9.1796875" style="25"/>
  </cols>
  <sheetData>
    <row r="1" spans="1:43" ht="15.75" customHeight="1" thickBot="1" x14ac:dyDescent="0.45">
      <c r="A1" s="857" t="s">
        <v>524</v>
      </c>
      <c r="B1" s="858"/>
      <c r="C1" s="858"/>
      <c r="D1" s="858"/>
      <c r="E1" s="858"/>
      <c r="F1" s="858"/>
      <c r="G1" s="858"/>
      <c r="H1" s="858"/>
      <c r="I1" s="859"/>
      <c r="J1" s="50"/>
      <c r="K1" s="853">
        <v>44583</v>
      </c>
      <c r="L1" s="854"/>
      <c r="M1" s="854"/>
      <c r="N1" s="854"/>
      <c r="O1" s="854"/>
      <c r="P1" s="854"/>
      <c r="Q1" s="854"/>
      <c r="R1" s="854"/>
      <c r="S1" s="854"/>
      <c r="T1" s="854"/>
      <c r="U1" s="854"/>
      <c r="V1" s="854"/>
      <c r="W1" s="854"/>
      <c r="X1" s="854"/>
      <c r="Y1" s="854"/>
      <c r="Z1" s="854"/>
      <c r="AA1" s="854"/>
      <c r="AB1" s="854"/>
      <c r="AC1" s="854"/>
      <c r="AD1" s="854"/>
      <c r="AE1" s="854"/>
      <c r="AF1" s="854"/>
      <c r="AG1" s="854"/>
      <c r="AH1" s="854"/>
      <c r="AI1" s="854"/>
      <c r="AJ1" s="854"/>
      <c r="AK1" s="854"/>
      <c r="AL1" s="854"/>
      <c r="AM1" s="854"/>
      <c r="AN1" s="854"/>
      <c r="AO1" s="854"/>
      <c r="AP1" s="855"/>
      <c r="AQ1" s="856"/>
    </row>
    <row r="2" spans="1:43" ht="49.5" customHeight="1" thickBot="1" x14ac:dyDescent="0.4">
      <c r="A2" s="55" t="s">
        <v>234</v>
      </c>
      <c r="B2" s="55" t="s">
        <v>235</v>
      </c>
      <c r="C2" s="76" t="s">
        <v>528</v>
      </c>
      <c r="D2" s="76" t="s">
        <v>450</v>
      </c>
      <c r="E2" s="56" t="s">
        <v>237</v>
      </c>
      <c r="F2" s="56" t="s">
        <v>629</v>
      </c>
      <c r="G2" s="57" t="s">
        <v>630</v>
      </c>
      <c r="H2" s="56" t="s">
        <v>241</v>
      </c>
      <c r="I2" s="58" t="s">
        <v>242</v>
      </c>
      <c r="J2" s="68"/>
      <c r="K2" s="59" t="s">
        <v>243</v>
      </c>
      <c r="L2" s="60">
        <v>1</v>
      </c>
      <c r="M2" s="60">
        <v>2</v>
      </c>
      <c r="N2" s="60">
        <v>3</v>
      </c>
      <c r="O2" s="60">
        <v>4</v>
      </c>
      <c r="P2" s="60">
        <v>5</v>
      </c>
      <c r="Q2" s="60">
        <v>6</v>
      </c>
      <c r="R2" s="60">
        <v>7</v>
      </c>
      <c r="S2" s="60">
        <v>8</v>
      </c>
      <c r="T2" s="60">
        <v>9</v>
      </c>
      <c r="U2" s="60">
        <v>10</v>
      </c>
      <c r="V2" s="60">
        <v>11</v>
      </c>
      <c r="W2" s="60">
        <v>12</v>
      </c>
      <c r="X2" s="60">
        <v>13</v>
      </c>
      <c r="Y2" s="60">
        <v>14</v>
      </c>
      <c r="Z2" s="60">
        <v>15</v>
      </c>
      <c r="AA2" s="60">
        <v>16</v>
      </c>
      <c r="AB2" s="60">
        <v>17</v>
      </c>
      <c r="AC2" s="60">
        <v>18</v>
      </c>
      <c r="AD2" s="60">
        <v>19</v>
      </c>
      <c r="AE2" s="60">
        <v>20</v>
      </c>
      <c r="AF2" s="60">
        <v>21</v>
      </c>
      <c r="AG2" s="60">
        <v>22</v>
      </c>
      <c r="AH2" s="60">
        <v>23</v>
      </c>
      <c r="AI2" s="60">
        <v>24</v>
      </c>
      <c r="AJ2" s="60">
        <v>25</v>
      </c>
      <c r="AK2" s="60">
        <v>26</v>
      </c>
      <c r="AL2" s="60">
        <v>27</v>
      </c>
      <c r="AM2" s="60">
        <v>28</v>
      </c>
      <c r="AN2" s="60">
        <v>29</v>
      </c>
      <c r="AO2" s="60">
        <v>30</v>
      </c>
      <c r="AP2" s="132">
        <v>31</v>
      </c>
      <c r="AQ2" s="61" t="s">
        <v>244</v>
      </c>
    </row>
    <row r="3" spans="1:43" x14ac:dyDescent="0.35">
      <c r="A3" s="934">
        <v>1</v>
      </c>
      <c r="B3" s="113" t="s">
        <v>453</v>
      </c>
      <c r="C3" s="932">
        <f>2350+650</f>
        <v>3000</v>
      </c>
      <c r="D3" s="103">
        <f>+D4+D5+D6</f>
        <v>3138</v>
      </c>
      <c r="E3" s="35"/>
      <c r="F3" s="64"/>
      <c r="G3" s="64"/>
      <c r="H3" s="64"/>
      <c r="I3" s="65"/>
      <c r="J3" s="69"/>
      <c r="K3" s="77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130"/>
      <c r="AQ3" s="51"/>
    </row>
    <row r="4" spans="1:43" ht="15.75" customHeight="1" x14ac:dyDescent="0.35">
      <c r="A4" s="935"/>
      <c r="B4" s="114" t="s">
        <v>454</v>
      </c>
      <c r="C4" s="848"/>
      <c r="D4" s="45">
        <v>789</v>
      </c>
      <c r="E4" s="105">
        <f>599+98+13+133+17.25+16.2</f>
        <v>876.45</v>
      </c>
      <c r="F4" s="45">
        <v>61</v>
      </c>
      <c r="G4" s="45">
        <f t="shared" ref="G4:G38" si="0">F4+AQ4</f>
        <v>61</v>
      </c>
      <c r="H4" s="45">
        <f>E4-G4</f>
        <v>815.45</v>
      </c>
      <c r="I4" s="46">
        <v>0</v>
      </c>
      <c r="J4" s="78"/>
      <c r="K4" s="27">
        <v>124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131"/>
      <c r="AQ4" s="28">
        <f>SUM(L4:AP4)</f>
        <v>0</v>
      </c>
    </row>
    <row r="5" spans="1:43" ht="15.75" customHeight="1" x14ac:dyDescent="0.35">
      <c r="A5" s="935"/>
      <c r="B5" s="114" t="s">
        <v>455</v>
      </c>
      <c r="C5" s="848"/>
      <c r="D5" s="45">
        <v>1507</v>
      </c>
      <c r="E5" s="105">
        <f>548.707+139.39+25+349+408</f>
        <v>1470.097</v>
      </c>
      <c r="F5" s="45">
        <v>0</v>
      </c>
      <c r="G5" s="45">
        <f t="shared" si="0"/>
        <v>0</v>
      </c>
      <c r="H5" s="45">
        <f t="shared" ref="H5:H38" si="1">E5-G5</f>
        <v>1470.097</v>
      </c>
      <c r="I5" s="46">
        <v>0</v>
      </c>
      <c r="J5" s="78"/>
      <c r="K5" s="27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131"/>
      <c r="AQ5" s="28">
        <f t="shared" ref="AQ5:AQ38" si="2">SUM(L5:AP5)</f>
        <v>0</v>
      </c>
    </row>
    <row r="6" spans="1:43" ht="15.75" customHeight="1" x14ac:dyDescent="0.35">
      <c r="A6" s="935"/>
      <c r="B6" s="114" t="s">
        <v>456</v>
      </c>
      <c r="C6" s="848"/>
      <c r="D6" s="45">
        <v>842</v>
      </c>
      <c r="E6" s="105">
        <v>52.5</v>
      </c>
      <c r="F6" s="45">
        <v>0</v>
      </c>
      <c r="G6" s="45">
        <f t="shared" si="0"/>
        <v>0</v>
      </c>
      <c r="H6" s="45">
        <f t="shared" si="1"/>
        <v>52.5</v>
      </c>
      <c r="I6" s="46">
        <v>0</v>
      </c>
      <c r="J6" s="78"/>
      <c r="K6" s="27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131"/>
      <c r="AQ6" s="28">
        <f t="shared" si="2"/>
        <v>0</v>
      </c>
    </row>
    <row r="7" spans="1:43" ht="15.75" customHeight="1" x14ac:dyDescent="0.35">
      <c r="A7" s="936"/>
      <c r="B7" s="114" t="s">
        <v>457</v>
      </c>
      <c r="C7" s="848"/>
      <c r="D7" s="45"/>
      <c r="E7" s="105">
        <f>42+47</f>
        <v>89</v>
      </c>
      <c r="F7" s="45">
        <v>0</v>
      </c>
      <c r="G7" s="45">
        <f t="shared" si="0"/>
        <v>0</v>
      </c>
      <c r="H7" s="45">
        <f t="shared" si="1"/>
        <v>89</v>
      </c>
      <c r="I7" s="46">
        <v>0</v>
      </c>
      <c r="J7" s="78"/>
      <c r="K7" s="27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131"/>
      <c r="AQ7" s="28">
        <f t="shared" si="2"/>
        <v>0</v>
      </c>
    </row>
    <row r="8" spans="1:43" ht="16.5" customHeight="1" x14ac:dyDescent="0.35">
      <c r="A8" s="145">
        <v>2</v>
      </c>
      <c r="B8" s="115" t="s">
        <v>458</v>
      </c>
      <c r="C8" s="848"/>
      <c r="D8" s="45">
        <v>0</v>
      </c>
      <c r="E8" s="105">
        <v>0</v>
      </c>
      <c r="F8" s="45">
        <v>0</v>
      </c>
      <c r="G8" s="45">
        <f t="shared" si="0"/>
        <v>0</v>
      </c>
      <c r="H8" s="45">
        <f t="shared" si="1"/>
        <v>0</v>
      </c>
      <c r="I8" s="46">
        <v>0</v>
      </c>
      <c r="J8" s="78"/>
      <c r="K8" s="27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131"/>
      <c r="AQ8" s="28">
        <f t="shared" si="2"/>
        <v>0</v>
      </c>
    </row>
    <row r="9" spans="1:43" x14ac:dyDescent="0.35">
      <c r="A9" s="145">
        <v>3</v>
      </c>
      <c r="B9" s="116" t="s">
        <v>329</v>
      </c>
      <c r="C9" s="148">
        <v>200</v>
      </c>
      <c r="D9" s="45">
        <v>0</v>
      </c>
      <c r="E9" s="105">
        <v>0</v>
      </c>
      <c r="F9" s="45">
        <v>0</v>
      </c>
      <c r="G9" s="45">
        <f t="shared" si="0"/>
        <v>0</v>
      </c>
      <c r="H9" s="45">
        <f t="shared" si="1"/>
        <v>0</v>
      </c>
      <c r="I9" s="46">
        <v>0</v>
      </c>
      <c r="J9" s="70"/>
      <c r="K9" s="27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131"/>
      <c r="AQ9" s="28">
        <f t="shared" si="2"/>
        <v>0</v>
      </c>
    </row>
    <row r="10" spans="1:43" x14ac:dyDescent="0.35">
      <c r="A10" s="933">
        <v>4</v>
      </c>
      <c r="B10" s="116" t="s">
        <v>249</v>
      </c>
      <c r="C10" s="45">
        <f>4780+220</f>
        <v>5000</v>
      </c>
      <c r="D10" s="45">
        <v>2988</v>
      </c>
      <c r="E10" s="105">
        <v>0</v>
      </c>
      <c r="F10" s="45">
        <v>0</v>
      </c>
      <c r="G10" s="45">
        <f t="shared" si="0"/>
        <v>0</v>
      </c>
      <c r="H10" s="45">
        <f t="shared" si="1"/>
        <v>0</v>
      </c>
      <c r="I10" s="46">
        <v>0</v>
      </c>
      <c r="J10" s="70"/>
      <c r="K10" s="27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131"/>
      <c r="AQ10" s="28">
        <f t="shared" si="2"/>
        <v>0</v>
      </c>
    </row>
    <row r="11" spans="1:43" x14ac:dyDescent="0.35">
      <c r="A11" s="933"/>
      <c r="B11" s="116" t="s">
        <v>459</v>
      </c>
      <c r="C11" s="45">
        <v>300</v>
      </c>
      <c r="D11" s="45">
        <v>0</v>
      </c>
      <c r="E11" s="105">
        <v>0</v>
      </c>
      <c r="F11" s="45">
        <v>0</v>
      </c>
      <c r="G11" s="45">
        <f t="shared" si="0"/>
        <v>0</v>
      </c>
      <c r="H11" s="45">
        <f t="shared" si="1"/>
        <v>0</v>
      </c>
      <c r="I11" s="46">
        <v>0</v>
      </c>
      <c r="J11" s="70"/>
      <c r="K11" s="27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131"/>
      <c r="AQ11" s="28">
        <f t="shared" si="2"/>
        <v>0</v>
      </c>
    </row>
    <row r="12" spans="1:43" x14ac:dyDescent="0.35">
      <c r="A12" s="145">
        <v>5</v>
      </c>
      <c r="B12" s="116" t="s">
        <v>460</v>
      </c>
      <c r="C12" s="45">
        <v>1600</v>
      </c>
      <c r="D12" s="45">
        <v>2369.17</v>
      </c>
      <c r="E12" s="105">
        <v>0</v>
      </c>
      <c r="F12" s="45">
        <v>0</v>
      </c>
      <c r="G12" s="45">
        <f t="shared" si="0"/>
        <v>0</v>
      </c>
      <c r="H12" s="45">
        <f t="shared" si="1"/>
        <v>0</v>
      </c>
      <c r="I12" s="46">
        <v>0</v>
      </c>
      <c r="J12" s="70"/>
      <c r="K12" s="27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131"/>
      <c r="AQ12" s="28">
        <f t="shared" si="2"/>
        <v>0</v>
      </c>
    </row>
    <row r="13" spans="1:43" x14ac:dyDescent="0.35">
      <c r="A13" s="145">
        <v>6</v>
      </c>
      <c r="B13" s="116" t="s">
        <v>631</v>
      </c>
      <c r="C13" s="45">
        <v>150</v>
      </c>
      <c r="D13" s="45">
        <v>0</v>
      </c>
      <c r="E13" s="105">
        <v>0</v>
      </c>
      <c r="F13" s="45">
        <v>0</v>
      </c>
      <c r="G13" s="45">
        <f t="shared" si="0"/>
        <v>0</v>
      </c>
      <c r="H13" s="45">
        <f t="shared" si="1"/>
        <v>0</v>
      </c>
      <c r="I13" s="46">
        <v>0</v>
      </c>
      <c r="J13" s="70"/>
      <c r="K13" s="27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131"/>
      <c r="AQ13" s="28">
        <f t="shared" si="2"/>
        <v>0</v>
      </c>
    </row>
    <row r="14" spans="1:43" x14ac:dyDescent="0.35">
      <c r="A14" s="933">
        <v>7</v>
      </c>
      <c r="B14" s="116" t="s">
        <v>338</v>
      </c>
      <c r="C14" s="846">
        <f>8700+875</f>
        <v>9575</v>
      </c>
      <c r="D14" s="45">
        <v>3759.65</v>
      </c>
      <c r="E14" s="105">
        <v>3759.65</v>
      </c>
      <c r="F14" s="45">
        <v>950</v>
      </c>
      <c r="G14" s="45">
        <f t="shared" si="0"/>
        <v>959.5</v>
      </c>
      <c r="H14" s="45">
        <f t="shared" si="1"/>
        <v>2800.15</v>
      </c>
      <c r="I14" s="46">
        <v>0</v>
      </c>
      <c r="J14" s="70"/>
      <c r="K14" s="27">
        <v>489</v>
      </c>
      <c r="L14" s="26">
        <v>0</v>
      </c>
      <c r="M14" s="26">
        <v>0</v>
      </c>
      <c r="N14" s="26">
        <v>0</v>
      </c>
      <c r="O14" s="26">
        <v>7</v>
      </c>
      <c r="P14" s="26">
        <v>2.5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131"/>
      <c r="AQ14" s="28">
        <f t="shared" si="2"/>
        <v>9.5</v>
      </c>
    </row>
    <row r="15" spans="1:43" x14ac:dyDescent="0.35">
      <c r="A15" s="933"/>
      <c r="B15" s="116" t="s">
        <v>209</v>
      </c>
      <c r="C15" s="846"/>
      <c r="D15" s="45">
        <f>1762*40%</f>
        <v>704.80000000000007</v>
      </c>
      <c r="E15" s="105">
        <f>170.251+84.297+75.47+91.2+146.383+218.184+52.616</f>
        <v>838.40099999999995</v>
      </c>
      <c r="F15" s="45">
        <v>0</v>
      </c>
      <c r="G15" s="45">
        <f t="shared" si="0"/>
        <v>0</v>
      </c>
      <c r="H15" s="45">
        <f t="shared" si="1"/>
        <v>838.40099999999995</v>
      </c>
      <c r="I15" s="46">
        <v>0</v>
      </c>
      <c r="J15" s="70"/>
      <c r="K15" s="27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131"/>
      <c r="AQ15" s="28">
        <f t="shared" si="2"/>
        <v>0</v>
      </c>
    </row>
    <row r="16" spans="1:43" x14ac:dyDescent="0.35">
      <c r="A16" s="933"/>
      <c r="B16" s="116" t="s">
        <v>632</v>
      </c>
      <c r="C16" s="846"/>
      <c r="D16" s="45">
        <v>632</v>
      </c>
      <c r="E16" s="105">
        <v>0</v>
      </c>
      <c r="F16" s="45">
        <v>0</v>
      </c>
      <c r="G16" s="45">
        <f t="shared" si="0"/>
        <v>0</v>
      </c>
      <c r="H16" s="45">
        <f t="shared" si="1"/>
        <v>0</v>
      </c>
      <c r="I16" s="46">
        <v>0</v>
      </c>
      <c r="J16" s="70"/>
      <c r="K16" s="27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131"/>
      <c r="AQ16" s="28">
        <f t="shared" si="2"/>
        <v>0</v>
      </c>
    </row>
    <row r="17" spans="1:43" x14ac:dyDescent="0.35">
      <c r="A17" s="933"/>
      <c r="B17" s="116" t="s">
        <v>633</v>
      </c>
      <c r="C17" s="846"/>
      <c r="D17" s="45">
        <v>1100</v>
      </c>
      <c r="E17" s="105">
        <f>46.6+656.4+397</f>
        <v>1100</v>
      </c>
      <c r="F17" s="45">
        <v>0</v>
      </c>
      <c r="G17" s="45">
        <f t="shared" si="0"/>
        <v>0</v>
      </c>
      <c r="H17" s="45">
        <f t="shared" si="1"/>
        <v>1100</v>
      </c>
      <c r="I17" s="46">
        <v>0</v>
      </c>
      <c r="J17" s="70"/>
      <c r="K17" s="27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131"/>
      <c r="AQ17" s="28">
        <f t="shared" si="2"/>
        <v>0</v>
      </c>
    </row>
    <row r="18" spans="1:43" x14ac:dyDescent="0.35">
      <c r="A18" s="145">
        <v>8</v>
      </c>
      <c r="B18" s="116" t="s">
        <v>470</v>
      </c>
      <c r="C18" s="45">
        <v>600</v>
      </c>
      <c r="D18" s="45">
        <v>474.81</v>
      </c>
      <c r="E18" s="105">
        <v>643.35</v>
      </c>
      <c r="F18" s="45">
        <v>0</v>
      </c>
      <c r="G18" s="45">
        <f t="shared" si="0"/>
        <v>0</v>
      </c>
      <c r="H18" s="45">
        <f t="shared" si="1"/>
        <v>643.35</v>
      </c>
      <c r="I18" s="46">
        <v>0</v>
      </c>
      <c r="J18" s="70"/>
      <c r="K18" s="27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131"/>
      <c r="AQ18" s="28">
        <f t="shared" si="2"/>
        <v>0</v>
      </c>
    </row>
    <row r="19" spans="1:43" x14ac:dyDescent="0.35">
      <c r="A19" s="145">
        <v>9</v>
      </c>
      <c r="B19" s="116" t="s">
        <v>471</v>
      </c>
      <c r="C19" s="45">
        <v>300</v>
      </c>
      <c r="D19" s="45">
        <v>207.33099999999999</v>
      </c>
      <c r="E19" s="105">
        <v>152.13999999999999</v>
      </c>
      <c r="F19" s="45">
        <v>0</v>
      </c>
      <c r="G19" s="45">
        <f t="shared" si="0"/>
        <v>0</v>
      </c>
      <c r="H19" s="45">
        <f t="shared" si="1"/>
        <v>152.13999999999999</v>
      </c>
      <c r="I19" s="46">
        <v>0</v>
      </c>
      <c r="J19" s="70"/>
      <c r="K19" s="27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131"/>
      <c r="AQ19" s="28">
        <f t="shared" si="2"/>
        <v>0</v>
      </c>
    </row>
    <row r="20" spans="1:43" x14ac:dyDescent="0.35">
      <c r="A20" s="145">
        <v>10</v>
      </c>
      <c r="B20" s="116" t="s">
        <v>634</v>
      </c>
      <c r="C20" s="45">
        <v>80</v>
      </c>
      <c r="D20" s="45">
        <v>80</v>
      </c>
      <c r="E20" s="105">
        <v>80.067999999999998</v>
      </c>
      <c r="F20" s="45">
        <v>0</v>
      </c>
      <c r="G20" s="45">
        <f>F20+AQ20</f>
        <v>0</v>
      </c>
      <c r="H20" s="45">
        <f>E20-G20</f>
        <v>80.067999999999998</v>
      </c>
      <c r="I20" s="46">
        <v>0</v>
      </c>
      <c r="J20" s="70"/>
      <c r="K20" s="27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131"/>
      <c r="AQ20" s="28"/>
    </row>
    <row r="21" spans="1:43" x14ac:dyDescent="0.35">
      <c r="A21" s="145">
        <v>11</v>
      </c>
      <c r="B21" s="116" t="s">
        <v>472</v>
      </c>
      <c r="C21" s="45">
        <v>100</v>
      </c>
      <c r="D21" s="45">
        <v>0</v>
      </c>
      <c r="E21" s="105">
        <v>0</v>
      </c>
      <c r="F21" s="45">
        <v>0</v>
      </c>
      <c r="G21" s="45">
        <f t="shared" si="0"/>
        <v>0</v>
      </c>
      <c r="H21" s="45">
        <f t="shared" si="1"/>
        <v>0</v>
      </c>
      <c r="I21" s="46">
        <v>0</v>
      </c>
      <c r="J21" s="70"/>
      <c r="K21" s="27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131"/>
      <c r="AQ21" s="28">
        <f t="shared" si="2"/>
        <v>0</v>
      </c>
    </row>
    <row r="22" spans="1:43" x14ac:dyDescent="0.35">
      <c r="A22" s="145">
        <v>12</v>
      </c>
      <c r="B22" s="116" t="s">
        <v>635</v>
      </c>
      <c r="C22" s="45">
        <v>250</v>
      </c>
      <c r="D22" s="45">
        <v>0</v>
      </c>
      <c r="E22" s="105">
        <v>0</v>
      </c>
      <c r="F22" s="45">
        <v>0</v>
      </c>
      <c r="G22" s="45">
        <f t="shared" si="0"/>
        <v>0</v>
      </c>
      <c r="H22" s="45">
        <f t="shared" si="1"/>
        <v>0</v>
      </c>
      <c r="I22" s="46">
        <v>0</v>
      </c>
      <c r="J22" s="70"/>
      <c r="K22" s="27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131"/>
      <c r="AQ22" s="28">
        <f t="shared" si="2"/>
        <v>0</v>
      </c>
    </row>
    <row r="23" spans="1:43" x14ac:dyDescent="0.35">
      <c r="A23" s="143">
        <v>13</v>
      </c>
      <c r="B23" s="79" t="s">
        <v>316</v>
      </c>
      <c r="C23" s="45">
        <v>800</v>
      </c>
      <c r="D23" s="45">
        <v>0</v>
      </c>
      <c r="E23" s="105">
        <v>0</v>
      </c>
      <c r="F23" s="45">
        <v>0</v>
      </c>
      <c r="G23" s="45">
        <f t="shared" si="0"/>
        <v>0</v>
      </c>
      <c r="H23" s="45">
        <f t="shared" si="1"/>
        <v>0</v>
      </c>
      <c r="I23" s="46">
        <v>0</v>
      </c>
      <c r="J23" s="70"/>
      <c r="K23" s="27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131"/>
      <c r="AQ23" s="28">
        <f t="shared" si="2"/>
        <v>0</v>
      </c>
    </row>
    <row r="24" spans="1:43" x14ac:dyDescent="0.35">
      <c r="A24" s="145">
        <v>14</v>
      </c>
      <c r="B24" s="116" t="s">
        <v>636</v>
      </c>
      <c r="C24" s="846">
        <f>400+600</f>
        <v>1000</v>
      </c>
      <c r="D24" s="846">
        <v>180</v>
      </c>
      <c r="E24" s="929">
        <v>180</v>
      </c>
      <c r="F24" s="45">
        <v>0</v>
      </c>
      <c r="G24" s="45">
        <f t="shared" si="0"/>
        <v>0</v>
      </c>
      <c r="H24" s="45">
        <f t="shared" si="1"/>
        <v>180</v>
      </c>
      <c r="I24" s="46">
        <v>0</v>
      </c>
      <c r="J24" s="70"/>
      <c r="K24" s="27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131"/>
      <c r="AQ24" s="28">
        <f t="shared" si="2"/>
        <v>0</v>
      </c>
    </row>
    <row r="25" spans="1:43" x14ac:dyDescent="0.35">
      <c r="A25" s="145">
        <v>15</v>
      </c>
      <c r="B25" s="116" t="s">
        <v>637</v>
      </c>
      <c r="C25" s="846"/>
      <c r="D25" s="846"/>
      <c r="E25" s="930"/>
      <c r="F25" s="45">
        <v>0</v>
      </c>
      <c r="G25" s="45">
        <f t="shared" si="0"/>
        <v>0</v>
      </c>
      <c r="H25" s="45">
        <f t="shared" si="1"/>
        <v>0</v>
      </c>
      <c r="I25" s="46">
        <v>0</v>
      </c>
      <c r="J25" s="70"/>
      <c r="K25" s="27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131"/>
      <c r="AQ25" s="28">
        <f t="shared" si="2"/>
        <v>0</v>
      </c>
    </row>
    <row r="26" spans="1:43" x14ac:dyDescent="0.35">
      <c r="A26" s="143">
        <v>16</v>
      </c>
      <c r="B26" s="79" t="s">
        <v>478</v>
      </c>
      <c r="C26" s="45">
        <v>3000</v>
      </c>
      <c r="D26" s="45">
        <v>1988</v>
      </c>
      <c r="E26" s="105">
        <f>47+529.62+408+298.42+277</f>
        <v>1560.04</v>
      </c>
      <c r="F26" s="45">
        <v>0</v>
      </c>
      <c r="G26" s="45">
        <f t="shared" si="0"/>
        <v>0</v>
      </c>
      <c r="H26" s="45">
        <f t="shared" si="1"/>
        <v>1560.04</v>
      </c>
      <c r="I26" s="46">
        <v>0</v>
      </c>
      <c r="J26" s="70"/>
      <c r="K26" s="27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131"/>
      <c r="AQ26" s="28">
        <f t="shared" si="2"/>
        <v>0</v>
      </c>
    </row>
    <row r="27" spans="1:43" ht="31" x14ac:dyDescent="0.35">
      <c r="A27" s="143">
        <v>17</v>
      </c>
      <c r="B27" s="79" t="s">
        <v>638</v>
      </c>
      <c r="C27" s="45">
        <f>750+75</f>
        <v>825</v>
      </c>
      <c r="D27" s="45">
        <f>34+605+128</f>
        <v>767</v>
      </c>
      <c r="E27" s="105">
        <f>34+11.14+43.515+185.703</f>
        <v>274.358</v>
      </c>
      <c r="F27" s="45">
        <v>0</v>
      </c>
      <c r="G27" s="45">
        <f t="shared" si="0"/>
        <v>0</v>
      </c>
      <c r="H27" s="45">
        <f t="shared" si="1"/>
        <v>274.358</v>
      </c>
      <c r="I27" s="46">
        <v>0</v>
      </c>
      <c r="J27" s="70"/>
      <c r="K27" s="27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131"/>
      <c r="AQ27" s="28">
        <f t="shared" si="2"/>
        <v>0</v>
      </c>
    </row>
    <row r="28" spans="1:43" x14ac:dyDescent="0.35">
      <c r="A28" s="143">
        <v>18</v>
      </c>
      <c r="B28" s="79" t="s">
        <v>639</v>
      </c>
      <c r="C28" s="45">
        <v>150</v>
      </c>
      <c r="D28" s="45">
        <v>0</v>
      </c>
      <c r="E28" s="105">
        <v>0</v>
      </c>
      <c r="F28" s="45">
        <v>0</v>
      </c>
      <c r="G28" s="45">
        <f t="shared" si="0"/>
        <v>0</v>
      </c>
      <c r="H28" s="45">
        <f t="shared" si="1"/>
        <v>0</v>
      </c>
      <c r="I28" s="46">
        <v>0</v>
      </c>
      <c r="J28" s="70"/>
      <c r="K28" s="27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131"/>
      <c r="AQ28" s="28">
        <f t="shared" si="2"/>
        <v>0</v>
      </c>
    </row>
    <row r="29" spans="1:43" ht="31" x14ac:dyDescent="0.35">
      <c r="A29" s="143">
        <v>19</v>
      </c>
      <c r="B29" s="79" t="s">
        <v>480</v>
      </c>
      <c r="C29" s="104">
        <v>250</v>
      </c>
      <c r="D29" s="104">
        <v>0</v>
      </c>
      <c r="E29" s="105">
        <v>0</v>
      </c>
      <c r="F29" s="45">
        <v>0</v>
      </c>
      <c r="G29" s="45">
        <f t="shared" si="0"/>
        <v>0</v>
      </c>
      <c r="H29" s="45">
        <f t="shared" si="1"/>
        <v>0</v>
      </c>
      <c r="I29" s="46">
        <v>0</v>
      </c>
      <c r="J29" s="70"/>
      <c r="K29" s="27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131"/>
      <c r="AQ29" s="28">
        <f t="shared" si="2"/>
        <v>0</v>
      </c>
    </row>
    <row r="30" spans="1:43" x14ac:dyDescent="0.35">
      <c r="A30" s="117">
        <v>20</v>
      </c>
      <c r="B30" s="118" t="s">
        <v>486</v>
      </c>
      <c r="C30" s="119">
        <f>500+1500</f>
        <v>2000</v>
      </c>
      <c r="D30" s="45">
        <v>0</v>
      </c>
      <c r="E30" s="105">
        <v>0</v>
      </c>
      <c r="F30" s="45">
        <v>0</v>
      </c>
      <c r="G30" s="45">
        <f t="shared" si="0"/>
        <v>0</v>
      </c>
      <c r="H30" s="45">
        <f t="shared" si="1"/>
        <v>0</v>
      </c>
      <c r="I30" s="46">
        <v>0</v>
      </c>
      <c r="J30" s="70"/>
      <c r="K30" s="27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131"/>
      <c r="AQ30" s="28">
        <f t="shared" si="2"/>
        <v>0</v>
      </c>
    </row>
    <row r="31" spans="1:43" x14ac:dyDescent="0.35">
      <c r="A31" s="117">
        <v>21</v>
      </c>
      <c r="B31" s="118" t="s">
        <v>487</v>
      </c>
      <c r="C31" s="119">
        <f>300+1500</f>
        <v>1800</v>
      </c>
      <c r="D31" s="45">
        <v>0</v>
      </c>
      <c r="E31" s="105">
        <v>0</v>
      </c>
      <c r="F31" s="45">
        <v>0</v>
      </c>
      <c r="G31" s="45">
        <f t="shared" si="0"/>
        <v>0</v>
      </c>
      <c r="H31" s="45">
        <f t="shared" si="1"/>
        <v>0</v>
      </c>
      <c r="I31" s="46">
        <v>0</v>
      </c>
      <c r="J31" s="70"/>
      <c r="K31" s="27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131"/>
      <c r="AQ31" s="28">
        <f t="shared" si="2"/>
        <v>0</v>
      </c>
    </row>
    <row r="32" spans="1:43" x14ac:dyDescent="0.35">
      <c r="A32" s="143">
        <v>22</v>
      </c>
      <c r="B32" s="79" t="s">
        <v>398</v>
      </c>
      <c r="C32" s="45">
        <v>2600</v>
      </c>
      <c r="D32" s="45">
        <v>0</v>
      </c>
      <c r="E32" s="105">
        <v>0</v>
      </c>
      <c r="F32" s="45">
        <v>0</v>
      </c>
      <c r="G32" s="45">
        <f t="shared" si="0"/>
        <v>0</v>
      </c>
      <c r="H32" s="45">
        <f t="shared" si="1"/>
        <v>0</v>
      </c>
      <c r="I32" s="46">
        <v>0</v>
      </c>
      <c r="J32" s="70"/>
      <c r="K32" s="27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131"/>
      <c r="AQ32" s="28">
        <f t="shared" si="2"/>
        <v>0</v>
      </c>
    </row>
    <row r="33" spans="1:45" x14ac:dyDescent="0.35">
      <c r="A33" s="143">
        <v>23</v>
      </c>
      <c r="B33" s="79" t="s">
        <v>481</v>
      </c>
      <c r="C33" s="45">
        <v>350</v>
      </c>
      <c r="D33" s="45">
        <v>0</v>
      </c>
      <c r="E33" s="105">
        <v>0</v>
      </c>
      <c r="F33" s="45">
        <v>0</v>
      </c>
      <c r="G33" s="45">
        <f t="shared" si="0"/>
        <v>0</v>
      </c>
      <c r="H33" s="45">
        <f t="shared" si="1"/>
        <v>0</v>
      </c>
      <c r="I33" s="46">
        <v>0</v>
      </c>
      <c r="J33" s="70"/>
      <c r="K33" s="27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131"/>
      <c r="AQ33" s="28">
        <f t="shared" si="2"/>
        <v>0</v>
      </c>
    </row>
    <row r="34" spans="1:45" x14ac:dyDescent="0.35">
      <c r="A34" s="143">
        <v>24</v>
      </c>
      <c r="B34" s="79" t="s">
        <v>310</v>
      </c>
      <c r="C34" s="45">
        <v>500</v>
      </c>
      <c r="D34" s="45">
        <v>375</v>
      </c>
      <c r="E34" s="105">
        <v>0</v>
      </c>
      <c r="F34" s="45">
        <v>0</v>
      </c>
      <c r="G34" s="45">
        <f t="shared" si="0"/>
        <v>0</v>
      </c>
      <c r="H34" s="45">
        <f t="shared" si="1"/>
        <v>0</v>
      </c>
      <c r="I34" s="46">
        <v>0</v>
      </c>
      <c r="J34" s="70"/>
      <c r="K34" s="27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131"/>
      <c r="AQ34" s="28">
        <f t="shared" si="2"/>
        <v>0</v>
      </c>
    </row>
    <row r="35" spans="1:45" x14ac:dyDescent="0.35">
      <c r="A35" s="143">
        <v>25</v>
      </c>
      <c r="B35" s="79" t="s">
        <v>640</v>
      </c>
      <c r="C35" s="45">
        <v>750</v>
      </c>
      <c r="D35" s="45">
        <v>0</v>
      </c>
      <c r="E35" s="105">
        <v>0</v>
      </c>
      <c r="F35" s="45">
        <v>0</v>
      </c>
      <c r="G35" s="45">
        <f t="shared" si="0"/>
        <v>0</v>
      </c>
      <c r="H35" s="45">
        <f t="shared" si="1"/>
        <v>0</v>
      </c>
      <c r="I35" s="46">
        <v>0</v>
      </c>
      <c r="J35" s="70"/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131"/>
      <c r="AQ35" s="28">
        <f t="shared" si="2"/>
        <v>0</v>
      </c>
    </row>
    <row r="36" spans="1:45" x14ac:dyDescent="0.35">
      <c r="A36" s="143">
        <v>26</v>
      </c>
      <c r="B36" s="79" t="s">
        <v>482</v>
      </c>
      <c r="C36" s="45">
        <v>1000</v>
      </c>
      <c r="D36" s="45">
        <v>0</v>
      </c>
      <c r="E36" s="105">
        <v>0</v>
      </c>
      <c r="F36" s="45">
        <v>0</v>
      </c>
      <c r="G36" s="45">
        <f t="shared" si="0"/>
        <v>0</v>
      </c>
      <c r="H36" s="45">
        <f t="shared" si="1"/>
        <v>0</v>
      </c>
      <c r="I36" s="46">
        <v>0</v>
      </c>
      <c r="J36" s="70"/>
      <c r="K36" s="27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131"/>
      <c r="AQ36" s="28">
        <f t="shared" si="2"/>
        <v>0</v>
      </c>
    </row>
    <row r="37" spans="1:45" x14ac:dyDescent="0.35">
      <c r="A37" s="120">
        <v>27</v>
      </c>
      <c r="B37" s="121" t="s">
        <v>483</v>
      </c>
      <c r="C37" s="122">
        <v>700</v>
      </c>
      <c r="D37" s="45">
        <v>1145</v>
      </c>
      <c r="E37" s="105">
        <v>632</v>
      </c>
      <c r="F37" s="45">
        <v>0</v>
      </c>
      <c r="G37" s="45">
        <f t="shared" si="0"/>
        <v>0</v>
      </c>
      <c r="H37" s="45">
        <f t="shared" si="1"/>
        <v>632</v>
      </c>
      <c r="I37" s="46">
        <v>0</v>
      </c>
      <c r="J37" s="70"/>
      <c r="K37" s="27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131"/>
      <c r="AQ37" s="28">
        <f t="shared" si="2"/>
        <v>0</v>
      </c>
    </row>
    <row r="38" spans="1:45" ht="16" thickBot="1" x14ac:dyDescent="0.4">
      <c r="A38" s="144">
        <v>28</v>
      </c>
      <c r="B38" s="85" t="s">
        <v>593</v>
      </c>
      <c r="C38" s="48">
        <v>495</v>
      </c>
      <c r="D38" s="48">
        <v>0</v>
      </c>
      <c r="E38" s="147">
        <v>0</v>
      </c>
      <c r="F38" s="48">
        <v>0</v>
      </c>
      <c r="G38" s="45">
        <f t="shared" si="0"/>
        <v>0</v>
      </c>
      <c r="H38" s="48">
        <f t="shared" si="1"/>
        <v>0</v>
      </c>
      <c r="I38" s="49">
        <v>0</v>
      </c>
      <c r="J38" s="70"/>
      <c r="K38" s="3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131"/>
      <c r="AQ38" s="28">
        <f t="shared" si="2"/>
        <v>0</v>
      </c>
    </row>
    <row r="39" spans="1:45" ht="16" thickBot="1" x14ac:dyDescent="0.4">
      <c r="A39" s="86"/>
      <c r="B39" s="87" t="s">
        <v>324</v>
      </c>
      <c r="C39" s="87">
        <f>SUM(C3:C38)</f>
        <v>37375</v>
      </c>
      <c r="D39" s="88">
        <f>SUM(D4:D38)</f>
        <v>19908.760999999999</v>
      </c>
      <c r="E39" s="106">
        <f>SUM(E3:E38)</f>
        <v>11708.054</v>
      </c>
      <c r="F39" s="90">
        <f>SUM(F3:F38)</f>
        <v>1011</v>
      </c>
      <c r="G39" s="90">
        <f>+F39+AQ39</f>
        <v>1020.5</v>
      </c>
      <c r="H39" s="89">
        <f>+E39-G39</f>
        <v>10687.554</v>
      </c>
      <c r="I39" s="91">
        <f>G39/E39%</f>
        <v>8.7162221834644775</v>
      </c>
      <c r="J39" s="71"/>
      <c r="K39" s="32">
        <f>SUM(K4:K38)</f>
        <v>613</v>
      </c>
      <c r="L39" s="33">
        <f>SUM(L3:L38)</f>
        <v>0</v>
      </c>
      <c r="M39" s="33">
        <f t="shared" ref="M39:AQ39" si="3">SUM(M3:M38)</f>
        <v>0</v>
      </c>
      <c r="N39" s="33">
        <f t="shared" si="3"/>
        <v>0</v>
      </c>
      <c r="O39" s="33">
        <f t="shared" si="3"/>
        <v>7</v>
      </c>
      <c r="P39" s="33">
        <f t="shared" si="3"/>
        <v>2.5</v>
      </c>
      <c r="Q39" s="33">
        <f t="shared" si="3"/>
        <v>0</v>
      </c>
      <c r="R39" s="33">
        <f t="shared" si="3"/>
        <v>0</v>
      </c>
      <c r="S39" s="33">
        <f t="shared" si="3"/>
        <v>0</v>
      </c>
      <c r="T39" s="33">
        <f t="shared" si="3"/>
        <v>0</v>
      </c>
      <c r="U39" s="33">
        <f t="shared" si="3"/>
        <v>0</v>
      </c>
      <c r="V39" s="33">
        <f t="shared" si="3"/>
        <v>0</v>
      </c>
      <c r="W39" s="33">
        <f t="shared" si="3"/>
        <v>0</v>
      </c>
      <c r="X39" s="33">
        <f t="shared" si="3"/>
        <v>0</v>
      </c>
      <c r="Y39" s="33">
        <f t="shared" si="3"/>
        <v>0</v>
      </c>
      <c r="Z39" s="33">
        <f t="shared" si="3"/>
        <v>0</v>
      </c>
      <c r="AA39" s="33">
        <f t="shared" si="3"/>
        <v>0</v>
      </c>
      <c r="AB39" s="33">
        <f t="shared" si="3"/>
        <v>0</v>
      </c>
      <c r="AC39" s="33">
        <f t="shared" si="3"/>
        <v>0</v>
      </c>
      <c r="AD39" s="33">
        <f t="shared" si="3"/>
        <v>0</v>
      </c>
      <c r="AE39" s="33">
        <f t="shared" si="3"/>
        <v>0</v>
      </c>
      <c r="AF39" s="33">
        <f t="shared" si="3"/>
        <v>0</v>
      </c>
      <c r="AG39" s="33">
        <f t="shared" si="3"/>
        <v>0</v>
      </c>
      <c r="AH39" s="33">
        <f t="shared" si="3"/>
        <v>0</v>
      </c>
      <c r="AI39" s="33">
        <f t="shared" si="3"/>
        <v>0</v>
      </c>
      <c r="AJ39" s="33">
        <f t="shared" si="3"/>
        <v>0</v>
      </c>
      <c r="AK39" s="33">
        <f t="shared" si="3"/>
        <v>0</v>
      </c>
      <c r="AL39" s="33">
        <f t="shared" si="3"/>
        <v>0</v>
      </c>
      <c r="AM39" s="33">
        <f t="shared" si="3"/>
        <v>0</v>
      </c>
      <c r="AN39" s="33">
        <f t="shared" si="3"/>
        <v>0</v>
      </c>
      <c r="AO39" s="33">
        <f t="shared" si="3"/>
        <v>0</v>
      </c>
      <c r="AP39" s="33">
        <f t="shared" si="3"/>
        <v>0</v>
      </c>
      <c r="AQ39" s="33">
        <f t="shared" si="3"/>
        <v>9.5</v>
      </c>
    </row>
    <row r="40" spans="1:45" ht="20.5" thickBot="1" x14ac:dyDescent="0.45">
      <c r="A40" s="857" t="s">
        <v>527</v>
      </c>
      <c r="B40" s="858"/>
      <c r="C40" s="858"/>
      <c r="D40" s="858"/>
      <c r="E40" s="858"/>
      <c r="F40" s="858"/>
      <c r="G40" s="858"/>
      <c r="H40" s="858"/>
      <c r="I40" s="859"/>
      <c r="J40" s="50"/>
      <c r="K40" s="853">
        <v>44583</v>
      </c>
      <c r="L40" s="854"/>
      <c r="M40" s="854"/>
      <c r="N40" s="854"/>
      <c r="O40" s="854"/>
      <c r="P40" s="854"/>
      <c r="Q40" s="854"/>
      <c r="R40" s="854"/>
      <c r="S40" s="854"/>
      <c r="T40" s="854"/>
      <c r="U40" s="854"/>
      <c r="V40" s="854"/>
      <c r="W40" s="854"/>
      <c r="X40" s="854"/>
      <c r="Y40" s="854"/>
      <c r="Z40" s="854"/>
      <c r="AA40" s="854"/>
      <c r="AB40" s="854"/>
      <c r="AC40" s="854"/>
      <c r="AD40" s="854"/>
      <c r="AE40" s="854"/>
      <c r="AF40" s="854"/>
      <c r="AG40" s="854"/>
      <c r="AH40" s="854"/>
      <c r="AI40" s="854"/>
      <c r="AJ40" s="854"/>
      <c r="AK40" s="854"/>
      <c r="AL40" s="854"/>
      <c r="AM40" s="854"/>
      <c r="AN40" s="854"/>
      <c r="AO40" s="854"/>
      <c r="AP40" s="855"/>
      <c r="AQ40" s="856"/>
    </row>
    <row r="41" spans="1:45" ht="47" thickBot="1" x14ac:dyDescent="0.4">
      <c r="A41" s="41" t="s">
        <v>234</v>
      </c>
      <c r="B41" s="42" t="s">
        <v>235</v>
      </c>
      <c r="C41" s="82" t="s">
        <v>528</v>
      </c>
      <c r="D41" s="82" t="s">
        <v>450</v>
      </c>
      <c r="E41" s="42" t="s">
        <v>237</v>
      </c>
      <c r="F41" s="56" t="s">
        <v>629</v>
      </c>
      <c r="G41" s="57" t="s">
        <v>630</v>
      </c>
      <c r="H41" s="42" t="s">
        <v>241</v>
      </c>
      <c r="I41" s="43" t="s">
        <v>242</v>
      </c>
      <c r="J41" s="72"/>
      <c r="K41" s="52" t="s">
        <v>243</v>
      </c>
      <c r="L41" s="53">
        <v>1</v>
      </c>
      <c r="M41" s="53">
        <v>2</v>
      </c>
      <c r="N41" s="53">
        <v>3</v>
      </c>
      <c r="O41" s="53">
        <v>4</v>
      </c>
      <c r="P41" s="53">
        <v>5</v>
      </c>
      <c r="Q41" s="53">
        <v>6</v>
      </c>
      <c r="R41" s="53">
        <v>7</v>
      </c>
      <c r="S41" s="53">
        <v>8</v>
      </c>
      <c r="T41" s="53">
        <v>9</v>
      </c>
      <c r="U41" s="53">
        <v>10</v>
      </c>
      <c r="V41" s="53">
        <v>11</v>
      </c>
      <c r="W41" s="53">
        <v>12</v>
      </c>
      <c r="X41" s="53">
        <v>13</v>
      </c>
      <c r="Y41" s="53">
        <v>14</v>
      </c>
      <c r="Z41" s="53">
        <v>15</v>
      </c>
      <c r="AA41" s="53">
        <v>16</v>
      </c>
      <c r="AB41" s="53">
        <v>17</v>
      </c>
      <c r="AC41" s="53">
        <v>18</v>
      </c>
      <c r="AD41" s="53">
        <v>19</v>
      </c>
      <c r="AE41" s="53">
        <v>20</v>
      </c>
      <c r="AF41" s="53">
        <v>21</v>
      </c>
      <c r="AG41" s="53">
        <v>22</v>
      </c>
      <c r="AH41" s="53">
        <v>23</v>
      </c>
      <c r="AI41" s="53">
        <v>24</v>
      </c>
      <c r="AJ41" s="53">
        <v>25</v>
      </c>
      <c r="AK41" s="60">
        <v>26</v>
      </c>
      <c r="AL41" s="53">
        <v>27</v>
      </c>
      <c r="AM41" s="53">
        <v>28</v>
      </c>
      <c r="AN41" s="53">
        <v>29</v>
      </c>
      <c r="AO41" s="53">
        <v>30</v>
      </c>
      <c r="AP41" s="129">
        <v>31</v>
      </c>
      <c r="AQ41" s="34" t="s">
        <v>244</v>
      </c>
    </row>
    <row r="42" spans="1:45" ht="16" thickBot="1" x14ac:dyDescent="0.4">
      <c r="A42" s="146">
        <v>1</v>
      </c>
      <c r="B42" s="123" t="s">
        <v>491</v>
      </c>
      <c r="C42" s="149">
        <v>1500</v>
      </c>
      <c r="D42" s="150">
        <v>1340</v>
      </c>
      <c r="E42" s="149">
        <v>1340</v>
      </c>
      <c r="F42" s="35">
        <v>539</v>
      </c>
      <c r="G42" s="35">
        <f t="shared" ref="G42:G72" si="4">F42+AQ42</f>
        <v>539</v>
      </c>
      <c r="H42" s="35">
        <f>E42-G42</f>
        <v>801</v>
      </c>
      <c r="I42" s="81">
        <f>G42/E42%</f>
        <v>40.223880597014926</v>
      </c>
      <c r="J42" s="74"/>
      <c r="K42" s="62">
        <v>188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C42" s="26"/>
      <c r="AD42" s="26"/>
      <c r="AE42" s="26"/>
      <c r="AF42" s="26"/>
      <c r="AG42" s="26"/>
      <c r="AH42" s="54"/>
      <c r="AI42" s="54"/>
      <c r="AJ42" s="54"/>
      <c r="AK42" s="26"/>
      <c r="AL42" s="54"/>
      <c r="AM42" s="26"/>
      <c r="AN42" s="54"/>
      <c r="AO42" s="54"/>
      <c r="AP42" s="130"/>
      <c r="AQ42" s="51">
        <f>SUM(L42:AP42)</f>
        <v>0</v>
      </c>
    </row>
    <row r="43" spans="1:45" ht="15.75" customHeight="1" thickBot="1" x14ac:dyDescent="0.4">
      <c r="A43" s="145">
        <v>2</v>
      </c>
      <c r="B43" s="124" t="s">
        <v>492</v>
      </c>
      <c r="C43" s="151">
        <f>200+45</f>
        <v>245</v>
      </c>
      <c r="D43" s="152">
        <v>165</v>
      </c>
      <c r="E43" s="151">
        <v>154.21</v>
      </c>
      <c r="F43" s="26">
        <v>0</v>
      </c>
      <c r="G43" s="26">
        <f t="shared" si="4"/>
        <v>0</v>
      </c>
      <c r="H43" s="26">
        <f t="shared" ref="H43:H72" si="5">E43-G43</f>
        <v>154.21</v>
      </c>
      <c r="I43" s="83">
        <f>G43/E43%</f>
        <v>0</v>
      </c>
      <c r="J43" s="73"/>
      <c r="K43" s="27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131"/>
      <c r="AQ43" s="51">
        <f t="shared" ref="AQ43:AQ72" si="6">SUM(L43:AP43)</f>
        <v>0</v>
      </c>
    </row>
    <row r="44" spans="1:45" ht="16" thickBot="1" x14ac:dyDescent="0.4">
      <c r="A44" s="145">
        <v>3</v>
      </c>
      <c r="B44" s="124" t="s">
        <v>493</v>
      </c>
      <c r="C44" s="151">
        <v>400</v>
      </c>
      <c r="D44" s="152">
        <f>380.6+30</f>
        <v>410.6</v>
      </c>
      <c r="E44" s="151">
        <v>410.6</v>
      </c>
      <c r="F44" s="26">
        <v>0</v>
      </c>
      <c r="G44" s="26">
        <f t="shared" si="4"/>
        <v>0</v>
      </c>
      <c r="H44" s="26">
        <f t="shared" si="5"/>
        <v>410.6</v>
      </c>
      <c r="I44" s="83">
        <f>G44/E44%</f>
        <v>0</v>
      </c>
      <c r="J44" s="73"/>
      <c r="K44" s="27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131"/>
      <c r="AQ44" s="51">
        <f t="shared" si="6"/>
        <v>0</v>
      </c>
      <c r="AS44" s="25">
        <v>33</v>
      </c>
    </row>
    <row r="45" spans="1:45" ht="16" thickBot="1" x14ac:dyDescent="0.4">
      <c r="A45" s="145">
        <v>4</v>
      </c>
      <c r="B45" s="124" t="s">
        <v>494</v>
      </c>
      <c r="C45" s="110">
        <f>1500+50</f>
        <v>1550</v>
      </c>
      <c r="D45" s="153">
        <f>594.6+620</f>
        <v>1214.5999999999999</v>
      </c>
      <c r="E45" s="154">
        <f>594.6+620</f>
        <v>1214.5999999999999</v>
      </c>
      <c r="F45" s="26">
        <v>0</v>
      </c>
      <c r="G45" s="26">
        <f t="shared" si="4"/>
        <v>0</v>
      </c>
      <c r="H45" s="26">
        <f t="shared" si="5"/>
        <v>1214.5999999999999</v>
      </c>
      <c r="I45" s="83">
        <v>0</v>
      </c>
      <c r="J45" s="73"/>
      <c r="K45" s="27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131"/>
      <c r="AQ45" s="51">
        <f t="shared" si="6"/>
        <v>0</v>
      </c>
      <c r="AS45" s="25">
        <v>4</v>
      </c>
    </row>
    <row r="46" spans="1:45" ht="16" thickBot="1" x14ac:dyDescent="0.4">
      <c r="A46" s="145">
        <v>5</v>
      </c>
      <c r="B46" s="124" t="s">
        <v>496</v>
      </c>
      <c r="C46" s="155">
        <f>2600+50</f>
        <v>2650</v>
      </c>
      <c r="D46" s="156">
        <v>1888.5</v>
      </c>
      <c r="E46" s="155">
        <f>792+960.15+57.82</f>
        <v>1809.97</v>
      </c>
      <c r="F46" s="26">
        <v>149.6</v>
      </c>
      <c r="G46" s="26">
        <f t="shared" si="4"/>
        <v>162.5</v>
      </c>
      <c r="H46" s="26">
        <f t="shared" si="5"/>
        <v>1647.47</v>
      </c>
      <c r="I46" s="83">
        <f>G46/E46%</f>
        <v>8.9780493599341433</v>
      </c>
      <c r="J46" s="73"/>
      <c r="K46" s="27">
        <v>90</v>
      </c>
      <c r="L46" s="26">
        <v>0</v>
      </c>
      <c r="M46" s="26">
        <v>0</v>
      </c>
      <c r="N46" s="26">
        <v>0</v>
      </c>
      <c r="O46" s="26">
        <v>6.4</v>
      </c>
      <c r="P46" s="26">
        <v>6.5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131"/>
      <c r="AQ46" s="51">
        <f t="shared" si="6"/>
        <v>12.9</v>
      </c>
      <c r="AS46" s="25">
        <v>36.1</v>
      </c>
    </row>
    <row r="47" spans="1:45" ht="16" thickBot="1" x14ac:dyDescent="0.4">
      <c r="A47" s="145">
        <v>6</v>
      </c>
      <c r="B47" s="124" t="s">
        <v>497</v>
      </c>
      <c r="C47" s="155">
        <f>300+80+70</f>
        <v>450</v>
      </c>
      <c r="D47" s="156">
        <v>200</v>
      </c>
      <c r="E47" s="155">
        <v>237</v>
      </c>
      <c r="F47" s="26">
        <v>0</v>
      </c>
      <c r="G47" s="26">
        <f t="shared" si="4"/>
        <v>0</v>
      </c>
      <c r="H47" s="26">
        <f t="shared" si="5"/>
        <v>237</v>
      </c>
      <c r="I47" s="83">
        <v>0</v>
      </c>
      <c r="J47" s="73"/>
      <c r="K47" s="27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131"/>
      <c r="AQ47" s="51">
        <f t="shared" si="6"/>
        <v>0</v>
      </c>
      <c r="AS47" s="25">
        <v>12</v>
      </c>
    </row>
    <row r="48" spans="1:45" ht="16" thickBot="1" x14ac:dyDescent="0.4">
      <c r="A48" s="145">
        <v>7</v>
      </c>
      <c r="B48" s="124" t="s">
        <v>641</v>
      </c>
      <c r="C48" s="931">
        <v>700</v>
      </c>
      <c r="D48" s="156">
        <v>0</v>
      </c>
      <c r="E48" s="155">
        <v>0</v>
      </c>
      <c r="F48" s="26">
        <v>0</v>
      </c>
      <c r="G48" s="26">
        <f t="shared" si="4"/>
        <v>0</v>
      </c>
      <c r="H48" s="26">
        <f t="shared" si="5"/>
        <v>0</v>
      </c>
      <c r="I48" s="83">
        <v>0</v>
      </c>
      <c r="J48" s="73"/>
      <c r="K48" s="27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131"/>
      <c r="AQ48" s="51">
        <f t="shared" si="6"/>
        <v>0</v>
      </c>
      <c r="AS48" s="25">
        <v>35</v>
      </c>
    </row>
    <row r="49" spans="1:45" ht="16" thickBot="1" x14ac:dyDescent="0.4">
      <c r="A49" s="145">
        <v>8</v>
      </c>
      <c r="B49" s="124" t="s">
        <v>499</v>
      </c>
      <c r="C49" s="931"/>
      <c r="D49" s="156">
        <v>0</v>
      </c>
      <c r="E49" s="155">
        <v>0</v>
      </c>
      <c r="F49" s="26">
        <v>0</v>
      </c>
      <c r="G49" s="26">
        <f t="shared" si="4"/>
        <v>0</v>
      </c>
      <c r="H49" s="26">
        <f t="shared" si="5"/>
        <v>0</v>
      </c>
      <c r="I49" s="83">
        <v>0</v>
      </c>
      <c r="J49" s="73"/>
      <c r="K49" s="27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131"/>
      <c r="AQ49" s="51">
        <f t="shared" si="6"/>
        <v>0</v>
      </c>
      <c r="AS49" s="25">
        <v>29.5</v>
      </c>
    </row>
    <row r="50" spans="1:45" ht="16" thickBot="1" x14ac:dyDescent="0.4">
      <c r="A50" s="145">
        <v>9</v>
      </c>
      <c r="B50" s="124" t="s">
        <v>642</v>
      </c>
      <c r="C50" s="931"/>
      <c r="D50" s="156">
        <v>0</v>
      </c>
      <c r="E50" s="155">
        <v>0</v>
      </c>
      <c r="F50" s="26">
        <v>0</v>
      </c>
      <c r="G50" s="26">
        <f t="shared" si="4"/>
        <v>0</v>
      </c>
      <c r="H50" s="26">
        <f t="shared" si="5"/>
        <v>0</v>
      </c>
      <c r="I50" s="83">
        <v>0</v>
      </c>
      <c r="J50" s="73"/>
      <c r="K50" s="27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131"/>
      <c r="AQ50" s="51">
        <f t="shared" si="6"/>
        <v>0</v>
      </c>
    </row>
    <row r="51" spans="1:45" ht="16" thickBot="1" x14ac:dyDescent="0.4">
      <c r="A51" s="145">
        <v>10</v>
      </c>
      <c r="B51" s="124" t="s">
        <v>266</v>
      </c>
      <c r="C51" s="155">
        <v>200</v>
      </c>
      <c r="D51" s="156">
        <v>275</v>
      </c>
      <c r="E51" s="155">
        <v>275</v>
      </c>
      <c r="F51" s="26">
        <v>0</v>
      </c>
      <c r="G51" s="26">
        <f t="shared" si="4"/>
        <v>0</v>
      </c>
      <c r="H51" s="26">
        <f t="shared" si="5"/>
        <v>275</v>
      </c>
      <c r="I51" s="83">
        <v>0</v>
      </c>
      <c r="J51" s="73"/>
      <c r="K51" s="27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131"/>
      <c r="AQ51" s="51">
        <f t="shared" si="6"/>
        <v>0</v>
      </c>
    </row>
    <row r="52" spans="1:45" ht="16" thickBot="1" x14ac:dyDescent="0.4">
      <c r="A52" s="145">
        <v>11</v>
      </c>
      <c r="B52" s="124" t="s">
        <v>501</v>
      </c>
      <c r="C52" s="155">
        <v>250</v>
      </c>
      <c r="D52" s="156">
        <v>0</v>
      </c>
      <c r="E52" s="155">
        <v>0</v>
      </c>
      <c r="F52" s="26">
        <v>0</v>
      </c>
      <c r="G52" s="26">
        <f t="shared" si="4"/>
        <v>0</v>
      </c>
      <c r="H52" s="26">
        <f t="shared" si="5"/>
        <v>0</v>
      </c>
      <c r="I52" s="83">
        <v>0</v>
      </c>
      <c r="J52" s="73"/>
      <c r="K52" s="27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131"/>
      <c r="AQ52" s="51">
        <f t="shared" si="6"/>
        <v>0</v>
      </c>
    </row>
    <row r="53" spans="1:45" ht="16" thickBot="1" x14ac:dyDescent="0.4">
      <c r="A53" s="145">
        <v>12</v>
      </c>
      <c r="B53" s="124" t="s">
        <v>503</v>
      </c>
      <c r="C53" s="155">
        <v>60</v>
      </c>
      <c r="D53" s="156">
        <v>0</v>
      </c>
      <c r="E53" s="155">
        <v>0</v>
      </c>
      <c r="F53" s="26">
        <v>0</v>
      </c>
      <c r="G53" s="26">
        <f t="shared" si="4"/>
        <v>0</v>
      </c>
      <c r="H53" s="26">
        <f t="shared" si="5"/>
        <v>0</v>
      </c>
      <c r="I53" s="83">
        <v>0</v>
      </c>
      <c r="J53" s="73"/>
      <c r="K53" s="27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131"/>
      <c r="AQ53" s="51">
        <f t="shared" si="6"/>
        <v>0</v>
      </c>
    </row>
    <row r="54" spans="1:45" ht="16" thickBot="1" x14ac:dyDescent="0.4">
      <c r="A54" s="145">
        <v>13</v>
      </c>
      <c r="B54" s="124" t="s">
        <v>643</v>
      </c>
      <c r="C54" s="155">
        <v>250</v>
      </c>
      <c r="D54" s="156">
        <v>0</v>
      </c>
      <c r="E54" s="155">
        <v>0</v>
      </c>
      <c r="F54" s="26">
        <v>0</v>
      </c>
      <c r="G54" s="26">
        <f t="shared" si="4"/>
        <v>0</v>
      </c>
      <c r="H54" s="26">
        <f t="shared" si="5"/>
        <v>0</v>
      </c>
      <c r="I54" s="83">
        <v>0</v>
      </c>
      <c r="J54" s="73"/>
      <c r="K54" s="27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131"/>
      <c r="AQ54" s="51">
        <f t="shared" si="6"/>
        <v>0</v>
      </c>
    </row>
    <row r="55" spans="1:45" ht="16" thickBot="1" x14ac:dyDescent="0.4">
      <c r="A55" s="145">
        <v>14</v>
      </c>
      <c r="B55" s="124" t="s">
        <v>504</v>
      </c>
      <c r="C55" s="927">
        <v>9150</v>
      </c>
      <c r="D55" s="159">
        <f>(8345*60%)</f>
        <v>5007</v>
      </c>
      <c r="E55" s="154">
        <f>4340.158+97.888</f>
        <v>4438.0460000000003</v>
      </c>
      <c r="F55" s="26">
        <v>273</v>
      </c>
      <c r="G55" s="26">
        <f t="shared" si="4"/>
        <v>273</v>
      </c>
      <c r="H55" s="26">
        <f t="shared" si="5"/>
        <v>4165.0460000000003</v>
      </c>
      <c r="I55" s="83">
        <f>G55/E55%</f>
        <v>6.1513557993765726</v>
      </c>
      <c r="J55" s="73"/>
      <c r="K55" s="27">
        <v>270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/>
      <c r="R55" s="26"/>
      <c r="S55" s="26"/>
      <c r="T55" s="26"/>
      <c r="U55" s="26"/>
      <c r="V55" s="26"/>
      <c r="X55" s="26"/>
      <c r="Y55" s="26"/>
      <c r="Z55" s="26"/>
      <c r="AA55" s="26"/>
      <c r="AC55" s="26"/>
      <c r="AD55" s="26"/>
      <c r="AE55" s="26"/>
      <c r="AF55" s="26"/>
      <c r="AG55" s="26"/>
      <c r="AI55" s="26"/>
      <c r="AJ55" s="26"/>
      <c r="AK55" s="26"/>
      <c r="AL55" s="26"/>
      <c r="AM55" s="26"/>
      <c r="AN55" s="26"/>
      <c r="AO55" s="26"/>
      <c r="AP55" s="131"/>
      <c r="AQ55" s="51">
        <f t="shared" si="6"/>
        <v>0</v>
      </c>
    </row>
    <row r="56" spans="1:45" ht="16" thickBot="1" x14ac:dyDescent="0.4">
      <c r="A56" s="145">
        <v>15</v>
      </c>
      <c r="B56" s="124" t="s">
        <v>209</v>
      </c>
      <c r="C56" s="928"/>
      <c r="D56" s="162">
        <f>+(1762*60%)</f>
        <v>1057.2</v>
      </c>
      <c r="E56" s="154">
        <f>100.206+121+170+183.4</f>
        <v>574.60599999999999</v>
      </c>
      <c r="F56" s="26">
        <v>0</v>
      </c>
      <c r="G56" s="26">
        <f>F56+AQ56</f>
        <v>0</v>
      </c>
      <c r="H56" s="140">
        <f>E56-G56</f>
        <v>574.60599999999999</v>
      </c>
      <c r="I56" s="83">
        <v>1</v>
      </c>
      <c r="J56" s="73"/>
      <c r="K56" s="27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/>
      <c r="R56" s="26"/>
      <c r="S56" s="26"/>
      <c r="T56" s="26"/>
      <c r="U56" s="26"/>
      <c r="V56" s="26"/>
      <c r="X56" s="26"/>
      <c r="Y56" s="26"/>
      <c r="Z56" s="26"/>
      <c r="AA56" s="26"/>
      <c r="AC56" s="26"/>
      <c r="AD56" s="26"/>
      <c r="AE56" s="26"/>
      <c r="AF56" s="26"/>
      <c r="AG56" s="26"/>
      <c r="AI56" s="26"/>
      <c r="AJ56" s="26"/>
      <c r="AK56" s="26"/>
      <c r="AL56" s="26"/>
      <c r="AM56" s="26"/>
      <c r="AN56" s="26"/>
      <c r="AO56" s="26"/>
      <c r="AP56" s="131"/>
      <c r="AQ56" s="51">
        <f t="shared" si="6"/>
        <v>0</v>
      </c>
    </row>
    <row r="57" spans="1:45" ht="16" thickBot="1" x14ac:dyDescent="0.4">
      <c r="A57" s="145">
        <v>15</v>
      </c>
      <c r="B57" s="124" t="s">
        <v>506</v>
      </c>
      <c r="C57" s="157">
        <v>300</v>
      </c>
      <c r="D57" s="158">
        <v>384.7</v>
      </c>
      <c r="E57" s="157">
        <v>202</v>
      </c>
      <c r="F57" s="26">
        <v>0</v>
      </c>
      <c r="G57" s="26">
        <f t="shared" si="4"/>
        <v>0</v>
      </c>
      <c r="H57" s="26">
        <f t="shared" si="5"/>
        <v>202</v>
      </c>
      <c r="I57" s="83">
        <f>G57/E57%</f>
        <v>0</v>
      </c>
      <c r="J57" s="73"/>
      <c r="K57" s="27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131"/>
      <c r="AQ57" s="51">
        <f t="shared" si="6"/>
        <v>0</v>
      </c>
    </row>
    <row r="58" spans="1:45" ht="16" thickBot="1" x14ac:dyDescent="0.4">
      <c r="A58" s="145">
        <v>16</v>
      </c>
      <c r="B58" s="124" t="s">
        <v>644</v>
      </c>
      <c r="C58" s="926">
        <v>470</v>
      </c>
      <c r="D58" s="158">
        <v>271.3</v>
      </c>
      <c r="E58" s="157">
        <v>41</v>
      </c>
      <c r="F58" s="26">
        <v>0</v>
      </c>
      <c r="G58" s="26">
        <f t="shared" si="4"/>
        <v>0</v>
      </c>
      <c r="H58" s="26">
        <f t="shared" si="5"/>
        <v>41</v>
      </c>
      <c r="I58" s="83">
        <v>0</v>
      </c>
      <c r="J58" s="73"/>
      <c r="K58" s="27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131"/>
      <c r="AQ58" s="51">
        <f t="shared" si="6"/>
        <v>0</v>
      </c>
    </row>
    <row r="59" spans="1:45" ht="16" thickBot="1" x14ac:dyDescent="0.4">
      <c r="A59" s="145">
        <v>17</v>
      </c>
      <c r="B59" s="124" t="s">
        <v>645</v>
      </c>
      <c r="C59" s="926"/>
      <c r="D59" s="158">
        <v>241</v>
      </c>
      <c r="E59" s="157">
        <f>50+51</f>
        <v>101</v>
      </c>
      <c r="F59" s="26">
        <v>0</v>
      </c>
      <c r="G59" s="26">
        <f t="shared" si="4"/>
        <v>0</v>
      </c>
      <c r="H59" s="26">
        <f t="shared" si="5"/>
        <v>101</v>
      </c>
      <c r="I59" s="83">
        <v>0</v>
      </c>
      <c r="J59" s="73"/>
      <c r="K59" s="27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131"/>
      <c r="AQ59" s="51">
        <f t="shared" si="6"/>
        <v>0</v>
      </c>
    </row>
    <row r="60" spans="1:45" ht="16" thickBot="1" x14ac:dyDescent="0.4">
      <c r="A60" s="145">
        <v>18</v>
      </c>
      <c r="B60" s="124" t="s">
        <v>508</v>
      </c>
      <c r="C60" s="157">
        <v>100</v>
      </c>
      <c r="D60" s="158">
        <v>54.48</v>
      </c>
      <c r="E60" s="157">
        <v>0</v>
      </c>
      <c r="F60" s="26">
        <v>0</v>
      </c>
      <c r="G60" s="26">
        <f t="shared" si="4"/>
        <v>0</v>
      </c>
      <c r="H60" s="26">
        <f t="shared" si="5"/>
        <v>0</v>
      </c>
      <c r="I60" s="83">
        <v>0</v>
      </c>
      <c r="J60" s="73"/>
      <c r="K60" s="27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131"/>
      <c r="AQ60" s="51">
        <f t="shared" si="6"/>
        <v>0</v>
      </c>
    </row>
    <row r="61" spans="1:45" ht="16" thickBot="1" x14ac:dyDescent="0.4">
      <c r="A61" s="145">
        <v>19</v>
      </c>
      <c r="B61" s="124" t="s">
        <v>509</v>
      </c>
      <c r="C61" s="157">
        <v>30</v>
      </c>
      <c r="D61" s="158">
        <v>38</v>
      </c>
      <c r="E61" s="157">
        <v>38</v>
      </c>
      <c r="F61" s="26">
        <v>0</v>
      </c>
      <c r="G61" s="26">
        <f t="shared" si="4"/>
        <v>0</v>
      </c>
      <c r="H61" s="26">
        <f t="shared" si="5"/>
        <v>38</v>
      </c>
      <c r="I61" s="83">
        <v>0</v>
      </c>
      <c r="J61" s="73"/>
      <c r="K61" s="27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131"/>
      <c r="AQ61" s="51">
        <f t="shared" si="6"/>
        <v>0</v>
      </c>
    </row>
    <row r="62" spans="1:45" ht="16" thickBot="1" x14ac:dyDescent="0.4">
      <c r="A62" s="145">
        <v>20</v>
      </c>
      <c r="B62" s="124" t="s">
        <v>510</v>
      </c>
      <c r="C62" s="110">
        <f>250+50</f>
        <v>300</v>
      </c>
      <c r="D62" s="153">
        <v>61.86</v>
      </c>
      <c r="E62" s="154">
        <v>0</v>
      </c>
      <c r="F62" s="26">
        <v>0</v>
      </c>
      <c r="G62" s="26">
        <f t="shared" si="4"/>
        <v>0</v>
      </c>
      <c r="H62" s="26">
        <f t="shared" si="5"/>
        <v>0</v>
      </c>
      <c r="I62" s="83">
        <v>0</v>
      </c>
      <c r="J62" s="73"/>
      <c r="K62" s="27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131"/>
      <c r="AQ62" s="51">
        <f t="shared" si="6"/>
        <v>0</v>
      </c>
    </row>
    <row r="63" spans="1:45" ht="16" thickBot="1" x14ac:dyDescent="0.4">
      <c r="A63" s="145">
        <v>21</v>
      </c>
      <c r="B63" s="124" t="s">
        <v>511</v>
      </c>
      <c r="C63" s="110">
        <v>150</v>
      </c>
      <c r="D63" s="153">
        <v>0</v>
      </c>
      <c r="E63" s="154">
        <v>0</v>
      </c>
      <c r="F63" s="26">
        <v>0</v>
      </c>
      <c r="G63" s="26">
        <f t="shared" si="4"/>
        <v>0</v>
      </c>
      <c r="H63" s="26">
        <f t="shared" si="5"/>
        <v>0</v>
      </c>
      <c r="I63" s="83">
        <v>0</v>
      </c>
      <c r="J63" s="73"/>
      <c r="K63" s="27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131"/>
      <c r="AQ63" s="51">
        <f t="shared" si="6"/>
        <v>0</v>
      </c>
    </row>
    <row r="64" spans="1:45" ht="16" thickBot="1" x14ac:dyDescent="0.4">
      <c r="A64" s="27">
        <v>22</v>
      </c>
      <c r="B64" s="80" t="s">
        <v>516</v>
      </c>
      <c r="C64" s="110">
        <v>550</v>
      </c>
      <c r="D64" s="153">
        <v>0</v>
      </c>
      <c r="E64" s="154">
        <v>0</v>
      </c>
      <c r="F64" s="26">
        <v>0</v>
      </c>
      <c r="G64" s="26">
        <f t="shared" si="4"/>
        <v>0</v>
      </c>
      <c r="H64" s="26">
        <f t="shared" si="5"/>
        <v>0</v>
      </c>
      <c r="I64" s="83">
        <v>0</v>
      </c>
      <c r="J64" s="73"/>
      <c r="K64" s="27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131"/>
      <c r="AQ64" s="51">
        <f t="shared" si="6"/>
        <v>0</v>
      </c>
    </row>
    <row r="65" spans="1:43" ht="31.5" thickBot="1" x14ac:dyDescent="0.4">
      <c r="A65" s="145">
        <v>23</v>
      </c>
      <c r="B65" s="116" t="s">
        <v>512</v>
      </c>
      <c r="C65" s="110">
        <v>400</v>
      </c>
      <c r="D65" s="110">
        <v>316</v>
      </c>
      <c r="E65" s="154">
        <f>57+17+22+16+28.23+30.56</f>
        <v>170.79</v>
      </c>
      <c r="F65" s="26">
        <v>0</v>
      </c>
      <c r="G65" s="26">
        <f t="shared" si="4"/>
        <v>0</v>
      </c>
      <c r="H65" s="26">
        <f t="shared" si="5"/>
        <v>170.79</v>
      </c>
      <c r="I65" s="83">
        <v>0</v>
      </c>
      <c r="J65" s="73"/>
      <c r="K65" s="27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131"/>
      <c r="AQ65" s="51">
        <f t="shared" si="6"/>
        <v>0</v>
      </c>
    </row>
    <row r="66" spans="1:43" ht="16" thickBot="1" x14ac:dyDescent="0.4">
      <c r="A66" s="145">
        <v>24</v>
      </c>
      <c r="B66" s="124" t="s">
        <v>646</v>
      </c>
      <c r="C66" s="110">
        <v>200</v>
      </c>
      <c r="D66" s="153">
        <v>0</v>
      </c>
      <c r="E66" s="154">
        <v>0</v>
      </c>
      <c r="F66" s="26">
        <v>0</v>
      </c>
      <c r="G66" s="26">
        <f t="shared" si="4"/>
        <v>0</v>
      </c>
      <c r="H66" s="26">
        <f t="shared" si="5"/>
        <v>0</v>
      </c>
      <c r="I66" s="83">
        <v>0</v>
      </c>
      <c r="J66" s="73"/>
      <c r="K66" s="27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131"/>
      <c r="AQ66" s="51">
        <f t="shared" si="6"/>
        <v>0</v>
      </c>
    </row>
    <row r="67" spans="1:43" ht="16" thickBot="1" x14ac:dyDescent="0.4">
      <c r="A67" s="27">
        <v>25</v>
      </c>
      <c r="B67" s="80" t="s">
        <v>502</v>
      </c>
      <c r="C67" s="110">
        <v>90</v>
      </c>
      <c r="D67" s="153">
        <v>0</v>
      </c>
      <c r="E67" s="154">
        <v>0</v>
      </c>
      <c r="F67" s="26">
        <v>0</v>
      </c>
      <c r="G67" s="26">
        <f t="shared" si="4"/>
        <v>0</v>
      </c>
      <c r="H67" s="26">
        <f t="shared" si="5"/>
        <v>0</v>
      </c>
      <c r="I67" s="83">
        <v>0</v>
      </c>
      <c r="J67" s="73"/>
      <c r="K67" s="27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131"/>
      <c r="AQ67" s="51">
        <f t="shared" si="6"/>
        <v>0</v>
      </c>
    </row>
    <row r="68" spans="1:43" ht="16" thickBot="1" x14ac:dyDescent="0.4">
      <c r="A68" s="27">
        <v>26</v>
      </c>
      <c r="B68" s="80" t="s">
        <v>517</v>
      </c>
      <c r="C68" s="110">
        <v>200</v>
      </c>
      <c r="D68" s="153">
        <v>0</v>
      </c>
      <c r="E68" s="154">
        <v>0</v>
      </c>
      <c r="F68" s="26">
        <v>0</v>
      </c>
      <c r="G68" s="26">
        <f t="shared" si="4"/>
        <v>0</v>
      </c>
      <c r="H68" s="26">
        <f t="shared" si="5"/>
        <v>0</v>
      </c>
      <c r="I68" s="83">
        <v>0</v>
      </c>
      <c r="J68" s="73"/>
      <c r="K68" s="27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131"/>
      <c r="AQ68" s="51">
        <f t="shared" si="6"/>
        <v>0</v>
      </c>
    </row>
    <row r="69" spans="1:43" ht="16" thickBot="1" x14ac:dyDescent="0.4">
      <c r="A69" s="117">
        <v>27</v>
      </c>
      <c r="B69" s="125" t="s">
        <v>519</v>
      </c>
      <c r="C69" s="110">
        <f>810+650</f>
        <v>1460</v>
      </c>
      <c r="D69" s="153">
        <v>323</v>
      </c>
      <c r="E69" s="154">
        <v>323</v>
      </c>
      <c r="F69" s="26">
        <v>0</v>
      </c>
      <c r="G69" s="26">
        <f t="shared" si="4"/>
        <v>0</v>
      </c>
      <c r="H69" s="26">
        <f t="shared" si="5"/>
        <v>323</v>
      </c>
      <c r="I69" s="83">
        <v>0</v>
      </c>
      <c r="J69" s="73"/>
      <c r="K69" s="27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131"/>
      <c r="AQ69" s="51">
        <f t="shared" si="6"/>
        <v>0</v>
      </c>
    </row>
    <row r="70" spans="1:43" ht="16" thickBot="1" x14ac:dyDescent="0.4">
      <c r="A70" s="117">
        <v>28</v>
      </c>
      <c r="B70" s="125" t="s">
        <v>520</v>
      </c>
      <c r="C70" s="110">
        <f>675+650</f>
        <v>1325</v>
      </c>
      <c r="D70" s="153">
        <v>0</v>
      </c>
      <c r="E70" s="154">
        <v>0</v>
      </c>
      <c r="F70" s="26">
        <v>0</v>
      </c>
      <c r="G70" s="26">
        <f t="shared" si="4"/>
        <v>0</v>
      </c>
      <c r="H70" s="26">
        <f t="shared" si="5"/>
        <v>0</v>
      </c>
      <c r="I70" s="83">
        <v>0</v>
      </c>
      <c r="J70" s="73"/>
      <c r="K70" s="27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131"/>
      <c r="AQ70" s="51">
        <f t="shared" si="6"/>
        <v>0</v>
      </c>
    </row>
    <row r="71" spans="1:43" ht="16" thickBot="1" x14ac:dyDescent="0.4">
      <c r="A71" s="27">
        <v>29</v>
      </c>
      <c r="B71" s="80" t="s">
        <v>514</v>
      </c>
      <c r="C71" s="110">
        <f>1000+40</f>
        <v>1040</v>
      </c>
      <c r="D71" s="153">
        <v>0</v>
      </c>
      <c r="E71" s="154">
        <v>196</v>
      </c>
      <c r="F71" s="26">
        <v>0</v>
      </c>
      <c r="G71" s="26">
        <f t="shared" si="4"/>
        <v>0</v>
      </c>
      <c r="H71" s="26">
        <f t="shared" si="5"/>
        <v>196</v>
      </c>
      <c r="I71" s="83">
        <v>0</v>
      </c>
      <c r="J71" s="73"/>
      <c r="K71" s="27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131"/>
      <c r="AQ71" s="51">
        <f t="shared" si="6"/>
        <v>0</v>
      </c>
    </row>
    <row r="72" spans="1:43" ht="16" thickBot="1" x14ac:dyDescent="0.4">
      <c r="A72" s="36">
        <v>30</v>
      </c>
      <c r="B72" s="84" t="s">
        <v>593</v>
      </c>
      <c r="C72" s="159">
        <f>310+25+20+30</f>
        <v>385</v>
      </c>
      <c r="D72" s="160">
        <v>0</v>
      </c>
      <c r="E72" s="161">
        <v>0</v>
      </c>
      <c r="F72" s="40">
        <v>0</v>
      </c>
      <c r="G72" s="40">
        <f t="shared" si="4"/>
        <v>0</v>
      </c>
      <c r="H72" s="40">
        <f t="shared" si="5"/>
        <v>0</v>
      </c>
      <c r="I72" s="83">
        <v>0</v>
      </c>
      <c r="J72" s="73"/>
      <c r="K72" s="3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131"/>
      <c r="AQ72" s="51">
        <f t="shared" si="6"/>
        <v>0</v>
      </c>
    </row>
    <row r="73" spans="1:43" ht="16" thickBot="1" x14ac:dyDescent="0.4">
      <c r="A73" s="66"/>
      <c r="B73" s="33" t="s">
        <v>324</v>
      </c>
      <c r="C73" s="159">
        <f t="shared" ref="C73:H73" si="7">SUM(C42:C72)</f>
        <v>24405</v>
      </c>
      <c r="D73" s="160">
        <f t="shared" si="7"/>
        <v>13248.240000000002</v>
      </c>
      <c r="E73" s="161">
        <f t="shared" si="7"/>
        <v>11525.822</v>
      </c>
      <c r="F73" s="33">
        <f t="shared" si="7"/>
        <v>961.6</v>
      </c>
      <c r="G73" s="33">
        <f t="shared" si="7"/>
        <v>974.5</v>
      </c>
      <c r="H73" s="33">
        <f t="shared" si="7"/>
        <v>10551.322</v>
      </c>
      <c r="I73" s="67">
        <f>G73/E73%</f>
        <v>8.4549284207234852</v>
      </c>
      <c r="J73" s="75"/>
      <c r="K73" s="32">
        <f t="shared" ref="K73:AQ73" si="8">SUM(K42:K72)</f>
        <v>548</v>
      </c>
      <c r="L73" s="33">
        <f t="shared" si="8"/>
        <v>0</v>
      </c>
      <c r="M73" s="33">
        <f t="shared" si="8"/>
        <v>0</v>
      </c>
      <c r="N73" s="33">
        <f t="shared" si="8"/>
        <v>0</v>
      </c>
      <c r="O73" s="33">
        <f t="shared" si="8"/>
        <v>6.4</v>
      </c>
      <c r="P73" s="33">
        <f t="shared" si="8"/>
        <v>6.5</v>
      </c>
      <c r="Q73" s="33">
        <f t="shared" si="8"/>
        <v>0</v>
      </c>
      <c r="R73" s="33">
        <f t="shared" si="8"/>
        <v>0</v>
      </c>
      <c r="S73" s="33">
        <f t="shared" si="8"/>
        <v>0</v>
      </c>
      <c r="T73" s="33">
        <f t="shared" si="8"/>
        <v>0</v>
      </c>
      <c r="U73" s="33">
        <f t="shared" si="8"/>
        <v>0</v>
      </c>
      <c r="V73" s="33">
        <f t="shared" si="8"/>
        <v>0</v>
      </c>
      <c r="W73" s="33">
        <f t="shared" si="8"/>
        <v>0</v>
      </c>
      <c r="X73" s="33">
        <f t="shared" si="8"/>
        <v>0</v>
      </c>
      <c r="Y73" s="33">
        <f t="shared" si="8"/>
        <v>0</v>
      </c>
      <c r="Z73" s="33">
        <f t="shared" si="8"/>
        <v>0</v>
      </c>
      <c r="AA73" s="33">
        <f t="shared" si="8"/>
        <v>0</v>
      </c>
      <c r="AB73" s="33">
        <f t="shared" si="8"/>
        <v>0</v>
      </c>
      <c r="AC73" s="33">
        <f t="shared" si="8"/>
        <v>0</v>
      </c>
      <c r="AD73" s="33">
        <f t="shared" si="8"/>
        <v>0</v>
      </c>
      <c r="AE73" s="33">
        <f t="shared" si="8"/>
        <v>0</v>
      </c>
      <c r="AF73" s="33">
        <f t="shared" si="8"/>
        <v>0</v>
      </c>
      <c r="AG73" s="33">
        <f t="shared" si="8"/>
        <v>0</v>
      </c>
      <c r="AH73" s="33">
        <f t="shared" si="8"/>
        <v>0</v>
      </c>
      <c r="AI73" s="33">
        <f t="shared" si="8"/>
        <v>0</v>
      </c>
      <c r="AJ73" s="33">
        <f t="shared" si="8"/>
        <v>0</v>
      </c>
      <c r="AK73" s="134">
        <f t="shared" si="8"/>
        <v>0</v>
      </c>
      <c r="AL73" s="33">
        <f t="shared" si="8"/>
        <v>0</v>
      </c>
      <c r="AM73" s="33">
        <f t="shared" si="8"/>
        <v>0</v>
      </c>
      <c r="AN73" s="33">
        <f t="shared" si="8"/>
        <v>0</v>
      </c>
      <c r="AO73" s="33">
        <f t="shared" si="8"/>
        <v>0</v>
      </c>
      <c r="AP73" s="33">
        <f t="shared" si="8"/>
        <v>0</v>
      </c>
      <c r="AQ73" s="33">
        <f t="shared" si="8"/>
        <v>12.9</v>
      </c>
    </row>
  </sheetData>
  <mergeCells count="15">
    <mergeCell ref="K1:AQ1"/>
    <mergeCell ref="C3:C8"/>
    <mergeCell ref="A1:I1"/>
    <mergeCell ref="D24:D25"/>
    <mergeCell ref="A10:A11"/>
    <mergeCell ref="A3:A7"/>
    <mergeCell ref="A14:A17"/>
    <mergeCell ref="C14:C17"/>
    <mergeCell ref="C58:C59"/>
    <mergeCell ref="C24:C25"/>
    <mergeCell ref="C55:C56"/>
    <mergeCell ref="A40:I40"/>
    <mergeCell ref="K40:AQ40"/>
    <mergeCell ref="E24:E25"/>
    <mergeCell ref="C48:C50"/>
  </mergeCells>
  <pageMargins left="0.2" right="0.2" top="0.27" bottom="0.25" header="0.2" footer="0.2"/>
  <pageSetup paperSize="8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B2C7-3F67-4D31-88F6-1F67CACE4058}">
  <dimension ref="A1:G126"/>
  <sheetViews>
    <sheetView topLeftCell="A15" workbookViewId="0">
      <selection activeCell="B30" sqref="B30"/>
    </sheetView>
  </sheetViews>
  <sheetFormatPr defaultColWidth="8.7265625" defaultRowHeight="14.5" x14ac:dyDescent="0.35"/>
  <cols>
    <col min="1" max="1" width="19.7265625" style="746" bestFit="1" customWidth="1"/>
    <col min="2" max="2" width="10.26953125" style="746" bestFit="1" customWidth="1"/>
    <col min="3" max="3" width="13.81640625" style="746" customWidth="1"/>
    <col min="4" max="4" width="12.453125" style="746" bestFit="1" customWidth="1"/>
    <col min="5" max="5" width="17.7265625" style="746" bestFit="1" customWidth="1"/>
    <col min="6" max="6" width="26.1796875" style="746" customWidth="1"/>
    <col min="7" max="16384" width="8.7265625" style="746"/>
  </cols>
  <sheetData>
    <row r="1" spans="1:7" hidden="1" x14ac:dyDescent="0.35">
      <c r="A1" s="745" t="s">
        <v>48</v>
      </c>
      <c r="B1" s="746" t="s">
        <v>49</v>
      </c>
    </row>
    <row r="2" spans="1:7" hidden="1" x14ac:dyDescent="0.35">
      <c r="A2" s="745" t="s">
        <v>50</v>
      </c>
      <c r="B2" s="746" t="s">
        <v>51</v>
      </c>
    </row>
    <row r="3" spans="1:7" hidden="1" x14ac:dyDescent="0.35">
      <c r="A3" s="745"/>
    </row>
    <row r="4" spans="1:7" hidden="1" x14ac:dyDescent="0.35">
      <c r="A4" s="747" t="s">
        <v>52</v>
      </c>
      <c r="B4" s="746" t="s">
        <v>53</v>
      </c>
      <c r="F4" s="746" t="s">
        <v>54</v>
      </c>
      <c r="G4" s="746" t="s">
        <v>55</v>
      </c>
    </row>
    <row r="5" spans="1:7" hidden="1" x14ac:dyDescent="0.35">
      <c r="A5" s="747" t="s">
        <v>56</v>
      </c>
      <c r="B5" s="746" t="s">
        <v>57</v>
      </c>
      <c r="C5" s="746" t="s">
        <v>58</v>
      </c>
      <c r="D5" s="746" t="s">
        <v>59</v>
      </c>
      <c r="E5" s="748"/>
      <c r="F5" s="746" t="s">
        <v>60</v>
      </c>
      <c r="G5" s="746" t="s">
        <v>61</v>
      </c>
    </row>
    <row r="6" spans="1:7" hidden="1" x14ac:dyDescent="0.35">
      <c r="A6" s="747" t="s">
        <v>62</v>
      </c>
      <c r="B6" s="746" t="s">
        <v>63</v>
      </c>
      <c r="E6" s="749" t="s">
        <v>64</v>
      </c>
    </row>
    <row r="7" spans="1:7" hidden="1" x14ac:dyDescent="0.35">
      <c r="A7" s="745"/>
    </row>
    <row r="8" spans="1:7" hidden="1" x14ac:dyDescent="0.35">
      <c r="A8" s="745" t="s">
        <v>65</v>
      </c>
      <c r="B8" s="746" t="s">
        <v>66</v>
      </c>
      <c r="C8" s="746" t="s">
        <v>67</v>
      </c>
      <c r="D8" s="746" t="s">
        <v>68</v>
      </c>
      <c r="E8" s="748"/>
    </row>
    <row r="9" spans="1:7" hidden="1" x14ac:dyDescent="0.35">
      <c r="A9" s="745" t="s">
        <v>69</v>
      </c>
      <c r="B9" s="746" t="s">
        <v>70</v>
      </c>
      <c r="C9" s="746" t="s">
        <v>67</v>
      </c>
      <c r="D9" s="746" t="s">
        <v>68</v>
      </c>
      <c r="E9" s="748"/>
    </row>
    <row r="10" spans="1:7" hidden="1" x14ac:dyDescent="0.35">
      <c r="A10" s="745" t="s">
        <v>71</v>
      </c>
      <c r="B10" s="746" t="s">
        <v>72</v>
      </c>
      <c r="C10" s="746" t="s">
        <v>67</v>
      </c>
      <c r="D10" s="746" t="s">
        <v>68</v>
      </c>
      <c r="E10" s="748"/>
    </row>
    <row r="11" spans="1:7" hidden="1" x14ac:dyDescent="0.35">
      <c r="A11" s="745" t="s">
        <v>73</v>
      </c>
      <c r="B11" s="746" t="s">
        <v>74</v>
      </c>
      <c r="C11" s="746" t="s">
        <v>67</v>
      </c>
      <c r="D11" s="746" t="s">
        <v>68</v>
      </c>
      <c r="E11" s="748"/>
    </row>
    <row r="12" spans="1:7" hidden="1" x14ac:dyDescent="0.35">
      <c r="A12" s="745" t="s">
        <v>75</v>
      </c>
      <c r="B12" s="746" t="s">
        <v>76</v>
      </c>
      <c r="C12" s="746" t="s">
        <v>67</v>
      </c>
      <c r="D12" s="746" t="s">
        <v>68</v>
      </c>
      <c r="E12" s="748"/>
    </row>
    <row r="13" spans="1:7" hidden="1" x14ac:dyDescent="0.35">
      <c r="A13" s="745" t="s">
        <v>77</v>
      </c>
      <c r="B13" s="746" t="s">
        <v>78</v>
      </c>
      <c r="C13" s="746" t="s">
        <v>67</v>
      </c>
      <c r="D13" s="746" t="s">
        <v>68</v>
      </c>
      <c r="E13" s="748"/>
    </row>
    <row r="14" spans="1:7" hidden="1" x14ac:dyDescent="0.35"/>
    <row r="15" spans="1:7" x14ac:dyDescent="0.35">
      <c r="A15" s="745" t="s">
        <v>48</v>
      </c>
      <c r="B15" s="746" t="s">
        <v>751</v>
      </c>
    </row>
    <row r="16" spans="1:7" x14ac:dyDescent="0.35">
      <c r="A16" s="745" t="s">
        <v>50</v>
      </c>
      <c r="B16" s="746" t="s">
        <v>51</v>
      </c>
    </row>
    <row r="17" spans="1:7" x14ac:dyDescent="0.35">
      <c r="A17" s="745"/>
    </row>
    <row r="18" spans="1:7" x14ac:dyDescent="0.35">
      <c r="A18" s="747" t="s">
        <v>52</v>
      </c>
      <c r="B18" s="746" t="s">
        <v>27</v>
      </c>
      <c r="F18" s="746" t="s">
        <v>54</v>
      </c>
      <c r="G18" s="746" t="s">
        <v>55</v>
      </c>
    </row>
    <row r="19" spans="1:7" x14ac:dyDescent="0.35">
      <c r="A19" s="747" t="s">
        <v>56</v>
      </c>
      <c r="B19" s="746" t="s">
        <v>57</v>
      </c>
      <c r="C19" s="746" t="s">
        <v>58</v>
      </c>
      <c r="D19" s="746" t="s">
        <v>59</v>
      </c>
      <c r="E19" s="748"/>
      <c r="F19" s="746" t="s">
        <v>60</v>
      </c>
      <c r="G19" s="746" t="s">
        <v>61</v>
      </c>
    </row>
    <row r="20" spans="1:7" x14ac:dyDescent="0.35">
      <c r="A20" s="747" t="s">
        <v>62</v>
      </c>
      <c r="B20" s="746" t="s">
        <v>63</v>
      </c>
      <c r="E20" s="749" t="s">
        <v>64</v>
      </c>
    </row>
    <row r="21" spans="1:7" x14ac:dyDescent="0.35">
      <c r="A21" s="745"/>
    </row>
    <row r="22" spans="1:7" x14ac:dyDescent="0.35">
      <c r="A22" s="745" t="s">
        <v>65</v>
      </c>
      <c r="B22" s="746" t="s">
        <v>66</v>
      </c>
      <c r="C22" s="746" t="s">
        <v>79</v>
      </c>
      <c r="D22" s="746" t="s">
        <v>80</v>
      </c>
      <c r="E22" s="748"/>
    </row>
    <row r="23" spans="1:7" x14ac:dyDescent="0.35">
      <c r="A23" s="745" t="s">
        <v>69</v>
      </c>
      <c r="B23" s="746" t="s">
        <v>70</v>
      </c>
      <c r="C23" s="746" t="s">
        <v>79</v>
      </c>
      <c r="D23" s="746" t="s">
        <v>80</v>
      </c>
      <c r="E23" s="748"/>
    </row>
    <row r="24" spans="1:7" x14ac:dyDescent="0.35">
      <c r="A24" s="745" t="s">
        <v>71</v>
      </c>
      <c r="B24" s="746" t="s">
        <v>72</v>
      </c>
      <c r="C24" s="746" t="s">
        <v>79</v>
      </c>
      <c r="D24" s="746" t="s">
        <v>80</v>
      </c>
      <c r="E24" s="748"/>
    </row>
    <row r="25" spans="1:7" x14ac:dyDescent="0.35">
      <c r="A25" s="745" t="s">
        <v>73</v>
      </c>
      <c r="B25" s="746" t="s">
        <v>74</v>
      </c>
      <c r="C25" s="746" t="s">
        <v>79</v>
      </c>
      <c r="D25" s="746" t="s">
        <v>80</v>
      </c>
      <c r="E25" s="748"/>
    </row>
    <row r="26" spans="1:7" x14ac:dyDescent="0.35">
      <c r="A26" s="745" t="s">
        <v>75</v>
      </c>
      <c r="B26" s="746" t="s">
        <v>76</v>
      </c>
      <c r="C26" s="746" t="s">
        <v>79</v>
      </c>
      <c r="D26" s="746" t="s">
        <v>80</v>
      </c>
      <c r="E26" s="748"/>
    </row>
    <row r="27" spans="1:7" x14ac:dyDescent="0.35">
      <c r="A27" s="745" t="s">
        <v>77</v>
      </c>
      <c r="B27" s="746" t="s">
        <v>78</v>
      </c>
      <c r="C27" s="746" t="s">
        <v>79</v>
      </c>
      <c r="D27" s="746" t="s">
        <v>80</v>
      </c>
      <c r="E27" s="748"/>
    </row>
    <row r="29" spans="1:7" x14ac:dyDescent="0.35">
      <c r="A29" s="747" t="s">
        <v>52</v>
      </c>
      <c r="B29" s="746" t="s">
        <v>81</v>
      </c>
      <c r="F29" s="746" t="s">
        <v>54</v>
      </c>
      <c r="G29" s="746" t="s">
        <v>55</v>
      </c>
    </row>
    <row r="30" spans="1:7" x14ac:dyDescent="0.35">
      <c r="A30" s="747" t="s">
        <v>56</v>
      </c>
      <c r="B30" s="746" t="s">
        <v>57</v>
      </c>
      <c r="C30" s="746" t="s">
        <v>58</v>
      </c>
      <c r="D30" s="746" t="s">
        <v>59</v>
      </c>
      <c r="E30" s="748"/>
      <c r="F30" s="746" t="s">
        <v>60</v>
      </c>
      <c r="G30" s="746" t="s">
        <v>61</v>
      </c>
    </row>
    <row r="31" spans="1:7" x14ac:dyDescent="0.35">
      <c r="A31" s="747" t="s">
        <v>62</v>
      </c>
      <c r="B31" s="746" t="s">
        <v>63</v>
      </c>
      <c r="E31" s="749" t="s">
        <v>64</v>
      </c>
    </row>
    <row r="32" spans="1:7" x14ac:dyDescent="0.35">
      <c r="A32" s="745"/>
    </row>
    <row r="33" spans="1:7" x14ac:dyDescent="0.35">
      <c r="A33" s="745" t="s">
        <v>65</v>
      </c>
      <c r="B33" s="746" t="s">
        <v>66</v>
      </c>
      <c r="C33" s="746" t="s">
        <v>82</v>
      </c>
      <c r="D33" s="746" t="s">
        <v>83</v>
      </c>
      <c r="E33" s="748"/>
    </row>
    <row r="34" spans="1:7" x14ac:dyDescent="0.35">
      <c r="A34" s="745" t="s">
        <v>69</v>
      </c>
      <c r="B34" s="746" t="s">
        <v>70</v>
      </c>
      <c r="C34" s="746" t="s">
        <v>82</v>
      </c>
      <c r="D34" s="746" t="s">
        <v>83</v>
      </c>
      <c r="E34" s="748"/>
    </row>
    <row r="35" spans="1:7" x14ac:dyDescent="0.35">
      <c r="A35" s="745" t="s">
        <v>71</v>
      </c>
      <c r="B35" s="746" t="s">
        <v>72</v>
      </c>
      <c r="C35" s="746" t="s">
        <v>82</v>
      </c>
      <c r="D35" s="746" t="s">
        <v>83</v>
      </c>
      <c r="E35" s="748"/>
    </row>
    <row r="36" spans="1:7" x14ac:dyDescent="0.35">
      <c r="A36" s="745" t="s">
        <v>73</v>
      </c>
      <c r="B36" s="746" t="s">
        <v>74</v>
      </c>
      <c r="C36" s="746" t="s">
        <v>82</v>
      </c>
      <c r="D36" s="746" t="s">
        <v>83</v>
      </c>
      <c r="E36" s="748"/>
    </row>
    <row r="37" spans="1:7" x14ac:dyDescent="0.35">
      <c r="A37" s="745" t="s">
        <v>75</v>
      </c>
      <c r="B37" s="746" t="s">
        <v>76</v>
      </c>
      <c r="C37" s="746" t="s">
        <v>82</v>
      </c>
      <c r="D37" s="746" t="s">
        <v>83</v>
      </c>
      <c r="E37" s="748"/>
    </row>
    <row r="38" spans="1:7" x14ac:dyDescent="0.35">
      <c r="A38" s="745" t="s">
        <v>77</v>
      </c>
      <c r="B38" s="746" t="s">
        <v>78</v>
      </c>
      <c r="C38" s="746" t="s">
        <v>82</v>
      </c>
      <c r="D38" s="746" t="s">
        <v>83</v>
      </c>
      <c r="E38" s="748"/>
    </row>
    <row r="40" spans="1:7" x14ac:dyDescent="0.35">
      <c r="A40" s="747" t="s">
        <v>52</v>
      </c>
      <c r="B40" s="746" t="s">
        <v>84</v>
      </c>
      <c r="F40" s="746" t="s">
        <v>54</v>
      </c>
      <c r="G40" s="746" t="s">
        <v>55</v>
      </c>
    </row>
    <row r="41" spans="1:7" x14ac:dyDescent="0.35">
      <c r="A41" s="747" t="s">
        <v>56</v>
      </c>
      <c r="B41" s="746" t="s">
        <v>57</v>
      </c>
      <c r="C41" s="746" t="s">
        <v>58</v>
      </c>
      <c r="D41" s="746" t="s">
        <v>59</v>
      </c>
      <c r="E41" s="748"/>
      <c r="F41" s="746" t="s">
        <v>60</v>
      </c>
      <c r="G41" s="746" t="s">
        <v>61</v>
      </c>
    </row>
    <row r="42" spans="1:7" x14ac:dyDescent="0.35">
      <c r="A42" s="747" t="s">
        <v>62</v>
      </c>
      <c r="B42" s="746" t="s">
        <v>63</v>
      </c>
      <c r="E42" s="749" t="s">
        <v>64</v>
      </c>
    </row>
    <row r="43" spans="1:7" x14ac:dyDescent="0.35">
      <c r="A43" s="745"/>
    </row>
    <row r="44" spans="1:7" x14ac:dyDescent="0.35">
      <c r="A44" s="745" t="s">
        <v>65</v>
      </c>
      <c r="B44" s="746" t="s">
        <v>66</v>
      </c>
      <c r="C44" s="746" t="s">
        <v>85</v>
      </c>
      <c r="D44" s="746" t="s">
        <v>86</v>
      </c>
      <c r="E44" s="748"/>
    </row>
    <row r="45" spans="1:7" x14ac:dyDescent="0.35">
      <c r="A45" s="745" t="s">
        <v>69</v>
      </c>
      <c r="B45" s="746" t="s">
        <v>70</v>
      </c>
      <c r="C45" s="746" t="s">
        <v>85</v>
      </c>
      <c r="D45" s="746" t="s">
        <v>86</v>
      </c>
      <c r="E45" s="748"/>
    </row>
    <row r="46" spans="1:7" x14ac:dyDescent="0.35">
      <c r="A46" s="745" t="s">
        <v>71</v>
      </c>
      <c r="B46" s="746" t="s">
        <v>72</v>
      </c>
      <c r="C46" s="746" t="s">
        <v>85</v>
      </c>
      <c r="D46" s="746" t="s">
        <v>86</v>
      </c>
      <c r="E46" s="748"/>
    </row>
    <row r="47" spans="1:7" x14ac:dyDescent="0.35">
      <c r="A47" s="745" t="s">
        <v>73</v>
      </c>
      <c r="B47" s="746" t="s">
        <v>74</v>
      </c>
      <c r="C47" s="746" t="s">
        <v>85</v>
      </c>
      <c r="D47" s="746" t="s">
        <v>86</v>
      </c>
      <c r="E47" s="748"/>
    </row>
    <row r="48" spans="1:7" x14ac:dyDescent="0.35">
      <c r="A48" s="745" t="s">
        <v>75</v>
      </c>
      <c r="B48" s="746" t="s">
        <v>76</v>
      </c>
      <c r="C48" s="746" t="s">
        <v>85</v>
      </c>
      <c r="D48" s="746" t="s">
        <v>86</v>
      </c>
      <c r="E48" s="748"/>
    </row>
    <row r="49" spans="1:7" x14ac:dyDescent="0.35">
      <c r="A49" s="745" t="s">
        <v>77</v>
      </c>
      <c r="B49" s="746" t="s">
        <v>78</v>
      </c>
      <c r="C49" s="746" t="s">
        <v>85</v>
      </c>
      <c r="D49" s="746" t="s">
        <v>86</v>
      </c>
      <c r="E49" s="748"/>
    </row>
    <row r="51" spans="1:7" hidden="1" x14ac:dyDescent="0.35">
      <c r="A51" s="747" t="s">
        <v>52</v>
      </c>
      <c r="B51" s="746" t="s">
        <v>87</v>
      </c>
      <c r="F51" s="746" t="s">
        <v>54</v>
      </c>
      <c r="G51" s="746" t="s">
        <v>55</v>
      </c>
    </row>
    <row r="52" spans="1:7" hidden="1" x14ac:dyDescent="0.35">
      <c r="A52" s="747" t="s">
        <v>56</v>
      </c>
      <c r="B52" s="746" t="s">
        <v>57</v>
      </c>
      <c r="C52" s="746" t="s">
        <v>58</v>
      </c>
      <c r="D52" s="746" t="s">
        <v>59</v>
      </c>
      <c r="E52" s="748"/>
      <c r="F52" s="746" t="s">
        <v>60</v>
      </c>
      <c r="G52" s="746" t="s">
        <v>61</v>
      </c>
    </row>
    <row r="53" spans="1:7" hidden="1" x14ac:dyDescent="0.35">
      <c r="A53" s="747" t="s">
        <v>62</v>
      </c>
      <c r="B53" s="746" t="s">
        <v>63</v>
      </c>
      <c r="E53" s="749" t="s">
        <v>64</v>
      </c>
    </row>
    <row r="54" spans="1:7" hidden="1" x14ac:dyDescent="0.35">
      <c r="A54" s="745"/>
    </row>
    <row r="55" spans="1:7" hidden="1" x14ac:dyDescent="0.35">
      <c r="A55" s="745" t="s">
        <v>65</v>
      </c>
      <c r="B55" s="746" t="s">
        <v>66</v>
      </c>
      <c r="C55" s="746" t="s">
        <v>88</v>
      </c>
      <c r="D55" s="746" t="s">
        <v>89</v>
      </c>
      <c r="E55" s="748"/>
    </row>
    <row r="56" spans="1:7" hidden="1" x14ac:dyDescent="0.35">
      <c r="A56" s="745" t="s">
        <v>69</v>
      </c>
      <c r="B56" s="746" t="s">
        <v>70</v>
      </c>
      <c r="C56" s="746" t="s">
        <v>88</v>
      </c>
      <c r="D56" s="746" t="s">
        <v>89</v>
      </c>
      <c r="E56" s="748"/>
    </row>
    <row r="57" spans="1:7" hidden="1" x14ac:dyDescent="0.35">
      <c r="A57" s="745" t="s">
        <v>71</v>
      </c>
      <c r="B57" s="746" t="s">
        <v>72</v>
      </c>
      <c r="C57" s="746" t="s">
        <v>88</v>
      </c>
      <c r="D57" s="746" t="s">
        <v>89</v>
      </c>
      <c r="E57" s="748"/>
    </row>
    <row r="58" spans="1:7" hidden="1" x14ac:dyDescent="0.35">
      <c r="A58" s="745" t="s">
        <v>73</v>
      </c>
      <c r="B58" s="746" t="s">
        <v>74</v>
      </c>
      <c r="C58" s="746" t="s">
        <v>88</v>
      </c>
      <c r="D58" s="746" t="s">
        <v>89</v>
      </c>
      <c r="E58" s="748"/>
    </row>
    <row r="59" spans="1:7" hidden="1" x14ac:dyDescent="0.35">
      <c r="A59" s="745" t="s">
        <v>75</v>
      </c>
      <c r="B59" s="746" t="s">
        <v>76</v>
      </c>
      <c r="C59" s="746" t="s">
        <v>88</v>
      </c>
      <c r="D59" s="746" t="s">
        <v>89</v>
      </c>
      <c r="E59" s="748"/>
    </row>
    <row r="60" spans="1:7" hidden="1" x14ac:dyDescent="0.35">
      <c r="A60" s="745" t="s">
        <v>77</v>
      </c>
      <c r="B60" s="746" t="s">
        <v>78</v>
      </c>
      <c r="C60" s="746" t="s">
        <v>88</v>
      </c>
      <c r="D60" s="746" t="s">
        <v>89</v>
      </c>
      <c r="E60" s="748"/>
    </row>
    <row r="61" spans="1:7" hidden="1" x14ac:dyDescent="0.35"/>
    <row r="62" spans="1:7" hidden="1" x14ac:dyDescent="0.35">
      <c r="A62" s="747" t="s">
        <v>52</v>
      </c>
      <c r="B62" s="746" t="s">
        <v>90</v>
      </c>
      <c r="F62" s="746" t="s">
        <v>54</v>
      </c>
      <c r="G62" s="746" t="s">
        <v>55</v>
      </c>
    </row>
    <row r="63" spans="1:7" hidden="1" x14ac:dyDescent="0.35">
      <c r="A63" s="747" t="s">
        <v>56</v>
      </c>
      <c r="B63" s="746" t="s">
        <v>57</v>
      </c>
      <c r="C63" s="746" t="s">
        <v>58</v>
      </c>
      <c r="D63" s="746" t="s">
        <v>59</v>
      </c>
      <c r="E63" s="748"/>
      <c r="F63" s="746" t="s">
        <v>60</v>
      </c>
      <c r="G63" s="746" t="s">
        <v>61</v>
      </c>
    </row>
    <row r="64" spans="1:7" hidden="1" x14ac:dyDescent="0.35">
      <c r="A64" s="747" t="s">
        <v>62</v>
      </c>
      <c r="B64" s="746" t="s">
        <v>63</v>
      </c>
      <c r="E64" s="749" t="s">
        <v>64</v>
      </c>
    </row>
    <row r="65" spans="1:7" hidden="1" x14ac:dyDescent="0.35">
      <c r="A65" s="745"/>
    </row>
    <row r="66" spans="1:7" hidden="1" x14ac:dyDescent="0.35">
      <c r="A66" s="745" t="s">
        <v>65</v>
      </c>
      <c r="B66" s="746" t="s">
        <v>66</v>
      </c>
      <c r="C66" s="746" t="s">
        <v>91</v>
      </c>
      <c r="D66" s="746" t="s">
        <v>92</v>
      </c>
      <c r="E66" s="748"/>
    </row>
    <row r="67" spans="1:7" hidden="1" x14ac:dyDescent="0.35">
      <c r="A67" s="745" t="s">
        <v>69</v>
      </c>
      <c r="B67" s="746" t="s">
        <v>70</v>
      </c>
      <c r="C67" s="746" t="s">
        <v>91</v>
      </c>
      <c r="D67" s="746" t="s">
        <v>92</v>
      </c>
      <c r="E67" s="748"/>
    </row>
    <row r="68" spans="1:7" hidden="1" x14ac:dyDescent="0.35">
      <c r="A68" s="745" t="s">
        <v>71</v>
      </c>
      <c r="B68" s="746" t="s">
        <v>72</v>
      </c>
      <c r="C68" s="746" t="s">
        <v>91</v>
      </c>
      <c r="D68" s="746" t="s">
        <v>92</v>
      </c>
      <c r="E68" s="748"/>
    </row>
    <row r="69" spans="1:7" hidden="1" x14ac:dyDescent="0.35">
      <c r="A69" s="745" t="s">
        <v>73</v>
      </c>
      <c r="B69" s="746" t="s">
        <v>74</v>
      </c>
      <c r="C69" s="746" t="s">
        <v>91</v>
      </c>
      <c r="D69" s="746" t="s">
        <v>92</v>
      </c>
      <c r="E69" s="748"/>
    </row>
    <row r="70" spans="1:7" hidden="1" x14ac:dyDescent="0.35">
      <c r="A70" s="745" t="s">
        <v>75</v>
      </c>
      <c r="B70" s="746" t="s">
        <v>76</v>
      </c>
      <c r="C70" s="746" t="s">
        <v>91</v>
      </c>
      <c r="D70" s="746" t="s">
        <v>92</v>
      </c>
      <c r="E70" s="748"/>
    </row>
    <row r="71" spans="1:7" hidden="1" x14ac:dyDescent="0.35">
      <c r="A71" s="745" t="s">
        <v>77</v>
      </c>
      <c r="B71" s="746" t="s">
        <v>78</v>
      </c>
      <c r="C71" s="746" t="s">
        <v>91</v>
      </c>
      <c r="D71" s="746" t="s">
        <v>92</v>
      </c>
      <c r="E71" s="748"/>
    </row>
    <row r="72" spans="1:7" hidden="1" x14ac:dyDescent="0.35"/>
    <row r="73" spans="1:7" hidden="1" x14ac:dyDescent="0.35">
      <c r="A73" s="747" t="s">
        <v>52</v>
      </c>
      <c r="B73" s="746" t="s">
        <v>93</v>
      </c>
      <c r="F73" s="746" t="s">
        <v>54</v>
      </c>
      <c r="G73" s="746" t="s">
        <v>55</v>
      </c>
    </row>
    <row r="74" spans="1:7" hidden="1" x14ac:dyDescent="0.35">
      <c r="A74" s="747" t="s">
        <v>56</v>
      </c>
      <c r="B74" s="746" t="s">
        <v>57</v>
      </c>
      <c r="C74" s="746" t="s">
        <v>58</v>
      </c>
      <c r="D74" s="746" t="s">
        <v>59</v>
      </c>
      <c r="E74" s="748"/>
      <c r="F74" s="746" t="s">
        <v>60</v>
      </c>
      <c r="G74" s="746" t="s">
        <v>61</v>
      </c>
    </row>
    <row r="75" spans="1:7" hidden="1" x14ac:dyDescent="0.35">
      <c r="A75" s="747" t="s">
        <v>62</v>
      </c>
      <c r="B75" s="746" t="s">
        <v>63</v>
      </c>
      <c r="E75" s="749" t="s">
        <v>64</v>
      </c>
    </row>
    <row r="76" spans="1:7" hidden="1" x14ac:dyDescent="0.35">
      <c r="A76" s="745"/>
    </row>
    <row r="77" spans="1:7" hidden="1" x14ac:dyDescent="0.35">
      <c r="A77" s="745" t="s">
        <v>65</v>
      </c>
      <c r="B77" s="746" t="s">
        <v>66</v>
      </c>
      <c r="C77" s="746" t="s">
        <v>94</v>
      </c>
      <c r="D77" s="746" t="s">
        <v>95</v>
      </c>
      <c r="E77" s="748"/>
    </row>
    <row r="78" spans="1:7" hidden="1" x14ac:dyDescent="0.35">
      <c r="A78" s="745" t="s">
        <v>69</v>
      </c>
      <c r="B78" s="746" t="s">
        <v>70</v>
      </c>
      <c r="C78" s="746" t="s">
        <v>94</v>
      </c>
      <c r="D78" s="746" t="s">
        <v>95</v>
      </c>
      <c r="E78" s="748"/>
    </row>
    <row r="79" spans="1:7" hidden="1" x14ac:dyDescent="0.35">
      <c r="A79" s="745" t="s">
        <v>71</v>
      </c>
      <c r="B79" s="746" t="s">
        <v>72</v>
      </c>
      <c r="C79" s="746" t="s">
        <v>94</v>
      </c>
      <c r="D79" s="746" t="s">
        <v>95</v>
      </c>
      <c r="E79" s="748"/>
    </row>
    <row r="80" spans="1:7" hidden="1" x14ac:dyDescent="0.35">
      <c r="A80" s="745" t="s">
        <v>73</v>
      </c>
      <c r="B80" s="746" t="s">
        <v>74</v>
      </c>
      <c r="C80" s="746" t="s">
        <v>94</v>
      </c>
      <c r="D80" s="746" t="s">
        <v>95</v>
      </c>
      <c r="E80" s="748"/>
    </row>
    <row r="81" spans="1:7" hidden="1" x14ac:dyDescent="0.35">
      <c r="A81" s="745" t="s">
        <v>75</v>
      </c>
      <c r="B81" s="746" t="s">
        <v>76</v>
      </c>
      <c r="C81" s="746" t="s">
        <v>94</v>
      </c>
      <c r="D81" s="746" t="s">
        <v>95</v>
      </c>
      <c r="E81" s="748"/>
    </row>
    <row r="82" spans="1:7" hidden="1" x14ac:dyDescent="0.35">
      <c r="A82" s="745" t="s">
        <v>77</v>
      </c>
      <c r="B82" s="746" t="s">
        <v>78</v>
      </c>
      <c r="C82" s="746" t="s">
        <v>94</v>
      </c>
      <c r="D82" s="746" t="s">
        <v>95</v>
      </c>
      <c r="E82" s="748"/>
    </row>
    <row r="83" spans="1:7" hidden="1" x14ac:dyDescent="0.35"/>
    <row r="84" spans="1:7" hidden="1" x14ac:dyDescent="0.35">
      <c r="A84" s="747" t="s">
        <v>52</v>
      </c>
      <c r="B84" s="746" t="s">
        <v>96</v>
      </c>
      <c r="F84" s="746" t="s">
        <v>54</v>
      </c>
      <c r="G84" s="746" t="s">
        <v>55</v>
      </c>
    </row>
    <row r="85" spans="1:7" hidden="1" x14ac:dyDescent="0.35">
      <c r="A85" s="747" t="s">
        <v>56</v>
      </c>
      <c r="B85" s="746" t="s">
        <v>57</v>
      </c>
      <c r="C85" s="746" t="s">
        <v>58</v>
      </c>
      <c r="D85" s="746" t="s">
        <v>59</v>
      </c>
      <c r="E85" s="748"/>
      <c r="F85" s="746" t="s">
        <v>60</v>
      </c>
      <c r="G85" s="746" t="s">
        <v>61</v>
      </c>
    </row>
    <row r="86" spans="1:7" hidden="1" x14ac:dyDescent="0.35">
      <c r="A86" s="747" t="s">
        <v>62</v>
      </c>
      <c r="B86" s="746" t="s">
        <v>63</v>
      </c>
      <c r="E86" s="749" t="s">
        <v>64</v>
      </c>
    </row>
    <row r="87" spans="1:7" hidden="1" x14ac:dyDescent="0.35">
      <c r="A87" s="745"/>
    </row>
    <row r="88" spans="1:7" hidden="1" x14ac:dyDescent="0.35">
      <c r="A88" s="745" t="s">
        <v>65</v>
      </c>
      <c r="B88" s="746" t="s">
        <v>66</v>
      </c>
      <c r="C88" s="746" t="s">
        <v>97</v>
      </c>
      <c r="D88" s="746" t="s">
        <v>98</v>
      </c>
      <c r="E88" s="748"/>
    </row>
    <row r="89" spans="1:7" hidden="1" x14ac:dyDescent="0.35">
      <c r="A89" s="745" t="s">
        <v>69</v>
      </c>
      <c r="B89" s="746" t="s">
        <v>70</v>
      </c>
      <c r="C89" s="746" t="s">
        <v>97</v>
      </c>
      <c r="D89" s="746" t="s">
        <v>98</v>
      </c>
      <c r="E89" s="748"/>
    </row>
    <row r="90" spans="1:7" hidden="1" x14ac:dyDescent="0.35">
      <c r="A90" s="745" t="s">
        <v>71</v>
      </c>
      <c r="B90" s="746" t="s">
        <v>72</v>
      </c>
      <c r="C90" s="746" t="s">
        <v>97</v>
      </c>
      <c r="D90" s="746" t="s">
        <v>98</v>
      </c>
      <c r="E90" s="748"/>
    </row>
    <row r="91" spans="1:7" hidden="1" x14ac:dyDescent="0.35">
      <c r="A91" s="745" t="s">
        <v>73</v>
      </c>
      <c r="B91" s="746" t="s">
        <v>74</v>
      </c>
      <c r="C91" s="746" t="s">
        <v>97</v>
      </c>
      <c r="D91" s="746" t="s">
        <v>98</v>
      </c>
      <c r="E91" s="748"/>
    </row>
    <row r="92" spans="1:7" hidden="1" x14ac:dyDescent="0.35">
      <c r="A92" s="745" t="s">
        <v>75</v>
      </c>
      <c r="B92" s="746" t="s">
        <v>76</v>
      </c>
      <c r="C92" s="746" t="s">
        <v>97</v>
      </c>
      <c r="D92" s="746" t="s">
        <v>98</v>
      </c>
      <c r="E92" s="748"/>
    </row>
    <row r="93" spans="1:7" hidden="1" x14ac:dyDescent="0.35">
      <c r="A93" s="745" t="s">
        <v>77</v>
      </c>
      <c r="B93" s="746" t="s">
        <v>78</v>
      </c>
      <c r="C93" s="746" t="s">
        <v>97</v>
      </c>
      <c r="D93" s="746" t="s">
        <v>98</v>
      </c>
      <c r="E93" s="748"/>
    </row>
    <row r="94" spans="1:7" hidden="1" x14ac:dyDescent="0.35"/>
    <row r="95" spans="1:7" hidden="1" x14ac:dyDescent="0.35">
      <c r="A95" s="747" t="s">
        <v>52</v>
      </c>
      <c r="B95" s="746" t="s">
        <v>99</v>
      </c>
      <c r="F95" s="746" t="s">
        <v>54</v>
      </c>
      <c r="G95" s="746" t="s">
        <v>55</v>
      </c>
    </row>
    <row r="96" spans="1:7" hidden="1" x14ac:dyDescent="0.35">
      <c r="A96" s="747" t="s">
        <v>56</v>
      </c>
      <c r="B96" s="746" t="s">
        <v>57</v>
      </c>
      <c r="C96" s="746" t="s">
        <v>58</v>
      </c>
      <c r="D96" s="746" t="s">
        <v>59</v>
      </c>
      <c r="E96" s="748"/>
      <c r="F96" s="746" t="s">
        <v>60</v>
      </c>
      <c r="G96" s="746" t="s">
        <v>61</v>
      </c>
    </row>
    <row r="97" spans="1:7" hidden="1" x14ac:dyDescent="0.35">
      <c r="A97" s="747" t="s">
        <v>62</v>
      </c>
      <c r="B97" s="746" t="s">
        <v>63</v>
      </c>
      <c r="E97" s="749" t="s">
        <v>64</v>
      </c>
    </row>
    <row r="98" spans="1:7" hidden="1" x14ac:dyDescent="0.35">
      <c r="A98" s="745"/>
    </row>
    <row r="99" spans="1:7" hidden="1" x14ac:dyDescent="0.35">
      <c r="A99" s="745" t="s">
        <v>65</v>
      </c>
      <c r="B99" s="746" t="s">
        <v>66</v>
      </c>
      <c r="C99" s="746" t="s">
        <v>100</v>
      </c>
      <c r="D99" s="746" t="s">
        <v>101</v>
      </c>
      <c r="E99" s="748"/>
    </row>
    <row r="100" spans="1:7" hidden="1" x14ac:dyDescent="0.35">
      <c r="A100" s="745" t="s">
        <v>69</v>
      </c>
      <c r="B100" s="746" t="s">
        <v>70</v>
      </c>
      <c r="C100" s="746" t="s">
        <v>100</v>
      </c>
      <c r="D100" s="746" t="s">
        <v>101</v>
      </c>
      <c r="E100" s="748"/>
    </row>
    <row r="101" spans="1:7" hidden="1" x14ac:dyDescent="0.35">
      <c r="A101" s="745" t="s">
        <v>71</v>
      </c>
      <c r="B101" s="746" t="s">
        <v>72</v>
      </c>
      <c r="C101" s="746" t="s">
        <v>100</v>
      </c>
      <c r="D101" s="746" t="s">
        <v>101</v>
      </c>
      <c r="E101" s="748"/>
    </row>
    <row r="102" spans="1:7" hidden="1" x14ac:dyDescent="0.35">
      <c r="A102" s="745" t="s">
        <v>73</v>
      </c>
      <c r="B102" s="746" t="s">
        <v>74</v>
      </c>
      <c r="C102" s="746" t="s">
        <v>100</v>
      </c>
      <c r="D102" s="746" t="s">
        <v>101</v>
      </c>
      <c r="E102" s="748"/>
    </row>
    <row r="103" spans="1:7" hidden="1" x14ac:dyDescent="0.35">
      <c r="A103" s="745" t="s">
        <v>75</v>
      </c>
      <c r="B103" s="746" t="s">
        <v>76</v>
      </c>
      <c r="C103" s="746" t="s">
        <v>100</v>
      </c>
      <c r="D103" s="746" t="s">
        <v>101</v>
      </c>
      <c r="E103" s="748"/>
    </row>
    <row r="104" spans="1:7" hidden="1" x14ac:dyDescent="0.35">
      <c r="A104" s="745" t="s">
        <v>77</v>
      </c>
      <c r="B104" s="746" t="s">
        <v>78</v>
      </c>
      <c r="C104" s="746" t="s">
        <v>100</v>
      </c>
      <c r="D104" s="746" t="s">
        <v>101</v>
      </c>
      <c r="E104" s="748"/>
    </row>
    <row r="105" spans="1:7" hidden="1" x14ac:dyDescent="0.35"/>
    <row r="106" spans="1:7" hidden="1" x14ac:dyDescent="0.35">
      <c r="A106" s="747" t="s">
        <v>52</v>
      </c>
      <c r="B106" s="746" t="s">
        <v>102</v>
      </c>
      <c r="F106" s="746" t="s">
        <v>54</v>
      </c>
      <c r="G106" s="746" t="s">
        <v>55</v>
      </c>
    </row>
    <row r="107" spans="1:7" hidden="1" x14ac:dyDescent="0.35">
      <c r="A107" s="747" t="s">
        <v>56</v>
      </c>
      <c r="B107" s="746" t="s">
        <v>57</v>
      </c>
      <c r="C107" s="746" t="s">
        <v>58</v>
      </c>
      <c r="D107" s="746" t="s">
        <v>59</v>
      </c>
      <c r="E107" s="748"/>
      <c r="F107" s="746" t="s">
        <v>60</v>
      </c>
      <c r="G107" s="746" t="s">
        <v>61</v>
      </c>
    </row>
    <row r="108" spans="1:7" hidden="1" x14ac:dyDescent="0.35">
      <c r="A108" s="747" t="s">
        <v>62</v>
      </c>
      <c r="B108" s="746" t="s">
        <v>63</v>
      </c>
      <c r="E108" s="749" t="s">
        <v>64</v>
      </c>
    </row>
    <row r="109" spans="1:7" hidden="1" x14ac:dyDescent="0.35">
      <c r="A109" s="745"/>
    </row>
    <row r="110" spans="1:7" hidden="1" x14ac:dyDescent="0.35">
      <c r="A110" s="745" t="s">
        <v>65</v>
      </c>
      <c r="B110" s="746" t="s">
        <v>66</v>
      </c>
      <c r="C110" s="746" t="s">
        <v>103</v>
      </c>
      <c r="D110" s="746" t="s">
        <v>104</v>
      </c>
      <c r="E110" s="748"/>
    </row>
    <row r="111" spans="1:7" hidden="1" x14ac:dyDescent="0.35">
      <c r="A111" s="745" t="s">
        <v>69</v>
      </c>
      <c r="B111" s="746" t="s">
        <v>70</v>
      </c>
      <c r="C111" s="746" t="s">
        <v>103</v>
      </c>
      <c r="D111" s="746" t="s">
        <v>104</v>
      </c>
      <c r="E111" s="748"/>
    </row>
    <row r="112" spans="1:7" hidden="1" x14ac:dyDescent="0.35">
      <c r="A112" s="745" t="s">
        <v>71</v>
      </c>
      <c r="B112" s="746" t="s">
        <v>72</v>
      </c>
      <c r="C112" s="746" t="s">
        <v>103</v>
      </c>
      <c r="D112" s="746" t="s">
        <v>104</v>
      </c>
      <c r="E112" s="748"/>
    </row>
    <row r="113" spans="1:7" hidden="1" x14ac:dyDescent="0.35">
      <c r="A113" s="745" t="s">
        <v>73</v>
      </c>
      <c r="B113" s="746" t="s">
        <v>74</v>
      </c>
      <c r="C113" s="746" t="s">
        <v>103</v>
      </c>
      <c r="D113" s="746" t="s">
        <v>104</v>
      </c>
      <c r="E113" s="748"/>
    </row>
    <row r="114" spans="1:7" hidden="1" x14ac:dyDescent="0.35">
      <c r="A114" s="745" t="s">
        <v>75</v>
      </c>
      <c r="B114" s="746" t="s">
        <v>76</v>
      </c>
      <c r="C114" s="746" t="s">
        <v>103</v>
      </c>
      <c r="D114" s="746" t="s">
        <v>104</v>
      </c>
      <c r="E114" s="748"/>
    </row>
    <row r="115" spans="1:7" hidden="1" x14ac:dyDescent="0.35">
      <c r="A115" s="745" t="s">
        <v>77</v>
      </c>
      <c r="B115" s="746" t="s">
        <v>78</v>
      </c>
      <c r="C115" s="746" t="s">
        <v>103</v>
      </c>
      <c r="D115" s="746" t="s">
        <v>104</v>
      </c>
      <c r="E115" s="748"/>
    </row>
    <row r="116" spans="1:7" hidden="1" x14ac:dyDescent="0.35"/>
    <row r="117" spans="1:7" hidden="1" x14ac:dyDescent="0.35">
      <c r="A117" s="747" t="s">
        <v>52</v>
      </c>
      <c r="B117" s="746" t="s">
        <v>105</v>
      </c>
      <c r="F117" s="746" t="s">
        <v>54</v>
      </c>
      <c r="G117" s="746" t="s">
        <v>55</v>
      </c>
    </row>
    <row r="118" spans="1:7" hidden="1" x14ac:dyDescent="0.35">
      <c r="A118" s="747" t="s">
        <v>56</v>
      </c>
      <c r="B118" s="746" t="s">
        <v>57</v>
      </c>
      <c r="C118" s="746" t="s">
        <v>58</v>
      </c>
      <c r="D118" s="746" t="s">
        <v>59</v>
      </c>
      <c r="E118" s="748"/>
      <c r="F118" s="746" t="s">
        <v>60</v>
      </c>
      <c r="G118" s="746" t="s">
        <v>61</v>
      </c>
    </row>
    <row r="119" spans="1:7" hidden="1" x14ac:dyDescent="0.35">
      <c r="A119" s="747" t="s">
        <v>62</v>
      </c>
      <c r="B119" s="746" t="s">
        <v>63</v>
      </c>
      <c r="E119" s="749" t="s">
        <v>64</v>
      </c>
    </row>
    <row r="120" spans="1:7" hidden="1" x14ac:dyDescent="0.35">
      <c r="A120" s="745"/>
    </row>
    <row r="121" spans="1:7" hidden="1" x14ac:dyDescent="0.35">
      <c r="A121" s="745" t="s">
        <v>65</v>
      </c>
      <c r="B121" s="746" t="s">
        <v>66</v>
      </c>
      <c r="C121" s="746" t="s">
        <v>106</v>
      </c>
      <c r="D121" s="746" t="s">
        <v>107</v>
      </c>
      <c r="E121" s="748"/>
    </row>
    <row r="122" spans="1:7" hidden="1" x14ac:dyDescent="0.35">
      <c r="A122" s="745" t="s">
        <v>69</v>
      </c>
      <c r="B122" s="746" t="s">
        <v>70</v>
      </c>
      <c r="C122" s="746" t="s">
        <v>106</v>
      </c>
      <c r="D122" s="746" t="s">
        <v>107</v>
      </c>
      <c r="E122" s="748"/>
    </row>
    <row r="123" spans="1:7" hidden="1" x14ac:dyDescent="0.35">
      <c r="A123" s="745" t="s">
        <v>71</v>
      </c>
      <c r="B123" s="746" t="s">
        <v>72</v>
      </c>
      <c r="C123" s="746" t="s">
        <v>106</v>
      </c>
      <c r="D123" s="746" t="s">
        <v>107</v>
      </c>
      <c r="E123" s="748"/>
    </row>
    <row r="124" spans="1:7" hidden="1" x14ac:dyDescent="0.35">
      <c r="A124" s="745" t="s">
        <v>73</v>
      </c>
      <c r="B124" s="746" t="s">
        <v>74</v>
      </c>
      <c r="C124" s="746" t="s">
        <v>106</v>
      </c>
      <c r="D124" s="746" t="s">
        <v>107</v>
      </c>
      <c r="E124" s="748"/>
    </row>
    <row r="125" spans="1:7" hidden="1" x14ac:dyDescent="0.35">
      <c r="A125" s="745" t="s">
        <v>75</v>
      </c>
      <c r="B125" s="746" t="s">
        <v>76</v>
      </c>
      <c r="C125" s="746" t="s">
        <v>106</v>
      </c>
      <c r="D125" s="746" t="s">
        <v>107</v>
      </c>
      <c r="E125" s="748"/>
    </row>
    <row r="126" spans="1:7" hidden="1" x14ac:dyDescent="0.35">
      <c r="A126" s="745" t="s">
        <v>77</v>
      </c>
      <c r="B126" s="746" t="s">
        <v>78</v>
      </c>
      <c r="C126" s="746" t="s">
        <v>106</v>
      </c>
      <c r="D126" s="746" t="s">
        <v>107</v>
      </c>
      <c r="E126" s="748"/>
    </row>
  </sheetData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I1:I19"/>
  <sheetViews>
    <sheetView workbookViewId="0">
      <selection activeCell="I19" sqref="I19"/>
    </sheetView>
  </sheetViews>
  <sheetFormatPr defaultRowHeight="14.5" x14ac:dyDescent="0.35"/>
  <sheetData>
    <row r="1" spans="9:9" ht="15" thickBot="1" x14ac:dyDescent="0.4"/>
    <row r="2" spans="9:9" ht="17.5" thickBot="1" x14ac:dyDescent="0.4">
      <c r="I2" s="126">
        <v>9364</v>
      </c>
    </row>
    <row r="3" spans="9:9" ht="17.5" thickBot="1" x14ac:dyDescent="0.4">
      <c r="I3" s="126">
        <v>1046</v>
      </c>
    </row>
    <row r="4" spans="9:9" ht="17.5" thickBot="1" x14ac:dyDescent="0.4">
      <c r="I4" s="126">
        <v>2197</v>
      </c>
    </row>
    <row r="5" spans="9:9" ht="17.5" thickBot="1" x14ac:dyDescent="0.4">
      <c r="I5" s="126">
        <v>5028</v>
      </c>
    </row>
    <row r="6" spans="9:9" ht="17.5" thickBot="1" x14ac:dyDescent="0.4">
      <c r="I6" s="126">
        <v>1012</v>
      </c>
    </row>
    <row r="7" spans="9:9" ht="17.5" thickBot="1" x14ac:dyDescent="0.4">
      <c r="I7" s="126">
        <v>759</v>
      </c>
    </row>
    <row r="8" spans="9:9" ht="17.5" thickBot="1" x14ac:dyDescent="0.4">
      <c r="I8" s="126">
        <v>0</v>
      </c>
    </row>
    <row r="9" spans="9:9" ht="17.5" thickBot="1" x14ac:dyDescent="0.4">
      <c r="I9" s="126">
        <v>0</v>
      </c>
    </row>
    <row r="10" spans="9:9" ht="17.5" thickBot="1" x14ac:dyDescent="0.4">
      <c r="I10" s="126">
        <v>0</v>
      </c>
    </row>
    <row r="11" spans="9:9" ht="17.5" thickBot="1" x14ac:dyDescent="0.4">
      <c r="I11" s="126">
        <v>0</v>
      </c>
    </row>
    <row r="12" spans="9:9" ht="17.5" thickBot="1" x14ac:dyDescent="0.4">
      <c r="I12" s="126">
        <v>3182</v>
      </c>
    </row>
    <row r="13" spans="9:9" ht="17.5" thickBot="1" x14ac:dyDescent="0.4">
      <c r="I13" s="126">
        <v>0</v>
      </c>
    </row>
    <row r="14" spans="9:9" ht="17.5" thickBot="1" x14ac:dyDescent="0.4">
      <c r="I14" s="126">
        <v>0</v>
      </c>
    </row>
    <row r="15" spans="9:9" ht="17.5" thickBot="1" x14ac:dyDescent="0.4">
      <c r="I15" s="126">
        <v>0</v>
      </c>
    </row>
    <row r="16" spans="9:9" ht="17" x14ac:dyDescent="0.35">
      <c r="I16" s="127">
        <v>123</v>
      </c>
    </row>
    <row r="17" spans="9:9" x14ac:dyDescent="0.35">
      <c r="I17">
        <f>SUM(I1:I16)</f>
        <v>22711</v>
      </c>
    </row>
    <row r="18" spans="9:9" ht="17" x14ac:dyDescent="0.35">
      <c r="I18" s="128">
        <v>22831</v>
      </c>
    </row>
    <row r="19" spans="9:9" x14ac:dyDescent="0.35">
      <c r="I19">
        <f>I18-I17</f>
        <v>120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E1:Y56"/>
  <sheetViews>
    <sheetView topLeftCell="A3" workbookViewId="0">
      <selection activeCell="T11" sqref="T11"/>
    </sheetView>
  </sheetViews>
  <sheetFormatPr defaultRowHeight="14.5" x14ac:dyDescent="0.35"/>
  <cols>
    <col min="5" max="5" width="20.81640625" bestFit="1" customWidth="1"/>
    <col min="6" max="6" width="6.453125" bestFit="1" customWidth="1"/>
    <col min="24" max="24" width="13.453125" bestFit="1" customWidth="1"/>
  </cols>
  <sheetData>
    <row r="1" spans="5:25" ht="15" thickBot="1" x14ac:dyDescent="0.4">
      <c r="X1" t="s">
        <v>647</v>
      </c>
    </row>
    <row r="2" spans="5:25" ht="25" customHeight="1" thickBot="1" x14ac:dyDescent="0.4">
      <c r="E2" s="944" t="s">
        <v>648</v>
      </c>
      <c r="F2" s="945"/>
      <c r="G2" s="945"/>
      <c r="H2" s="945"/>
      <c r="I2" s="945"/>
      <c r="J2" s="945"/>
      <c r="K2" s="945"/>
      <c r="L2" s="945"/>
      <c r="M2" s="946"/>
      <c r="S2" t="s">
        <v>649</v>
      </c>
      <c r="X2" t="s">
        <v>650</v>
      </c>
      <c r="Y2">
        <v>1613.89</v>
      </c>
    </row>
    <row r="3" spans="5:25" ht="16" thickBot="1" x14ac:dyDescent="0.4">
      <c r="E3" s="942" t="s">
        <v>181</v>
      </c>
      <c r="F3" s="948" t="s">
        <v>651</v>
      </c>
      <c r="G3" s="949"/>
      <c r="H3" s="950"/>
      <c r="I3" s="948" t="s">
        <v>652</v>
      </c>
      <c r="J3" s="949"/>
      <c r="K3" s="950"/>
      <c r="L3" s="948" t="s">
        <v>653</v>
      </c>
      <c r="M3" s="950"/>
      <c r="S3" t="s">
        <v>654</v>
      </c>
      <c r="T3">
        <v>11534.49</v>
      </c>
      <c r="X3" t="s">
        <v>655</v>
      </c>
      <c r="Y3">
        <v>6179.01</v>
      </c>
    </row>
    <row r="4" spans="5:25" ht="16" thickBot="1" x14ac:dyDescent="0.4">
      <c r="E4" s="943"/>
      <c r="F4" s="94" t="s">
        <v>170</v>
      </c>
      <c r="G4" s="95" t="s">
        <v>539</v>
      </c>
      <c r="H4" s="96" t="s">
        <v>656</v>
      </c>
      <c r="I4" s="94" t="s">
        <v>170</v>
      </c>
      <c r="J4" s="95" t="s">
        <v>539</v>
      </c>
      <c r="K4" s="96" t="s">
        <v>656</v>
      </c>
      <c r="L4" s="94" t="s">
        <v>539</v>
      </c>
      <c r="M4" s="96" t="s">
        <v>656</v>
      </c>
      <c r="S4" t="s">
        <v>657</v>
      </c>
      <c r="T4">
        <v>6059</v>
      </c>
      <c r="X4" t="s">
        <v>658</v>
      </c>
      <c r="Y4">
        <v>47368.73</v>
      </c>
    </row>
    <row r="5" spans="5:25" ht="25" customHeight="1" x14ac:dyDescent="0.35">
      <c r="E5" s="100" t="s">
        <v>327</v>
      </c>
      <c r="F5" s="26">
        <v>199</v>
      </c>
      <c r="G5" s="26">
        <v>180</v>
      </c>
      <c r="H5" s="26">
        <v>1249</v>
      </c>
      <c r="I5" s="26">
        <v>260</v>
      </c>
      <c r="J5" s="26">
        <v>256</v>
      </c>
      <c r="K5" s="26">
        <v>691</v>
      </c>
      <c r="L5" s="26">
        <f t="shared" ref="L5:M9" si="0">G5-J5</f>
        <v>-76</v>
      </c>
      <c r="M5" s="28">
        <f t="shared" si="0"/>
        <v>558</v>
      </c>
      <c r="S5" t="s">
        <v>659</v>
      </c>
      <c r="T5">
        <v>5096.53</v>
      </c>
      <c r="X5" t="s">
        <v>660</v>
      </c>
      <c r="Y5">
        <v>927.9</v>
      </c>
    </row>
    <row r="6" spans="5:25" ht="25" customHeight="1" x14ac:dyDescent="0.35">
      <c r="E6" s="100" t="s">
        <v>661</v>
      </c>
      <c r="F6" s="26">
        <v>0</v>
      </c>
      <c r="G6" s="26">
        <v>60</v>
      </c>
      <c r="H6" s="26">
        <v>60</v>
      </c>
      <c r="I6" s="26">
        <v>0</v>
      </c>
      <c r="J6" s="26">
        <v>53</v>
      </c>
      <c r="K6" s="26">
        <v>53</v>
      </c>
      <c r="L6" s="26">
        <f t="shared" si="0"/>
        <v>7</v>
      </c>
      <c r="M6" s="28">
        <f t="shared" si="0"/>
        <v>7</v>
      </c>
      <c r="S6" t="s">
        <v>662</v>
      </c>
      <c r="T6">
        <v>4662.55</v>
      </c>
      <c r="X6" t="s">
        <v>663</v>
      </c>
      <c r="Y6">
        <v>1839.67</v>
      </c>
    </row>
    <row r="7" spans="5:25" ht="25" customHeight="1" x14ac:dyDescent="0.35">
      <c r="E7" s="100" t="s">
        <v>664</v>
      </c>
      <c r="F7" s="26">
        <v>346</v>
      </c>
      <c r="G7" s="26">
        <v>247</v>
      </c>
      <c r="H7" s="26">
        <v>416</v>
      </c>
      <c r="I7" s="26">
        <v>200</v>
      </c>
      <c r="J7" s="26">
        <v>269</v>
      </c>
      <c r="K7" s="26">
        <v>269</v>
      </c>
      <c r="L7" s="26">
        <f t="shared" si="0"/>
        <v>-22</v>
      </c>
      <c r="M7" s="28">
        <f t="shared" si="0"/>
        <v>147</v>
      </c>
      <c r="S7" t="s">
        <v>665</v>
      </c>
      <c r="T7">
        <v>5128.01</v>
      </c>
      <c r="X7" t="s">
        <v>666</v>
      </c>
      <c r="Y7">
        <v>381.16</v>
      </c>
    </row>
    <row r="8" spans="5:25" ht="25" customHeight="1" x14ac:dyDescent="0.35">
      <c r="E8" s="100" t="s">
        <v>667</v>
      </c>
      <c r="F8" s="26">
        <v>61</v>
      </c>
      <c r="G8" s="26">
        <v>21</v>
      </c>
      <c r="H8" s="26">
        <v>53.8</v>
      </c>
      <c r="I8" s="26">
        <v>30</v>
      </c>
      <c r="J8" s="26">
        <v>12.5</v>
      </c>
      <c r="K8" s="26">
        <v>45.5</v>
      </c>
      <c r="L8" s="26">
        <f t="shared" si="0"/>
        <v>8.5</v>
      </c>
      <c r="M8" s="28">
        <f t="shared" si="0"/>
        <v>8.2999999999999972</v>
      </c>
      <c r="S8" t="s">
        <v>668</v>
      </c>
      <c r="T8">
        <v>5510.55</v>
      </c>
      <c r="X8" t="s">
        <v>669</v>
      </c>
      <c r="Y8">
        <v>746.98</v>
      </c>
    </row>
    <row r="9" spans="5:25" ht="25" customHeight="1" x14ac:dyDescent="0.35">
      <c r="E9" s="100" t="s">
        <v>222</v>
      </c>
      <c r="F9" s="26">
        <v>697</v>
      </c>
      <c r="G9" s="26">
        <v>394</v>
      </c>
      <c r="H9" s="26">
        <v>586</v>
      </c>
      <c r="I9" s="26">
        <v>670</v>
      </c>
      <c r="J9" s="26">
        <v>394</v>
      </c>
      <c r="K9" s="26">
        <v>586</v>
      </c>
      <c r="L9" s="26">
        <f t="shared" si="0"/>
        <v>0</v>
      </c>
      <c r="M9" s="28">
        <f t="shared" si="0"/>
        <v>0</v>
      </c>
      <c r="S9" t="s">
        <v>670</v>
      </c>
      <c r="T9">
        <v>3124.22</v>
      </c>
      <c r="X9" t="s">
        <v>671</v>
      </c>
      <c r="Y9">
        <v>1127.05</v>
      </c>
    </row>
    <row r="10" spans="5:25" ht="25" customHeight="1" thickBot="1" x14ac:dyDescent="0.4">
      <c r="E10" s="101" t="s">
        <v>225</v>
      </c>
      <c r="F10" s="92">
        <f t="shared" ref="F10:M10" si="1">SUM(F5:F9)</f>
        <v>1303</v>
      </c>
      <c r="G10" s="92">
        <f t="shared" si="1"/>
        <v>902</v>
      </c>
      <c r="H10" s="92">
        <f t="shared" si="1"/>
        <v>2364.8000000000002</v>
      </c>
      <c r="I10" s="92">
        <f t="shared" si="1"/>
        <v>1160</v>
      </c>
      <c r="J10" s="92">
        <f t="shared" si="1"/>
        <v>984.5</v>
      </c>
      <c r="K10" s="92">
        <f t="shared" si="1"/>
        <v>1644.5</v>
      </c>
      <c r="L10" s="92">
        <f t="shared" si="1"/>
        <v>-82.5</v>
      </c>
      <c r="M10" s="93">
        <f t="shared" si="1"/>
        <v>720.3</v>
      </c>
      <c r="R10" t="s">
        <v>149</v>
      </c>
      <c r="T10">
        <f>SUM(T3:T9)</f>
        <v>41115.35</v>
      </c>
      <c r="X10" t="s">
        <v>672</v>
      </c>
      <c r="Y10">
        <v>240.89</v>
      </c>
    </row>
    <row r="11" spans="5:25" ht="16" thickBot="1" x14ac:dyDescent="0.4">
      <c r="E11" s="939"/>
      <c r="F11" s="939"/>
      <c r="G11" s="939"/>
      <c r="H11" s="939"/>
      <c r="I11" s="939"/>
      <c r="J11" s="939"/>
      <c r="K11" s="939"/>
      <c r="L11" s="939"/>
      <c r="M11" s="939"/>
      <c r="T11" s="111">
        <f>T10/1000</f>
        <v>41.115349999999999</v>
      </c>
      <c r="X11" t="s">
        <v>673</v>
      </c>
      <c r="Y11">
        <v>492.61</v>
      </c>
    </row>
    <row r="12" spans="5:25" ht="25" customHeight="1" thickBot="1" x14ac:dyDescent="0.4">
      <c r="E12" s="940" t="s">
        <v>674</v>
      </c>
      <c r="F12" s="947"/>
      <c r="G12" s="947"/>
      <c r="H12" s="947"/>
      <c r="I12" s="947"/>
      <c r="J12" s="947"/>
      <c r="K12" s="947"/>
      <c r="L12" s="947"/>
      <c r="M12" s="941"/>
      <c r="S12" t="s">
        <v>645</v>
      </c>
      <c r="X12" t="s">
        <v>675</v>
      </c>
      <c r="Y12">
        <v>3678.07</v>
      </c>
    </row>
    <row r="13" spans="5:25" ht="16" thickBot="1" x14ac:dyDescent="0.4">
      <c r="E13" s="937" t="s">
        <v>181</v>
      </c>
      <c r="F13" s="940" t="s">
        <v>651</v>
      </c>
      <c r="G13" s="947"/>
      <c r="H13" s="941"/>
      <c r="I13" s="940" t="s">
        <v>652</v>
      </c>
      <c r="J13" s="947"/>
      <c r="K13" s="941"/>
      <c r="L13" s="940" t="s">
        <v>653</v>
      </c>
      <c r="M13" s="941"/>
      <c r="S13" t="s">
        <v>676</v>
      </c>
      <c r="T13">
        <v>4820.26</v>
      </c>
      <c r="X13" t="s">
        <v>677</v>
      </c>
      <c r="Y13">
        <v>455.9</v>
      </c>
    </row>
    <row r="14" spans="5:25" ht="16" thickBot="1" x14ac:dyDescent="0.4">
      <c r="E14" s="938"/>
      <c r="F14" s="97" t="s">
        <v>170</v>
      </c>
      <c r="G14" s="98" t="s">
        <v>539</v>
      </c>
      <c r="H14" s="99" t="s">
        <v>656</v>
      </c>
      <c r="I14" s="97" t="s">
        <v>170</v>
      </c>
      <c r="J14" s="98" t="s">
        <v>539</v>
      </c>
      <c r="K14" s="99" t="s">
        <v>656</v>
      </c>
      <c r="L14" s="97" t="s">
        <v>539</v>
      </c>
      <c r="M14" s="99" t="s">
        <v>656</v>
      </c>
      <c r="S14" t="s">
        <v>678</v>
      </c>
      <c r="T14">
        <v>2623.48</v>
      </c>
      <c r="X14" t="s">
        <v>679</v>
      </c>
      <c r="Y14">
        <v>1011.11</v>
      </c>
    </row>
    <row r="15" spans="5:25" ht="25" customHeight="1" x14ac:dyDescent="0.35">
      <c r="E15" s="102" t="s">
        <v>327</v>
      </c>
      <c r="F15" s="35">
        <v>145</v>
      </c>
      <c r="G15" s="35">
        <v>0</v>
      </c>
      <c r="H15" s="35">
        <v>0</v>
      </c>
      <c r="I15" s="35">
        <v>150</v>
      </c>
      <c r="J15" s="35">
        <v>0</v>
      </c>
      <c r="K15" s="35">
        <v>0</v>
      </c>
      <c r="L15" s="35">
        <f t="shared" ref="L15:M17" si="2">G15-J15</f>
        <v>0</v>
      </c>
      <c r="M15" s="39">
        <f t="shared" si="2"/>
        <v>0</v>
      </c>
      <c r="S15" t="s">
        <v>659</v>
      </c>
      <c r="T15">
        <v>2281.37</v>
      </c>
      <c r="X15" t="s">
        <v>680</v>
      </c>
      <c r="Y15">
        <v>2535.7399999999998</v>
      </c>
    </row>
    <row r="16" spans="5:25" ht="25" customHeight="1" x14ac:dyDescent="0.35">
      <c r="E16" s="100" t="s">
        <v>222</v>
      </c>
      <c r="F16" s="26">
        <v>663</v>
      </c>
      <c r="G16" s="26">
        <v>575</v>
      </c>
      <c r="H16" s="26">
        <v>1673</v>
      </c>
      <c r="I16" s="26">
        <v>770</v>
      </c>
      <c r="J16" s="26">
        <v>575</v>
      </c>
      <c r="K16" s="26">
        <v>1673</v>
      </c>
      <c r="L16" s="26">
        <f t="shared" si="2"/>
        <v>0</v>
      </c>
      <c r="M16" s="28">
        <f t="shared" si="2"/>
        <v>0</v>
      </c>
      <c r="S16" t="s">
        <v>662</v>
      </c>
      <c r="T16">
        <v>2554.33</v>
      </c>
      <c r="X16" t="s">
        <v>681</v>
      </c>
      <c r="Y16">
        <v>1569.26</v>
      </c>
    </row>
    <row r="17" spans="5:25" ht="25" customHeight="1" x14ac:dyDescent="0.35">
      <c r="E17" s="100" t="s">
        <v>682</v>
      </c>
      <c r="F17" s="26">
        <v>26</v>
      </c>
      <c r="G17" s="26">
        <v>27</v>
      </c>
      <c r="H17" s="26">
        <v>27</v>
      </c>
      <c r="I17" s="26">
        <v>0</v>
      </c>
      <c r="J17" s="26">
        <v>27</v>
      </c>
      <c r="K17" s="26">
        <v>27</v>
      </c>
      <c r="L17" s="26">
        <f t="shared" si="2"/>
        <v>0</v>
      </c>
      <c r="M17" s="28">
        <f t="shared" si="2"/>
        <v>0</v>
      </c>
      <c r="S17" t="s">
        <v>665</v>
      </c>
      <c r="T17">
        <v>2941.85</v>
      </c>
      <c r="X17" t="s">
        <v>683</v>
      </c>
      <c r="Y17">
        <v>671.1</v>
      </c>
    </row>
    <row r="18" spans="5:25" ht="25" customHeight="1" thickBot="1" x14ac:dyDescent="0.4">
      <c r="E18" s="101" t="s">
        <v>231</v>
      </c>
      <c r="F18" s="92">
        <f t="shared" ref="F18:M18" si="3">SUM(F15:F17)</f>
        <v>834</v>
      </c>
      <c r="G18" s="92">
        <f t="shared" si="3"/>
        <v>602</v>
      </c>
      <c r="H18" s="92">
        <f t="shared" si="3"/>
        <v>1700</v>
      </c>
      <c r="I18" s="92">
        <f t="shared" si="3"/>
        <v>920</v>
      </c>
      <c r="J18" s="92">
        <f t="shared" si="3"/>
        <v>602</v>
      </c>
      <c r="K18" s="92">
        <f t="shared" si="3"/>
        <v>1700</v>
      </c>
      <c r="L18" s="92">
        <f t="shared" si="3"/>
        <v>0</v>
      </c>
      <c r="M18" s="93">
        <f t="shared" si="3"/>
        <v>0</v>
      </c>
      <c r="S18" t="s">
        <v>668</v>
      </c>
      <c r="T18">
        <v>3467.98</v>
      </c>
      <c r="X18" t="s">
        <v>684</v>
      </c>
      <c r="Y18">
        <v>1408.68</v>
      </c>
    </row>
    <row r="19" spans="5:25" ht="16" thickBot="1" x14ac:dyDescent="0.4">
      <c r="E19" s="107" t="s">
        <v>232</v>
      </c>
      <c r="F19" s="108">
        <f>F10+F18</f>
        <v>2137</v>
      </c>
      <c r="G19" s="108">
        <f t="shared" ref="G19:M19" si="4">G10+G18</f>
        <v>1504</v>
      </c>
      <c r="H19" s="108">
        <f t="shared" si="4"/>
        <v>4064.8</v>
      </c>
      <c r="I19" s="108">
        <f t="shared" si="4"/>
        <v>2080</v>
      </c>
      <c r="J19" s="108">
        <f t="shared" si="4"/>
        <v>1586.5</v>
      </c>
      <c r="K19" s="108">
        <f t="shared" si="4"/>
        <v>3344.5</v>
      </c>
      <c r="L19" s="108">
        <f t="shared" si="4"/>
        <v>-82.5</v>
      </c>
      <c r="M19" s="109">
        <f t="shared" si="4"/>
        <v>720.3</v>
      </c>
      <c r="S19" t="s">
        <v>670</v>
      </c>
      <c r="T19">
        <v>3467.98</v>
      </c>
      <c r="X19" t="s">
        <v>685</v>
      </c>
      <c r="Y19">
        <v>4632.78</v>
      </c>
    </row>
    <row r="20" spans="5:25" x14ac:dyDescent="0.35">
      <c r="S20" t="s">
        <v>686</v>
      </c>
      <c r="T20">
        <v>3467.98</v>
      </c>
      <c r="X20" t="s">
        <v>687</v>
      </c>
      <c r="Y20">
        <v>3411.94</v>
      </c>
    </row>
    <row r="21" spans="5:25" x14ac:dyDescent="0.35">
      <c r="S21" t="s">
        <v>688</v>
      </c>
      <c r="T21">
        <v>3467.98</v>
      </c>
      <c r="X21" t="s">
        <v>689</v>
      </c>
      <c r="Y21">
        <v>180.27</v>
      </c>
    </row>
    <row r="22" spans="5:25" x14ac:dyDescent="0.35">
      <c r="S22" t="s">
        <v>690</v>
      </c>
      <c r="T22">
        <v>3467.98</v>
      </c>
      <c r="X22" t="s">
        <v>691</v>
      </c>
      <c r="Y22">
        <v>1531.7</v>
      </c>
    </row>
    <row r="23" spans="5:25" x14ac:dyDescent="0.35">
      <c r="S23" t="s">
        <v>692</v>
      </c>
      <c r="T23">
        <v>3467.98</v>
      </c>
      <c r="X23" t="s">
        <v>693</v>
      </c>
      <c r="Y23">
        <v>776.11</v>
      </c>
    </row>
    <row r="24" spans="5:25" x14ac:dyDescent="0.35">
      <c r="S24" t="s">
        <v>694</v>
      </c>
      <c r="T24">
        <v>3467.98</v>
      </c>
      <c r="X24" t="s">
        <v>695</v>
      </c>
      <c r="Y24">
        <v>2332.63</v>
      </c>
    </row>
    <row r="25" spans="5:25" x14ac:dyDescent="0.35">
      <c r="S25" t="s">
        <v>696</v>
      </c>
      <c r="T25">
        <v>3467.98</v>
      </c>
      <c r="X25" t="s">
        <v>697</v>
      </c>
      <c r="Y25">
        <v>2332.75</v>
      </c>
    </row>
    <row r="26" spans="5:25" x14ac:dyDescent="0.35">
      <c r="S26" t="s">
        <v>698</v>
      </c>
      <c r="T26">
        <v>3467.98</v>
      </c>
      <c r="X26" t="s">
        <v>699</v>
      </c>
      <c r="Y26">
        <v>5351.14</v>
      </c>
    </row>
    <row r="27" spans="5:25" x14ac:dyDescent="0.35">
      <c r="S27" t="s">
        <v>700</v>
      </c>
      <c r="T27">
        <v>3467.98</v>
      </c>
      <c r="X27" t="s">
        <v>701</v>
      </c>
      <c r="Y27">
        <v>13970.97</v>
      </c>
    </row>
    <row r="28" spans="5:25" x14ac:dyDescent="0.35">
      <c r="T28">
        <f>SUM(T13:T27)</f>
        <v>49901.090000000011</v>
      </c>
      <c r="X28" t="s">
        <v>702</v>
      </c>
      <c r="Y28">
        <v>200.17</v>
      </c>
    </row>
    <row r="29" spans="5:25" x14ac:dyDescent="0.35">
      <c r="T29" s="111">
        <f>T28/1000</f>
        <v>49.901090000000011</v>
      </c>
      <c r="X29" t="s">
        <v>703</v>
      </c>
      <c r="Y29">
        <v>735.83</v>
      </c>
    </row>
    <row r="30" spans="5:25" x14ac:dyDescent="0.35">
      <c r="X30" t="s">
        <v>704</v>
      </c>
      <c r="Y30">
        <v>1885.57</v>
      </c>
    </row>
    <row r="31" spans="5:25" x14ac:dyDescent="0.35">
      <c r="X31" t="s">
        <v>705</v>
      </c>
      <c r="Y31">
        <v>1934.91</v>
      </c>
    </row>
    <row r="32" spans="5:25" x14ac:dyDescent="0.35">
      <c r="X32" t="s">
        <v>706</v>
      </c>
      <c r="Y32">
        <v>1712.62</v>
      </c>
    </row>
    <row r="33" spans="24:25" x14ac:dyDescent="0.35">
      <c r="X33" t="s">
        <v>707</v>
      </c>
      <c r="Y33">
        <v>3876.97</v>
      </c>
    </row>
    <row r="34" spans="24:25" x14ac:dyDescent="0.35">
      <c r="X34" t="s">
        <v>708</v>
      </c>
      <c r="Y34">
        <v>1792.8</v>
      </c>
    </row>
    <row r="35" spans="24:25" x14ac:dyDescent="0.35">
      <c r="X35" t="s">
        <v>709</v>
      </c>
      <c r="Y35">
        <v>1792.8</v>
      </c>
    </row>
    <row r="36" spans="24:25" x14ac:dyDescent="0.35">
      <c r="X36" t="s">
        <v>710</v>
      </c>
      <c r="Y36">
        <v>1837.76</v>
      </c>
    </row>
    <row r="37" spans="24:25" x14ac:dyDescent="0.35">
      <c r="X37" t="s">
        <v>711</v>
      </c>
      <c r="Y37">
        <v>2695.09</v>
      </c>
    </row>
    <row r="38" spans="24:25" x14ac:dyDescent="0.35">
      <c r="X38" t="s">
        <v>712</v>
      </c>
      <c r="Y38">
        <v>890.93</v>
      </c>
    </row>
    <row r="39" spans="24:25" x14ac:dyDescent="0.35">
      <c r="X39" t="s">
        <v>713</v>
      </c>
      <c r="Y39">
        <v>1025.01</v>
      </c>
    </row>
    <row r="40" spans="24:25" x14ac:dyDescent="0.35">
      <c r="X40" t="s">
        <v>714</v>
      </c>
      <c r="Y40">
        <v>1149.3399999999999</v>
      </c>
    </row>
    <row r="41" spans="24:25" x14ac:dyDescent="0.35">
      <c r="X41" t="s">
        <v>715</v>
      </c>
      <c r="Y41">
        <v>1568.88</v>
      </c>
    </row>
    <row r="42" spans="24:25" x14ac:dyDescent="0.35">
      <c r="X42" t="s">
        <v>716</v>
      </c>
      <c r="Y42">
        <v>1756.51</v>
      </c>
    </row>
    <row r="43" spans="24:25" x14ac:dyDescent="0.35">
      <c r="X43" t="s">
        <v>717</v>
      </c>
      <c r="Y43">
        <v>5503.55</v>
      </c>
    </row>
    <row r="44" spans="24:25" x14ac:dyDescent="0.35">
      <c r="X44" t="s">
        <v>718</v>
      </c>
      <c r="Y44">
        <v>2150.54</v>
      </c>
    </row>
    <row r="45" spans="24:25" x14ac:dyDescent="0.35">
      <c r="X45" t="s">
        <v>719</v>
      </c>
      <c r="Y45">
        <v>5109.79</v>
      </c>
    </row>
    <row r="46" spans="24:25" x14ac:dyDescent="0.35">
      <c r="X46" t="s">
        <v>720</v>
      </c>
      <c r="Y46">
        <v>5572.11</v>
      </c>
    </row>
    <row r="47" spans="24:25" x14ac:dyDescent="0.35">
      <c r="X47" t="s">
        <v>721</v>
      </c>
      <c r="Y47">
        <v>14714.88</v>
      </c>
    </row>
    <row r="48" spans="24:25" x14ac:dyDescent="0.35">
      <c r="X48" t="s">
        <v>722</v>
      </c>
      <c r="Y48">
        <v>3721.21</v>
      </c>
    </row>
    <row r="49" spans="24:25" x14ac:dyDescent="0.35">
      <c r="X49" t="s">
        <v>723</v>
      </c>
      <c r="Y49">
        <v>4080.1</v>
      </c>
    </row>
    <row r="50" spans="24:25" x14ac:dyDescent="0.35">
      <c r="X50" t="s">
        <v>724</v>
      </c>
      <c r="Y50">
        <v>1700.84</v>
      </c>
    </row>
    <row r="51" spans="24:25" x14ac:dyDescent="0.35">
      <c r="X51" t="s">
        <v>725</v>
      </c>
      <c r="Y51">
        <v>521.91</v>
      </c>
    </row>
    <row r="52" spans="24:25" x14ac:dyDescent="0.35">
      <c r="X52" t="s">
        <v>726</v>
      </c>
      <c r="Y52">
        <v>8823.1299999999992</v>
      </c>
    </row>
    <row r="53" spans="24:25" x14ac:dyDescent="0.35">
      <c r="X53" t="s">
        <v>727</v>
      </c>
      <c r="Y53">
        <v>7896.12</v>
      </c>
    </row>
    <row r="54" spans="24:25" x14ac:dyDescent="0.35">
      <c r="X54" t="s">
        <v>728</v>
      </c>
      <c r="Y54">
        <v>6557.95</v>
      </c>
    </row>
    <row r="55" spans="24:25" x14ac:dyDescent="0.35">
      <c r="Y55">
        <f>SUM(Y2:Y54)</f>
        <v>197975.36000000002</v>
      </c>
    </row>
    <row r="56" spans="24:25" x14ac:dyDescent="0.35">
      <c r="Y56" s="111">
        <f>Y55/1000</f>
        <v>197.97536000000002</v>
      </c>
    </row>
  </sheetData>
  <mergeCells count="11">
    <mergeCell ref="E13:E14"/>
    <mergeCell ref="E11:M11"/>
    <mergeCell ref="L13:M13"/>
    <mergeCell ref="E3:E4"/>
    <mergeCell ref="E2:M2"/>
    <mergeCell ref="E12:M12"/>
    <mergeCell ref="F3:H3"/>
    <mergeCell ref="I13:K13"/>
    <mergeCell ref="I3:K3"/>
    <mergeCell ref="F13:H13"/>
    <mergeCell ref="L3:M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U77"/>
  <sheetViews>
    <sheetView topLeftCell="B1" zoomScale="55" zoomScaleNormal="55" zoomScaleSheetLayoutView="50" workbookViewId="0">
      <pane ySplit="3" topLeftCell="A28" activePane="bottomLeft" state="frozen"/>
      <selection activeCell="B1" sqref="B1"/>
      <selection pane="bottomLeft" activeCell="B6" sqref="B6:B8"/>
    </sheetView>
  </sheetViews>
  <sheetFormatPr defaultColWidth="9.1796875" defaultRowHeight="17.5" x14ac:dyDescent="0.35"/>
  <cols>
    <col min="1" max="1" width="9.453125" style="264" customWidth="1"/>
    <col min="2" max="2" width="20.81640625" style="264" bestFit="1" customWidth="1"/>
    <col min="3" max="3" width="38.26953125" style="265" customWidth="1"/>
    <col min="4" max="4" width="15.54296875" style="264" bestFit="1" customWidth="1"/>
    <col min="5" max="5" width="14.26953125" style="264" customWidth="1"/>
    <col min="6" max="6" width="18.26953125" style="264" customWidth="1"/>
    <col min="7" max="7" width="20.453125" style="264" customWidth="1"/>
    <col min="8" max="8" width="25" style="264" bestFit="1" customWidth="1"/>
    <col min="9" max="9" width="20.26953125" style="264" bestFit="1" customWidth="1"/>
    <col min="10" max="10" width="15.453125" style="264" customWidth="1"/>
    <col min="11" max="11" width="16.453125" style="264" customWidth="1"/>
    <col min="12" max="12" width="15.26953125" style="264" customWidth="1"/>
    <col min="13" max="13" width="15.81640625" style="264" customWidth="1"/>
    <col min="14" max="14" width="17.54296875" style="264" customWidth="1"/>
    <col min="15" max="15" width="55.7265625" style="264" customWidth="1"/>
    <col min="16" max="16" width="9.26953125" style="264" customWidth="1"/>
    <col min="17" max="21" width="9.26953125" style="264" hidden="1" customWidth="1"/>
    <col min="22" max="23" width="9.26953125" style="264" customWidth="1"/>
    <col min="24" max="27" width="9.1796875" style="264"/>
    <col min="28" max="28" width="9.453125" style="264" bestFit="1" customWidth="1"/>
    <col min="29" max="16384" width="9.1796875" style="264"/>
  </cols>
  <sheetData>
    <row r="1" spans="1:15" s="284" customFormat="1" ht="25.5" thickBot="1" x14ac:dyDescent="0.55000000000000004">
      <c r="A1" s="779" t="s">
        <v>2</v>
      </c>
      <c r="B1" s="779"/>
      <c r="C1" s="751">
        <v>44831</v>
      </c>
      <c r="D1" s="774" t="s">
        <v>729</v>
      </c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302"/>
    </row>
    <row r="2" spans="1:15" ht="18" x14ac:dyDescent="0.35">
      <c r="A2" s="777" t="s">
        <v>4</v>
      </c>
      <c r="B2" s="777" t="s">
        <v>108</v>
      </c>
      <c r="C2" s="776" t="s">
        <v>5</v>
      </c>
      <c r="D2" s="777" t="s">
        <v>6</v>
      </c>
      <c r="E2" s="776" t="s">
        <v>109</v>
      </c>
      <c r="F2" s="776" t="s">
        <v>9</v>
      </c>
      <c r="G2" s="776" t="s">
        <v>110</v>
      </c>
      <c r="H2" s="777" t="s">
        <v>111</v>
      </c>
      <c r="I2" s="777"/>
      <c r="J2" s="777"/>
      <c r="K2" s="777"/>
      <c r="L2" s="776" t="s">
        <v>12</v>
      </c>
      <c r="M2" s="776" t="s">
        <v>13</v>
      </c>
      <c r="N2" s="776" t="s">
        <v>14</v>
      </c>
      <c r="O2" s="791" t="s">
        <v>15</v>
      </c>
    </row>
    <row r="3" spans="1:15" ht="36.5" thickBot="1" x14ac:dyDescent="0.4">
      <c r="A3" s="777"/>
      <c r="B3" s="777"/>
      <c r="C3" s="776"/>
      <c r="D3" s="777"/>
      <c r="E3" s="776"/>
      <c r="F3" s="776"/>
      <c r="G3" s="776"/>
      <c r="H3" s="648" t="s">
        <v>16</v>
      </c>
      <c r="I3" s="648" t="s">
        <v>17</v>
      </c>
      <c r="J3" s="648" t="s">
        <v>19</v>
      </c>
      <c r="K3" s="648" t="s">
        <v>112</v>
      </c>
      <c r="L3" s="776"/>
      <c r="M3" s="777"/>
      <c r="N3" s="776"/>
      <c r="O3" s="792"/>
    </row>
    <row r="4" spans="1:15" s="282" customFormat="1" ht="20" x14ac:dyDescent="0.4">
      <c r="A4" s="26">
        <v>1</v>
      </c>
      <c r="B4" s="26"/>
      <c r="C4" s="304" t="s">
        <v>20</v>
      </c>
      <c r="D4" s="596"/>
      <c r="E4" s="649"/>
      <c r="F4" s="596"/>
      <c r="G4" s="596"/>
      <c r="H4" s="596"/>
      <c r="I4" s="596"/>
      <c r="J4" s="596"/>
      <c r="K4" s="596"/>
      <c r="L4" s="596"/>
      <c r="M4" s="596"/>
      <c r="N4" s="596"/>
      <c r="O4" s="640"/>
    </row>
    <row r="5" spans="1:15" s="282" customFormat="1" ht="20" x14ac:dyDescent="0.4">
      <c r="A5" s="650" t="s">
        <v>21</v>
      </c>
      <c r="B5" s="330" t="s">
        <v>750</v>
      </c>
      <c r="C5" s="303" t="s">
        <v>22</v>
      </c>
      <c r="D5" s="26" t="s">
        <v>23</v>
      </c>
      <c r="E5" s="754">
        <f>'Civil Day Wise Progress'!D70</f>
        <v>8678</v>
      </c>
      <c r="F5" s="754">
        <f>'Civil Day Wise Progress'!E70</f>
        <v>8554</v>
      </c>
      <c r="G5" s="754">
        <v>8255</v>
      </c>
      <c r="H5" s="754">
        <f>'Civil Day Wise Progress'!L70</f>
        <v>100</v>
      </c>
      <c r="I5" s="754">
        <f>'Civil Day Wise Progress'!AR70</f>
        <v>35</v>
      </c>
      <c r="J5" s="755">
        <v>0</v>
      </c>
      <c r="K5" s="685">
        <f>I5/H5</f>
        <v>0.35</v>
      </c>
      <c r="L5" s="140">
        <f>G5+I5</f>
        <v>8290</v>
      </c>
      <c r="M5" s="140">
        <f>E5-L5</f>
        <v>388</v>
      </c>
      <c r="N5" s="140">
        <f t="shared" ref="N5:N14" si="0">L5/E5%</f>
        <v>95.52892371514173</v>
      </c>
      <c r="O5" s="641"/>
    </row>
    <row r="6" spans="1:15" s="282" customFormat="1" ht="20" x14ac:dyDescent="0.4">
      <c r="A6" s="650"/>
      <c r="B6" s="780" t="s">
        <v>730</v>
      </c>
      <c r="C6" s="758" t="s">
        <v>114</v>
      </c>
      <c r="D6" s="330" t="s">
        <v>28</v>
      </c>
      <c r="E6" s="757">
        <f>E7+E8+E9+E10+E11+E12</f>
        <v>113991</v>
      </c>
      <c r="F6" s="752">
        <f>F7+F8+F9+F11+F12</f>
        <v>94945</v>
      </c>
      <c r="G6" s="331">
        <v>66741.5</v>
      </c>
      <c r="H6" s="752">
        <f>SUM(H7:H12)</f>
        <v>4742</v>
      </c>
      <c r="I6" s="752">
        <f>SUM(I7:I12)</f>
        <v>1918.4</v>
      </c>
      <c r="J6" s="752">
        <f>J7+J8+J9+J11+J12</f>
        <v>130</v>
      </c>
      <c r="K6" s="685">
        <f>I6/H6</f>
        <v>0.40455504006748211</v>
      </c>
      <c r="L6" s="752">
        <f>L7+L8</f>
        <v>68443.5</v>
      </c>
      <c r="M6" s="331">
        <f t="shared" ref="M6" si="1">M7+M8</f>
        <v>37082.5</v>
      </c>
      <c r="N6" s="331">
        <f t="shared" si="0"/>
        <v>60.042898123536062</v>
      </c>
      <c r="O6" s="641"/>
    </row>
    <row r="7" spans="1:15" s="282" customFormat="1" ht="20" x14ac:dyDescent="0.4">
      <c r="A7" s="650" t="s">
        <v>21</v>
      </c>
      <c r="B7" s="780"/>
      <c r="C7" s="114" t="s">
        <v>27</v>
      </c>
      <c r="D7" s="26" t="s">
        <v>28</v>
      </c>
      <c r="E7" s="555">
        <v>95526</v>
      </c>
      <c r="F7" s="778">
        <f>'Civil Day Wise Progress'!E178</f>
        <v>86480</v>
      </c>
      <c r="G7" s="140">
        <v>61002.5</v>
      </c>
      <c r="H7" s="140">
        <f>'Civil Day Wise Progress'!L178</f>
        <v>3630</v>
      </c>
      <c r="I7" s="703">
        <f>'Civil Day Wise Progress'!AR178</f>
        <v>1614</v>
      </c>
      <c r="J7" s="686">
        <v>90</v>
      </c>
      <c r="K7" s="685">
        <f>I7/H7</f>
        <v>0.44462809917355373</v>
      </c>
      <c r="L7" s="140">
        <f>G7+I7</f>
        <v>62616.5</v>
      </c>
      <c r="M7" s="140">
        <f>E7-L7</f>
        <v>32909.5</v>
      </c>
      <c r="N7" s="140">
        <f t="shared" si="0"/>
        <v>65.549169859514691</v>
      </c>
      <c r="O7" s="641"/>
    </row>
    <row r="8" spans="1:15" s="282" customFormat="1" ht="20" x14ac:dyDescent="0.4">
      <c r="A8" s="650" t="s">
        <v>24</v>
      </c>
      <c r="B8" s="780"/>
      <c r="C8" s="303" t="s">
        <v>115</v>
      </c>
      <c r="D8" s="26" t="s">
        <v>28</v>
      </c>
      <c r="E8" s="26">
        <v>10000</v>
      </c>
      <c r="F8" s="778"/>
      <c r="G8" s="140">
        <v>5739</v>
      </c>
      <c r="H8" s="140">
        <v>182</v>
      </c>
      <c r="I8" s="701">
        <v>88</v>
      </c>
      <c r="J8" s="140">
        <v>0</v>
      </c>
      <c r="K8" s="685">
        <f t="shared" ref="K8:K12" si="2">I8/H8</f>
        <v>0.48351648351648352</v>
      </c>
      <c r="L8" s="140">
        <f t="shared" ref="L8:L12" si="3">G8+I8</f>
        <v>5827</v>
      </c>
      <c r="M8" s="140">
        <f>E8-L8</f>
        <v>4173</v>
      </c>
      <c r="N8" s="140">
        <f t="shared" si="0"/>
        <v>58.27</v>
      </c>
      <c r="O8" s="742"/>
    </row>
    <row r="9" spans="1:15" s="282" customFormat="1" ht="20" x14ac:dyDescent="0.4">
      <c r="A9" s="650" t="s">
        <v>26</v>
      </c>
      <c r="B9" s="781" t="s">
        <v>731</v>
      </c>
      <c r="C9" s="114" t="s">
        <v>27</v>
      </c>
      <c r="D9" s="26" t="s">
        <v>28</v>
      </c>
      <c r="E9" s="555">
        <v>5590</v>
      </c>
      <c r="F9" s="783">
        <v>5690</v>
      </c>
      <c r="G9" s="140">
        <v>86</v>
      </c>
      <c r="H9" s="140">
        <f>'Civil Day Wise Progress'!L185</f>
        <v>555</v>
      </c>
      <c r="I9" s="140">
        <f>'Civil Day Wise Progress'!AR185</f>
        <v>88</v>
      </c>
      <c r="J9" s="684">
        <v>20</v>
      </c>
      <c r="K9" s="685">
        <f t="shared" si="2"/>
        <v>0.15855855855855855</v>
      </c>
      <c r="L9" s="140">
        <f t="shared" si="3"/>
        <v>174</v>
      </c>
      <c r="M9" s="140">
        <f t="shared" ref="M9:M11" si="4">E9-L9</f>
        <v>5416</v>
      </c>
      <c r="N9" s="140">
        <f t="shared" ref="N9:N11" si="5">L9/E9%</f>
        <v>3.1127012522361359</v>
      </c>
      <c r="O9" s="655"/>
    </row>
    <row r="10" spans="1:15" s="282" customFormat="1" ht="20" x14ac:dyDescent="0.4">
      <c r="A10" s="650"/>
      <c r="B10" s="782"/>
      <c r="C10" s="303" t="s">
        <v>115</v>
      </c>
      <c r="D10" s="26" t="s">
        <v>28</v>
      </c>
      <c r="E10" s="26">
        <v>100</v>
      </c>
      <c r="F10" s="784"/>
      <c r="G10" s="140">
        <v>2</v>
      </c>
      <c r="H10" s="140">
        <v>45</v>
      </c>
      <c r="I10" s="140">
        <v>22</v>
      </c>
      <c r="J10" s="684">
        <v>22</v>
      </c>
      <c r="K10" s="685">
        <f t="shared" si="2"/>
        <v>0.48888888888888887</v>
      </c>
      <c r="L10" s="140">
        <f t="shared" si="3"/>
        <v>24</v>
      </c>
      <c r="M10" s="140">
        <f t="shared" si="4"/>
        <v>76</v>
      </c>
      <c r="N10" s="140">
        <f t="shared" si="5"/>
        <v>24</v>
      </c>
      <c r="O10" s="655"/>
    </row>
    <row r="11" spans="1:15" s="282" customFormat="1" ht="20" x14ac:dyDescent="0.4">
      <c r="A11" s="650" t="s">
        <v>36</v>
      </c>
      <c r="B11" s="330" t="s">
        <v>732</v>
      </c>
      <c r="C11" s="114" t="s">
        <v>27</v>
      </c>
      <c r="D11" s="26" t="s">
        <v>28</v>
      </c>
      <c r="E11" s="754">
        <v>1875</v>
      </c>
      <c r="F11" s="754">
        <v>1875</v>
      </c>
      <c r="G11" s="755">
        <v>54</v>
      </c>
      <c r="H11" s="755">
        <f>'Civil Day Wise Progress'!L188</f>
        <v>130</v>
      </c>
      <c r="I11" s="755">
        <f>'Civil Day Wise Progress'!AR189</f>
        <v>8.4</v>
      </c>
      <c r="J11" s="755">
        <v>0</v>
      </c>
      <c r="K11" s="685">
        <f t="shared" si="2"/>
        <v>6.4615384615384616E-2</v>
      </c>
      <c r="L11" s="140">
        <f t="shared" si="3"/>
        <v>62.4</v>
      </c>
      <c r="M11" s="140">
        <f t="shared" si="4"/>
        <v>1812.6</v>
      </c>
      <c r="N11" s="140">
        <f t="shared" si="5"/>
        <v>3.3279999999999998</v>
      </c>
      <c r="O11" s="655"/>
    </row>
    <row r="12" spans="1:15" s="282" customFormat="1" ht="20" x14ac:dyDescent="0.4">
      <c r="A12" s="650" t="s">
        <v>117</v>
      </c>
      <c r="B12" s="330" t="s">
        <v>733</v>
      </c>
      <c r="C12" s="114" t="s">
        <v>27</v>
      </c>
      <c r="D12" s="26" t="s">
        <v>28</v>
      </c>
      <c r="E12" s="555">
        <v>900</v>
      </c>
      <c r="F12" s="26">
        <v>900</v>
      </c>
      <c r="G12" s="140">
        <v>67</v>
      </c>
      <c r="H12" s="140">
        <f>'Civil Day Wise Progress'!L189</f>
        <v>200</v>
      </c>
      <c r="I12" s="140">
        <f>'Civil Day Wise Progress'!AR188</f>
        <v>98</v>
      </c>
      <c r="J12" s="684">
        <v>20</v>
      </c>
      <c r="K12" s="685">
        <f t="shared" si="2"/>
        <v>0.49</v>
      </c>
      <c r="L12" s="140">
        <f t="shared" si="3"/>
        <v>165</v>
      </c>
      <c r="M12" s="140"/>
      <c r="N12" s="140"/>
      <c r="O12" s="655"/>
    </row>
    <row r="13" spans="1:15" s="282" customFormat="1" ht="23" x14ac:dyDescent="0.4">
      <c r="A13" s="26">
        <v>2</v>
      </c>
      <c r="B13" s="753" t="s">
        <v>733</v>
      </c>
      <c r="C13" s="304" t="s">
        <v>119</v>
      </c>
      <c r="D13" s="26"/>
      <c r="E13" s="756">
        <f>E15+E16+E19+E20+E23+E25+E27+E28+E31+E32</f>
        <v>66112.839000000007</v>
      </c>
      <c r="F13" s="756">
        <f>F15+F16+F19+F20+F23+F25+F27+F28+F31+F32</f>
        <v>56245.718999999997</v>
      </c>
      <c r="G13" s="756">
        <v>28445.187999999998</v>
      </c>
      <c r="H13" s="756">
        <f>H15+H16+H19+H20+H23+H25+H27+H28</f>
        <v>3602</v>
      </c>
      <c r="I13" s="756">
        <f>I15+I16+I19+I20+I23+I25+I27+I28</f>
        <v>1519.88</v>
      </c>
      <c r="J13" s="756">
        <f>J15+J16+J19+J20+J23+J25+J27+J28</f>
        <v>105</v>
      </c>
      <c r="K13" s="685">
        <f t="shared" ref="K13:K43" si="6">I13/H13</f>
        <v>0.42195446973903389</v>
      </c>
      <c r="L13" s="331">
        <f>L15+L16+L19+L20+L23+L25+L27+L28</f>
        <v>29965.068000000003</v>
      </c>
      <c r="M13" s="331">
        <f>M15+M16+M19+M20+M23+M25+M27+M28</f>
        <v>35197.771000000001</v>
      </c>
      <c r="N13" s="331">
        <f t="shared" si="0"/>
        <v>45.324128343664078</v>
      </c>
      <c r="O13" s="738"/>
    </row>
    <row r="14" spans="1:15" s="282" customFormat="1" ht="23" x14ac:dyDescent="0.4">
      <c r="A14" s="26"/>
      <c r="B14" s="753" t="s">
        <v>734</v>
      </c>
      <c r="C14" s="304" t="s">
        <v>120</v>
      </c>
      <c r="D14" s="26"/>
      <c r="E14" s="756">
        <f>E17+E18+E21+E22+E24+E26+E29+E30+E33+E34</f>
        <v>68612.839000000007</v>
      </c>
      <c r="F14" s="756">
        <f>F17+F18+F21+F22+F24+F26+F29+F30+F33+F34</f>
        <v>56245.718999999997</v>
      </c>
      <c r="G14" s="756">
        <v>15125.969999999998</v>
      </c>
      <c r="H14" s="756">
        <f>H17+H18+H21+H22+H24+H26+H29+H30</f>
        <v>2629.67</v>
      </c>
      <c r="I14" s="756">
        <f>I17+I18+I21+I22+I24+I26+I29+I30</f>
        <v>893.6400000000001</v>
      </c>
      <c r="J14" s="756">
        <f>J17+J18+J21+J22+J24+J26+J29+J30</f>
        <v>61.71</v>
      </c>
      <c r="K14" s="685">
        <f t="shared" si="6"/>
        <v>0.33982971247342825</v>
      </c>
      <c r="L14" s="331">
        <f>L17+L18+L21+L22+L24+L26+L29+L30</f>
        <v>16019.61</v>
      </c>
      <c r="M14" s="331">
        <f>M17+M18+M21+M22+M24+M26+M29+M30</f>
        <v>50443.229000000007</v>
      </c>
      <c r="N14" s="331">
        <f t="shared" si="0"/>
        <v>23.347831445948476</v>
      </c>
      <c r="O14" s="738"/>
    </row>
    <row r="15" spans="1:15" s="282" customFormat="1" ht="20" x14ac:dyDescent="0.4">
      <c r="A15" s="651" t="s">
        <v>21</v>
      </c>
      <c r="B15" s="775" t="s">
        <v>735</v>
      </c>
      <c r="C15" s="303" t="s">
        <v>121</v>
      </c>
      <c r="D15" s="26" t="s">
        <v>31</v>
      </c>
      <c r="E15" s="140">
        <f>'Strl Fab Day Wise  Progress '!E31</f>
        <v>31531.451000000001</v>
      </c>
      <c r="F15" s="140">
        <f>'Strl Fab Day Wise  Progress '!G31</f>
        <v>29639.950999999997</v>
      </c>
      <c r="G15" s="140">
        <v>12776.869999999999</v>
      </c>
      <c r="H15" s="26">
        <f>'Strl Fab Day Wise  Progress '!N31</f>
        <v>2316</v>
      </c>
      <c r="I15" s="140">
        <f>'Strl Fab Day Wise  Progress '!AT31</f>
        <v>1050.6300000000001</v>
      </c>
      <c r="J15" s="684">
        <v>0</v>
      </c>
      <c r="K15" s="685">
        <f t="shared" si="6"/>
        <v>0.45363989637305702</v>
      </c>
      <c r="L15" s="140">
        <f>G15+I15</f>
        <v>13827.5</v>
      </c>
      <c r="M15" s="140">
        <f t="shared" ref="M15:M53" si="7">E15-L15</f>
        <v>17703.951000000001</v>
      </c>
      <c r="N15" s="140">
        <v>1600</v>
      </c>
      <c r="O15" s="653"/>
    </row>
    <row r="16" spans="1:15" s="282" customFormat="1" ht="20" x14ac:dyDescent="0.4">
      <c r="A16" s="651" t="s">
        <v>24</v>
      </c>
      <c r="B16" s="775"/>
      <c r="C16" s="303" t="s">
        <v>122</v>
      </c>
      <c r="D16" s="26" t="s">
        <v>31</v>
      </c>
      <c r="E16" s="140">
        <f>'Strl Fab Day Wise  Progress '!E78</f>
        <v>20123.210000000003</v>
      </c>
      <c r="F16" s="140">
        <f>'Strl Fab Day Wise  Progress '!G78</f>
        <v>17247.59</v>
      </c>
      <c r="G16" s="140">
        <v>10408.01</v>
      </c>
      <c r="H16" s="26">
        <f>'Strl Fab Day Wise  Progress '!N78</f>
        <v>326</v>
      </c>
      <c r="I16" s="140">
        <f>'Strl Fab Day Wise  Progress '!AT78</f>
        <v>144.5</v>
      </c>
      <c r="J16" s="684">
        <v>65</v>
      </c>
      <c r="K16" s="685">
        <f t="shared" si="6"/>
        <v>0.44325153374233128</v>
      </c>
      <c r="L16" s="140">
        <f t="shared" ref="L16:L23" si="8">G16+I16</f>
        <v>10552.51</v>
      </c>
      <c r="M16" s="140">
        <f t="shared" si="7"/>
        <v>9570.7000000000025</v>
      </c>
      <c r="N16" s="140">
        <f t="shared" ref="N16:N22" si="9">L16/E16%</f>
        <v>52.439496481923108</v>
      </c>
      <c r="O16" s="654"/>
    </row>
    <row r="17" spans="1:15" s="282" customFormat="1" ht="20" x14ac:dyDescent="0.4">
      <c r="A17" s="651" t="s">
        <v>26</v>
      </c>
      <c r="B17" s="775"/>
      <c r="C17" s="303" t="s">
        <v>123</v>
      </c>
      <c r="D17" s="26" t="s">
        <v>31</v>
      </c>
      <c r="E17" s="140">
        <f>E15</f>
        <v>31531.451000000001</v>
      </c>
      <c r="F17" s="140">
        <f>F15</f>
        <v>29639.950999999997</v>
      </c>
      <c r="G17" s="140">
        <v>5535.5999999999995</v>
      </c>
      <c r="H17" s="140">
        <f>'Strl Erec Day Wise'!N31</f>
        <v>1319</v>
      </c>
      <c r="I17" s="140">
        <f>'Strl Erec Day Wise'!AT31</f>
        <v>426.6</v>
      </c>
      <c r="J17" s="140">
        <v>26</v>
      </c>
      <c r="K17" s="739">
        <f t="shared" si="6"/>
        <v>0.32342683851402582</v>
      </c>
      <c r="L17" s="140">
        <f t="shared" si="8"/>
        <v>5962.2</v>
      </c>
      <c r="M17" s="140">
        <f t="shared" si="7"/>
        <v>25569.251</v>
      </c>
      <c r="N17" s="140">
        <f t="shared" si="9"/>
        <v>18.908739721492676</v>
      </c>
      <c r="O17" s="740"/>
    </row>
    <row r="18" spans="1:15" s="282" customFormat="1" ht="20" x14ac:dyDescent="0.4">
      <c r="A18" s="651" t="s">
        <v>36</v>
      </c>
      <c r="B18" s="775"/>
      <c r="C18" s="303" t="s">
        <v>124</v>
      </c>
      <c r="D18" s="26" t="s">
        <v>31</v>
      </c>
      <c r="E18" s="140">
        <f>E16</f>
        <v>20123.210000000003</v>
      </c>
      <c r="F18" s="140">
        <f>F16</f>
        <v>17247.59</v>
      </c>
      <c r="G18" s="140">
        <v>7118.2999999999993</v>
      </c>
      <c r="H18" s="140">
        <f>'Strl Erec Day Wise'!N90</f>
        <v>674</v>
      </c>
      <c r="I18" s="140">
        <f>'Strl Erec Day Wise'!AT78</f>
        <v>127</v>
      </c>
      <c r="J18" s="140">
        <v>0</v>
      </c>
      <c r="K18" s="739">
        <f t="shared" si="6"/>
        <v>0.18842729970326411</v>
      </c>
      <c r="L18" s="140">
        <f t="shared" si="8"/>
        <v>7245.2999999999993</v>
      </c>
      <c r="M18" s="140">
        <f t="shared" si="7"/>
        <v>12877.910000000003</v>
      </c>
      <c r="N18" s="140">
        <f t="shared" si="9"/>
        <v>36.004693088229949</v>
      </c>
      <c r="O18" s="740"/>
    </row>
    <row r="19" spans="1:15" s="282" customFormat="1" ht="20" x14ac:dyDescent="0.4">
      <c r="A19" s="651" t="s">
        <v>21</v>
      </c>
      <c r="B19" s="775" t="s">
        <v>736</v>
      </c>
      <c r="C19" s="303" t="s">
        <v>121</v>
      </c>
      <c r="D19" s="26" t="s">
        <v>31</v>
      </c>
      <c r="E19" s="26">
        <f>'Strl Fab Day Wise  Progress '!E34</f>
        <v>4290</v>
      </c>
      <c r="F19" s="140">
        <f>'Strl Fab Day Wise  Progress '!G34</f>
        <v>3122</v>
      </c>
      <c r="G19" s="140">
        <v>2548.788</v>
      </c>
      <c r="H19" s="26">
        <f>'Strl Fab Day Wise  Progress '!N34</f>
        <v>0</v>
      </c>
      <c r="I19" s="140">
        <f>'Strl Fab Day Wise  Progress '!AT34</f>
        <v>89</v>
      </c>
      <c r="J19" s="140">
        <v>0</v>
      </c>
      <c r="K19" s="739" t="e">
        <f t="shared" si="6"/>
        <v>#DIV/0!</v>
      </c>
      <c r="L19" s="140">
        <f t="shared" si="8"/>
        <v>2637.788</v>
      </c>
      <c r="M19" s="140">
        <f t="shared" si="7"/>
        <v>1652.212</v>
      </c>
      <c r="N19" s="140">
        <f t="shared" si="9"/>
        <v>61.486899766899768</v>
      </c>
      <c r="O19" s="740"/>
    </row>
    <row r="20" spans="1:15" s="282" customFormat="1" ht="20" x14ac:dyDescent="0.4">
      <c r="A20" s="651" t="s">
        <v>24</v>
      </c>
      <c r="B20" s="775"/>
      <c r="C20" s="303" t="s">
        <v>122</v>
      </c>
      <c r="D20" s="26" t="s">
        <v>31</v>
      </c>
      <c r="E20" s="26">
        <f>'Strl Fab Day Wise  Progress '!E81</f>
        <v>1000</v>
      </c>
      <c r="F20" s="140">
        <f>'Strl Fab Day Wise  Progress '!G81</f>
        <v>811</v>
      </c>
      <c r="G20" s="140">
        <v>339</v>
      </c>
      <c r="H20" s="26">
        <f>'Strl Fab Day Wise  Progress '!N81</f>
        <v>260</v>
      </c>
      <c r="I20" s="140">
        <f>'Strl Fab Day Wise  Progress '!AT81</f>
        <v>28</v>
      </c>
      <c r="J20" s="140">
        <v>10</v>
      </c>
      <c r="K20" s="739">
        <f t="shared" si="6"/>
        <v>0.1076923076923077</v>
      </c>
      <c r="L20" s="140">
        <f t="shared" si="8"/>
        <v>367</v>
      </c>
      <c r="M20" s="140">
        <f t="shared" si="7"/>
        <v>633</v>
      </c>
      <c r="N20" s="140">
        <f t="shared" si="9"/>
        <v>36.700000000000003</v>
      </c>
      <c r="O20" s="740"/>
    </row>
    <row r="21" spans="1:15" s="282" customFormat="1" ht="20" x14ac:dyDescent="0.4">
      <c r="A21" s="651" t="s">
        <v>26</v>
      </c>
      <c r="B21" s="775"/>
      <c r="C21" s="303" t="s">
        <v>123</v>
      </c>
      <c r="D21" s="26" t="s">
        <v>31</v>
      </c>
      <c r="E21" s="26">
        <f>E19</f>
        <v>4290</v>
      </c>
      <c r="F21" s="140">
        <f>F19</f>
        <v>3122</v>
      </c>
      <c r="G21" s="26">
        <v>882</v>
      </c>
      <c r="H21" s="140">
        <f>'Strl Erec Day Wise'!N34</f>
        <v>86.67</v>
      </c>
      <c r="I21" s="140">
        <f>'Strl Erec Day Wise'!AT34</f>
        <v>57</v>
      </c>
      <c r="J21" s="140">
        <v>5</v>
      </c>
      <c r="K21" s="739">
        <f t="shared" si="6"/>
        <v>0.65766701280719975</v>
      </c>
      <c r="L21" s="26">
        <f t="shared" si="8"/>
        <v>939</v>
      </c>
      <c r="M21" s="26">
        <f t="shared" si="7"/>
        <v>3351</v>
      </c>
      <c r="N21" s="140">
        <f t="shared" si="9"/>
        <v>21.88811188811189</v>
      </c>
      <c r="O21" s="740"/>
    </row>
    <row r="22" spans="1:15" s="282" customFormat="1" ht="20" x14ac:dyDescent="0.4">
      <c r="A22" s="651" t="s">
        <v>36</v>
      </c>
      <c r="B22" s="775"/>
      <c r="C22" s="303" t="s">
        <v>124</v>
      </c>
      <c r="D22" s="26" t="s">
        <v>31</v>
      </c>
      <c r="E22" s="26">
        <f>E20</f>
        <v>1000</v>
      </c>
      <c r="F22" s="140">
        <f>F20</f>
        <v>811</v>
      </c>
      <c r="G22" s="26">
        <v>0</v>
      </c>
      <c r="H22" s="26">
        <f>'Strl Erec Day Wise'!N81</f>
        <v>0</v>
      </c>
      <c r="I22" s="26">
        <f>'Strl Erec Day Wise'!AT81</f>
        <v>0</v>
      </c>
      <c r="J22" s="140">
        <v>0</v>
      </c>
      <c r="K22" s="739">
        <v>0</v>
      </c>
      <c r="L22" s="26">
        <f t="shared" si="8"/>
        <v>0</v>
      </c>
      <c r="M22" s="26">
        <f t="shared" si="7"/>
        <v>1000</v>
      </c>
      <c r="N22" s="140">
        <f t="shared" si="9"/>
        <v>0</v>
      </c>
      <c r="O22" s="740"/>
    </row>
    <row r="23" spans="1:15" s="282" customFormat="1" ht="20" x14ac:dyDescent="0.4">
      <c r="A23" s="651" t="s">
        <v>21</v>
      </c>
      <c r="B23" s="775" t="s">
        <v>737</v>
      </c>
      <c r="C23" s="303" t="s">
        <v>121</v>
      </c>
      <c r="D23" s="26" t="s">
        <v>31</v>
      </c>
      <c r="E23" s="140">
        <f>'Strl Fab Day Wise  Progress '!E44</f>
        <v>6745.26</v>
      </c>
      <c r="F23" s="140">
        <f>'Strl Fab Day Wise  Progress '!G44</f>
        <v>4752.26</v>
      </c>
      <c r="G23" s="140">
        <v>2256.52</v>
      </c>
      <c r="H23" s="26">
        <f>'Strl Fab Day Wise  Progress '!N44</f>
        <v>650</v>
      </c>
      <c r="I23" s="140">
        <f>'Strl Fab Day Wise  Progress '!AT44</f>
        <v>172.74999999999997</v>
      </c>
      <c r="J23" s="140">
        <v>0</v>
      </c>
      <c r="K23" s="739">
        <f t="shared" si="6"/>
        <v>0.2657692307692307</v>
      </c>
      <c r="L23" s="140">
        <f t="shared" si="8"/>
        <v>2429.27</v>
      </c>
      <c r="M23" s="140">
        <f t="shared" si="7"/>
        <v>4315.99</v>
      </c>
      <c r="N23" s="140">
        <f>L23/E23%</f>
        <v>36.014475350097698</v>
      </c>
      <c r="O23" s="641"/>
    </row>
    <row r="24" spans="1:15" s="282" customFormat="1" ht="20" x14ac:dyDescent="0.4">
      <c r="A24" s="651" t="s">
        <v>26</v>
      </c>
      <c r="B24" s="775"/>
      <c r="C24" s="303" t="s">
        <v>123</v>
      </c>
      <c r="D24" s="26" t="s">
        <v>31</v>
      </c>
      <c r="E24" s="140">
        <f>E23</f>
        <v>6745.26</v>
      </c>
      <c r="F24" s="140">
        <f>F23</f>
        <v>4752.26</v>
      </c>
      <c r="G24" s="140">
        <v>1590.0700000000002</v>
      </c>
      <c r="H24" s="26">
        <f>'Strl Erec Day Wise'!N44</f>
        <v>550</v>
      </c>
      <c r="I24" s="140">
        <f>'Strl Erec Day Wise'!AT44</f>
        <v>283.04000000000002</v>
      </c>
      <c r="J24" s="140">
        <v>30.71</v>
      </c>
      <c r="K24" s="739">
        <f t="shared" si="6"/>
        <v>0.51461818181818186</v>
      </c>
      <c r="L24" s="140">
        <f>G24+I24</f>
        <v>1873.1100000000001</v>
      </c>
      <c r="M24" s="140">
        <f>E24-L24</f>
        <v>4872.1499999999996</v>
      </c>
      <c r="N24" s="140">
        <f>L24/E24%</f>
        <v>27.769277981871713</v>
      </c>
      <c r="O24" s="740"/>
    </row>
    <row r="25" spans="1:15" s="282" customFormat="1" ht="20" x14ac:dyDescent="0.4">
      <c r="A25" s="651" t="s">
        <v>24</v>
      </c>
      <c r="B25" s="775" t="s">
        <v>738</v>
      </c>
      <c r="C25" s="303" t="s">
        <v>122</v>
      </c>
      <c r="D25" s="26" t="s">
        <v>31</v>
      </c>
      <c r="E25" s="26">
        <f>'Strl Fab Day Wise  Progress '!E85</f>
        <v>800</v>
      </c>
      <c r="F25" s="140">
        <f>'Strl Fab Day Wise  Progress '!G85</f>
        <v>0</v>
      </c>
      <c r="G25" s="140">
        <v>0</v>
      </c>
      <c r="H25" s="26">
        <f>'Strl Fab Day Wise  Progress '!N85</f>
        <v>0</v>
      </c>
      <c r="I25" s="26">
        <v>0</v>
      </c>
      <c r="J25" s="140">
        <v>0</v>
      </c>
      <c r="K25" s="739">
        <v>0</v>
      </c>
      <c r="L25" s="140">
        <f>G25+I25</f>
        <v>0</v>
      </c>
      <c r="M25" s="140">
        <f>E25-L25</f>
        <v>800</v>
      </c>
      <c r="N25" s="140">
        <f>L25/E25%</f>
        <v>0</v>
      </c>
      <c r="O25" s="740"/>
    </row>
    <row r="26" spans="1:15" s="282" customFormat="1" ht="20" x14ac:dyDescent="0.4">
      <c r="A26" s="651" t="s">
        <v>36</v>
      </c>
      <c r="B26" s="775"/>
      <c r="C26" s="303" t="s">
        <v>124</v>
      </c>
      <c r="D26" s="26" t="s">
        <v>31</v>
      </c>
      <c r="E26" s="26">
        <f>E25</f>
        <v>800</v>
      </c>
      <c r="F26" s="140">
        <v>0</v>
      </c>
      <c r="G26" s="26">
        <v>0</v>
      </c>
      <c r="H26" s="26">
        <f>'Strl Erec Day Wise'!N85</f>
        <v>0</v>
      </c>
      <c r="I26" s="26">
        <v>0</v>
      </c>
      <c r="J26" s="140">
        <v>0</v>
      </c>
      <c r="K26" s="739">
        <v>0</v>
      </c>
      <c r="L26" s="140">
        <f t="shared" ref="L26:L35" si="10">G26+I26</f>
        <v>0</v>
      </c>
      <c r="M26" s="26">
        <f t="shared" si="7"/>
        <v>800</v>
      </c>
      <c r="N26" s="140">
        <f t="shared" ref="N26:N53" si="11">L26/E26%</f>
        <v>0</v>
      </c>
      <c r="O26" s="740"/>
    </row>
    <row r="27" spans="1:15" s="282" customFormat="1" ht="20" x14ac:dyDescent="0.4">
      <c r="A27" s="651" t="s">
        <v>21</v>
      </c>
      <c r="B27" s="793" t="s">
        <v>739</v>
      </c>
      <c r="C27" s="303" t="s">
        <v>121</v>
      </c>
      <c r="D27" s="26" t="s">
        <v>31</v>
      </c>
      <c r="E27" s="26">
        <f>'Strl Fab Day Wise  Progress '!E46</f>
        <v>200</v>
      </c>
      <c r="F27" s="140">
        <f>'Strl Fab Day Wise  Progress '!G46</f>
        <v>200</v>
      </c>
      <c r="G27" s="26">
        <v>0</v>
      </c>
      <c r="H27" s="26">
        <f>'Strl Fab Day Wise  Progress '!N48</f>
        <v>0</v>
      </c>
      <c r="I27" s="26">
        <v>0</v>
      </c>
      <c r="J27" s="140">
        <v>0</v>
      </c>
      <c r="K27" s="739">
        <v>0</v>
      </c>
      <c r="L27" s="140">
        <f t="shared" si="10"/>
        <v>0</v>
      </c>
      <c r="M27" s="26">
        <f t="shared" si="7"/>
        <v>200</v>
      </c>
      <c r="N27" s="140">
        <f t="shared" si="11"/>
        <v>0</v>
      </c>
      <c r="O27" s="740"/>
    </row>
    <row r="28" spans="1:15" s="282" customFormat="1" ht="20" x14ac:dyDescent="0.4">
      <c r="A28" s="651" t="s">
        <v>24</v>
      </c>
      <c r="B28" s="793"/>
      <c r="C28" s="303" t="s">
        <v>122</v>
      </c>
      <c r="D28" s="26" t="s">
        <v>31</v>
      </c>
      <c r="E28" s="140">
        <f>'Strl Fab Day Wise  Progress '!E87</f>
        <v>472.91800000000001</v>
      </c>
      <c r="F28" s="140">
        <f>'Strl Fab Day Wise  Progress '!G87</f>
        <v>472.91800000000001</v>
      </c>
      <c r="G28" s="26">
        <v>116</v>
      </c>
      <c r="H28" s="26">
        <f>'Strl Fab Day Wise  Progress '!N89</f>
        <v>50</v>
      </c>
      <c r="I28" s="26">
        <f>'Strl Fab Day Wise  Progress '!AT89</f>
        <v>35</v>
      </c>
      <c r="J28" s="140">
        <v>30</v>
      </c>
      <c r="K28" s="739">
        <f t="shared" si="6"/>
        <v>0.7</v>
      </c>
      <c r="L28" s="26">
        <f t="shared" si="10"/>
        <v>151</v>
      </c>
      <c r="M28" s="26">
        <f t="shared" si="7"/>
        <v>321.91800000000001</v>
      </c>
      <c r="N28" s="140">
        <f t="shared" si="11"/>
        <v>31.929425397214736</v>
      </c>
      <c r="O28" s="740"/>
    </row>
    <row r="29" spans="1:15" s="282" customFormat="1" ht="20" x14ac:dyDescent="0.4">
      <c r="A29" s="651" t="s">
        <v>26</v>
      </c>
      <c r="B29" s="793"/>
      <c r="C29" s="303" t="s">
        <v>123</v>
      </c>
      <c r="D29" s="26" t="s">
        <v>31</v>
      </c>
      <c r="E29" s="26">
        <f>'Strl Erec Day Wise'!E46</f>
        <v>1500</v>
      </c>
      <c r="F29" s="140">
        <f>'Strl Erec Day Wise'!G46</f>
        <v>200</v>
      </c>
      <c r="G29" s="26">
        <v>0</v>
      </c>
      <c r="H29" s="26">
        <f>'Strl Erec Day Wise'!N48</f>
        <v>0</v>
      </c>
      <c r="I29" s="26">
        <v>0</v>
      </c>
      <c r="J29" s="140">
        <v>0</v>
      </c>
      <c r="K29" s="739">
        <v>0</v>
      </c>
      <c r="L29" s="26">
        <f t="shared" si="10"/>
        <v>0</v>
      </c>
      <c r="M29" s="26">
        <f t="shared" si="7"/>
        <v>1500</v>
      </c>
      <c r="N29" s="140">
        <f t="shared" si="11"/>
        <v>0</v>
      </c>
      <c r="O29" s="740"/>
    </row>
    <row r="30" spans="1:15" s="282" customFormat="1" ht="20" x14ac:dyDescent="0.4">
      <c r="A30" s="651" t="s">
        <v>36</v>
      </c>
      <c r="B30" s="793"/>
      <c r="C30" s="303" t="s">
        <v>124</v>
      </c>
      <c r="D30" s="26" t="s">
        <v>31</v>
      </c>
      <c r="E30" s="140">
        <f>'Strl Erec Day Wise'!E87</f>
        <v>472.91800000000001</v>
      </c>
      <c r="F30" s="140">
        <f>'Strl Erec Day Wise'!G87</f>
        <v>472.91800000000001</v>
      </c>
      <c r="G30" s="26">
        <v>0</v>
      </c>
      <c r="H30" s="26">
        <f>'Strl Erec Day Wise'!N89</f>
        <v>0</v>
      </c>
      <c r="I30" s="26">
        <v>0</v>
      </c>
      <c r="J30" s="140">
        <v>0</v>
      </c>
      <c r="K30" s="739">
        <v>0</v>
      </c>
      <c r="L30" s="26">
        <f t="shared" si="10"/>
        <v>0</v>
      </c>
      <c r="M30" s="26">
        <f t="shared" si="7"/>
        <v>472.91800000000001</v>
      </c>
      <c r="N30" s="140">
        <f t="shared" si="11"/>
        <v>0</v>
      </c>
      <c r="O30" s="740"/>
    </row>
    <row r="31" spans="1:15" s="282" customFormat="1" ht="20" x14ac:dyDescent="0.4">
      <c r="A31" s="651" t="s">
        <v>21</v>
      </c>
      <c r="B31" s="793" t="s">
        <v>740</v>
      </c>
      <c r="C31" s="303" t="s">
        <v>121</v>
      </c>
      <c r="D31" s="26" t="s">
        <v>31</v>
      </c>
      <c r="E31" s="26">
        <f>'Strl Fab Day Wise  Progress '!E47</f>
        <v>300</v>
      </c>
      <c r="F31" s="140">
        <f>'Strl Fab Day Wise  Progress '!G47</f>
        <v>0</v>
      </c>
      <c r="G31" s="26">
        <v>0</v>
      </c>
      <c r="H31" s="26">
        <v>0</v>
      </c>
      <c r="I31" s="26">
        <v>0</v>
      </c>
      <c r="J31" s="140">
        <v>0</v>
      </c>
      <c r="K31" s="739">
        <v>0</v>
      </c>
      <c r="L31" s="140">
        <f t="shared" ref="L31:L34" si="12">G31+I31</f>
        <v>0</v>
      </c>
      <c r="M31" s="26">
        <f t="shared" ref="M31:M34" si="13">E31-L31</f>
        <v>300</v>
      </c>
      <c r="N31" s="140">
        <f t="shared" ref="N31:N34" si="14">L31/E31%</f>
        <v>0</v>
      </c>
      <c r="O31" s="740"/>
    </row>
    <row r="32" spans="1:15" s="282" customFormat="1" ht="20" x14ac:dyDescent="0.4">
      <c r="A32" s="651" t="s">
        <v>24</v>
      </c>
      <c r="B32" s="793"/>
      <c r="C32" s="303" t="s">
        <v>122</v>
      </c>
      <c r="D32" s="26" t="s">
        <v>31</v>
      </c>
      <c r="E32" s="26">
        <f>'Strl Erec Day Wise'!E88</f>
        <v>650</v>
      </c>
      <c r="F32" s="140">
        <f>'Strl Fab Day Wise  Progress '!G88</f>
        <v>0</v>
      </c>
      <c r="G32" s="26">
        <v>0</v>
      </c>
      <c r="H32" s="26">
        <v>0</v>
      </c>
      <c r="I32" s="26">
        <v>0</v>
      </c>
      <c r="J32" s="140">
        <v>0</v>
      </c>
      <c r="K32" s="739">
        <v>0</v>
      </c>
      <c r="L32" s="26">
        <f t="shared" si="12"/>
        <v>0</v>
      </c>
      <c r="M32" s="26">
        <f t="shared" si="13"/>
        <v>650</v>
      </c>
      <c r="N32" s="140">
        <f t="shared" si="14"/>
        <v>0</v>
      </c>
      <c r="O32" s="740"/>
    </row>
    <row r="33" spans="1:19" s="282" customFormat="1" ht="20" x14ac:dyDescent="0.4">
      <c r="A33" s="651" t="s">
        <v>26</v>
      </c>
      <c r="B33" s="793"/>
      <c r="C33" s="303" t="s">
        <v>123</v>
      </c>
      <c r="D33" s="26" t="s">
        <v>31</v>
      </c>
      <c r="E33" s="26">
        <f>'Strl Erec Day Wise'!E47</f>
        <v>1500</v>
      </c>
      <c r="F33" s="140">
        <f>'Strl Erec Day Wise'!G47</f>
        <v>0</v>
      </c>
      <c r="G33" s="26">
        <v>0</v>
      </c>
      <c r="H33" s="26">
        <v>0</v>
      </c>
      <c r="I33" s="26">
        <v>0</v>
      </c>
      <c r="J33" s="140">
        <v>0</v>
      </c>
      <c r="K33" s="739">
        <v>0</v>
      </c>
      <c r="L33" s="26">
        <f t="shared" si="12"/>
        <v>0</v>
      </c>
      <c r="M33" s="26">
        <f t="shared" si="13"/>
        <v>1500</v>
      </c>
      <c r="N33" s="140">
        <f t="shared" si="14"/>
        <v>0</v>
      </c>
      <c r="O33" s="740"/>
    </row>
    <row r="34" spans="1:19" s="282" customFormat="1" ht="20" x14ac:dyDescent="0.4">
      <c r="A34" s="651" t="s">
        <v>36</v>
      </c>
      <c r="B34" s="793"/>
      <c r="C34" s="303" t="s">
        <v>124</v>
      </c>
      <c r="D34" s="26" t="s">
        <v>31</v>
      </c>
      <c r="E34" s="26">
        <f>'Strl Erec Day Wise'!E88</f>
        <v>650</v>
      </c>
      <c r="F34" s="140">
        <f>'Strl Erec Day Wise'!G88</f>
        <v>0</v>
      </c>
      <c r="G34" s="26">
        <v>0</v>
      </c>
      <c r="H34" s="26">
        <v>0</v>
      </c>
      <c r="I34" s="26">
        <v>0</v>
      </c>
      <c r="J34" s="140">
        <v>0</v>
      </c>
      <c r="K34" s="739">
        <v>0</v>
      </c>
      <c r="L34" s="26">
        <f t="shared" si="12"/>
        <v>0</v>
      </c>
      <c r="M34" s="26">
        <f t="shared" si="13"/>
        <v>650</v>
      </c>
      <c r="N34" s="140">
        <f t="shared" si="14"/>
        <v>0</v>
      </c>
      <c r="O34" s="740"/>
    </row>
    <row r="35" spans="1:19" s="282" customFormat="1" ht="20" x14ac:dyDescent="0.4">
      <c r="A35" s="26">
        <v>3</v>
      </c>
      <c r="B35" s="26"/>
      <c r="C35" s="304" t="s">
        <v>38</v>
      </c>
      <c r="D35" s="26" t="s">
        <v>31</v>
      </c>
      <c r="E35" s="140">
        <f>EQUIPMENT!B19</f>
        <v>17402.5</v>
      </c>
      <c r="F35" s="140">
        <f>EQUIPMENT!C19</f>
        <v>13595.640000000001</v>
      </c>
      <c r="G35" s="140">
        <v>2983.3549999999996</v>
      </c>
      <c r="H35" s="140">
        <f>EQUIPMENT!F19</f>
        <v>2363.09</v>
      </c>
      <c r="I35" s="140">
        <f>EQUIPMENT!G19</f>
        <v>1548.5050000000001</v>
      </c>
      <c r="J35" s="140">
        <v>0</v>
      </c>
      <c r="K35" s="739">
        <f t="shared" si="6"/>
        <v>0.65528820315772995</v>
      </c>
      <c r="L35" s="140">
        <f t="shared" si="10"/>
        <v>4531.8599999999997</v>
      </c>
      <c r="M35" s="140">
        <f t="shared" si="7"/>
        <v>12870.64</v>
      </c>
      <c r="N35" s="140">
        <f t="shared" si="11"/>
        <v>26.041430828903891</v>
      </c>
      <c r="O35" s="643"/>
    </row>
    <row r="36" spans="1:19" s="282" customFormat="1" ht="20" x14ac:dyDescent="0.4">
      <c r="A36" s="26">
        <v>4</v>
      </c>
      <c r="B36" s="26"/>
      <c r="C36" s="304" t="s">
        <v>39</v>
      </c>
      <c r="D36" s="26" t="s">
        <v>31</v>
      </c>
      <c r="E36" s="140">
        <f>EQUIPMENT!B19</f>
        <v>17402.5</v>
      </c>
      <c r="F36" s="140">
        <f>F35</f>
        <v>13595.640000000001</v>
      </c>
      <c r="G36" s="140">
        <v>169</v>
      </c>
      <c r="H36" s="140">
        <f>EQUIPMENT!J19</f>
        <v>316.5</v>
      </c>
      <c r="I36" s="140">
        <f>EQUIPMENT!K19</f>
        <v>210.09999999999997</v>
      </c>
      <c r="J36" s="724">
        <v>0</v>
      </c>
      <c r="K36" s="685">
        <f t="shared" si="6"/>
        <v>0.663823064770932</v>
      </c>
      <c r="L36" s="140">
        <f>G36+I36</f>
        <v>379.09999999999997</v>
      </c>
      <c r="M36" s="140">
        <f t="shared" si="7"/>
        <v>17023.400000000001</v>
      </c>
      <c r="N36" s="140">
        <f t="shared" si="11"/>
        <v>2.178422640425226</v>
      </c>
      <c r="O36" s="643"/>
    </row>
    <row r="37" spans="1:19" s="282" customFormat="1" ht="20" x14ac:dyDescent="0.4">
      <c r="A37" s="26"/>
      <c r="B37" s="26"/>
      <c r="C37" s="304" t="s">
        <v>129</v>
      </c>
      <c r="D37" s="26" t="s">
        <v>31</v>
      </c>
      <c r="E37" s="140">
        <v>32714</v>
      </c>
      <c r="F37" s="140">
        <v>28214</v>
      </c>
      <c r="G37" s="26">
        <v>6500</v>
      </c>
      <c r="H37" s="140">
        <f>Refractory!E9</f>
        <v>2000</v>
      </c>
      <c r="I37" s="140">
        <f>Refractory!F9</f>
        <v>1500</v>
      </c>
      <c r="J37" s="26">
        <v>500</v>
      </c>
      <c r="K37" s="685">
        <f t="shared" si="6"/>
        <v>0.75</v>
      </c>
      <c r="L37" s="140">
        <f t="shared" ref="L37:L39" si="15">G37+I37</f>
        <v>8000</v>
      </c>
      <c r="M37" s="140">
        <f t="shared" ref="M37" si="16">E37-L37</f>
        <v>24714</v>
      </c>
      <c r="N37" s="140">
        <f t="shared" ref="N37" si="17">L37/E37%</f>
        <v>24.454362046830106</v>
      </c>
      <c r="O37" s="643"/>
    </row>
    <row r="38" spans="1:19" s="282" customFormat="1" ht="20" x14ac:dyDescent="0.4">
      <c r="A38" s="26">
        <v>5</v>
      </c>
      <c r="B38" s="26"/>
      <c r="C38" s="304" t="s">
        <v>40</v>
      </c>
      <c r="D38" s="26" t="s">
        <v>31</v>
      </c>
      <c r="E38" s="26">
        <v>32714</v>
      </c>
      <c r="F38" s="26">
        <f>Refractory!C9</f>
        <v>28214</v>
      </c>
      <c r="G38" s="26">
        <v>130</v>
      </c>
      <c r="H38" s="26">
        <v>0</v>
      </c>
      <c r="I38" s="26">
        <v>0</v>
      </c>
      <c r="J38" s="26">
        <v>0</v>
      </c>
      <c r="K38" s="685">
        <v>0</v>
      </c>
      <c r="L38" s="140">
        <f t="shared" si="15"/>
        <v>130</v>
      </c>
      <c r="M38" s="140">
        <f t="shared" si="7"/>
        <v>32584</v>
      </c>
      <c r="N38" s="140">
        <f t="shared" si="11"/>
        <v>0.39738338326098921</v>
      </c>
      <c r="O38" s="643"/>
    </row>
    <row r="39" spans="1:19" s="282" customFormat="1" ht="20" x14ac:dyDescent="0.4">
      <c r="A39" s="26"/>
      <c r="B39" s="26"/>
      <c r="C39" s="304" t="s">
        <v>130</v>
      </c>
      <c r="D39" s="330" t="s">
        <v>42</v>
      </c>
      <c r="E39" s="330">
        <f>SUM(E41:E46)</f>
        <v>527185</v>
      </c>
      <c r="F39" s="330">
        <f>PIPING!F29</f>
        <v>345695</v>
      </c>
      <c r="G39" s="331">
        <f>PIPING!J29</f>
        <v>286471</v>
      </c>
      <c r="H39" s="330">
        <v>18000</v>
      </c>
      <c r="I39" s="331">
        <f>PIPING!L29</f>
        <v>15000</v>
      </c>
      <c r="J39" s="330">
        <v>0</v>
      </c>
      <c r="K39" s="685">
        <v>0</v>
      </c>
      <c r="L39" s="331">
        <f t="shared" si="15"/>
        <v>301471</v>
      </c>
      <c r="M39" s="331">
        <f t="shared" ref="M39" si="18">E39-L39</f>
        <v>225714</v>
      </c>
      <c r="N39" s="331">
        <f t="shared" ref="N39" si="19">L39/E39%</f>
        <v>57.185048891755265</v>
      </c>
      <c r="O39" s="643"/>
    </row>
    <row r="40" spans="1:19" s="282" customFormat="1" ht="20" x14ac:dyDescent="0.4">
      <c r="A40" s="26">
        <v>6</v>
      </c>
      <c r="B40" s="26"/>
      <c r="C40" s="304" t="s">
        <v>131</v>
      </c>
      <c r="D40" s="330" t="s">
        <v>42</v>
      </c>
      <c r="E40" s="331">
        <f>SUM(E41:E46)</f>
        <v>527185</v>
      </c>
      <c r="F40" s="330">
        <f>PIPING!F29</f>
        <v>345695</v>
      </c>
      <c r="G40" s="330">
        <v>19937</v>
      </c>
      <c r="H40" s="330">
        <f>PIPING!O29</f>
        <v>17556</v>
      </c>
      <c r="I40" s="330">
        <f>PIPING!P29</f>
        <v>7782.2</v>
      </c>
      <c r="J40" s="330">
        <f>SUM(J41:J45)</f>
        <v>571</v>
      </c>
      <c r="K40" s="685">
        <f t="shared" si="6"/>
        <v>0.44327865117338799</v>
      </c>
      <c r="L40" s="330">
        <f t="shared" ref="L40:L53" si="20">G40+I40</f>
        <v>27719.200000000001</v>
      </c>
      <c r="M40" s="331">
        <f t="shared" si="7"/>
        <v>499465.8</v>
      </c>
      <c r="N40" s="331">
        <f t="shared" si="11"/>
        <v>5.2579644716750282</v>
      </c>
      <c r="O40" s="643"/>
      <c r="S40" s="283"/>
    </row>
    <row r="41" spans="1:19" s="282" customFormat="1" ht="20" x14ac:dyDescent="0.4">
      <c r="A41" s="26"/>
      <c r="B41" s="330" t="s">
        <v>741</v>
      </c>
      <c r="C41" s="303" t="s">
        <v>132</v>
      </c>
      <c r="D41" s="26" t="s">
        <v>42</v>
      </c>
      <c r="E41" s="26">
        <f>PIPING!E4+PIPING!E5+PIPING!E8+PIPING!E11+PIPING!E12+PIPING!E14+PIPING!E17+PIPING!E18</f>
        <v>227000</v>
      </c>
      <c r="F41" s="26">
        <f>PIPING!F4+PIPING!F5+PIPING!F8+PIPING!F11+PIPING!F12+PIPING!F14+PIPING!F17+PIPING!F18</f>
        <v>160600</v>
      </c>
      <c r="G41" s="26">
        <v>5912</v>
      </c>
      <c r="H41" s="140">
        <f>PIPING!O4+PIPING!O17</f>
        <v>7556</v>
      </c>
      <c r="I41" s="140">
        <f>PIPING!P4+PIPING!P17</f>
        <v>62.2</v>
      </c>
      <c r="J41" s="26">
        <v>11</v>
      </c>
      <c r="K41" s="685">
        <f t="shared" si="6"/>
        <v>8.2318687136050828E-3</v>
      </c>
      <c r="L41" s="26">
        <f t="shared" ref="L41:L45" si="21">G41+I41</f>
        <v>5974.2</v>
      </c>
      <c r="M41" s="140">
        <f t="shared" ref="M41:M45" si="22">E41-L41</f>
        <v>221025.8</v>
      </c>
      <c r="N41" s="140">
        <f t="shared" ref="N41:N45" si="23">L41/E41%</f>
        <v>2.6318061674008808</v>
      </c>
      <c r="O41" s="642"/>
      <c r="S41" s="283"/>
    </row>
    <row r="42" spans="1:19" s="282" customFormat="1" ht="20" x14ac:dyDescent="0.4">
      <c r="A42" s="26"/>
      <c r="B42" s="753" t="s">
        <v>742</v>
      </c>
      <c r="C42" s="303" t="s">
        <v>133</v>
      </c>
      <c r="D42" s="26" t="s">
        <v>42</v>
      </c>
      <c r="E42" s="26">
        <f>PIPING!E20+PIPING!E21+PIPING!E22+PIPING!E23+PIPING!E24+PIPING!E25+PIPING!E28</f>
        <v>27465</v>
      </c>
      <c r="F42" s="26">
        <f>PIPING!F20+PIPING!F21+PIPING!F22+PIPING!F23+PIPING!F24+PIPING!F25+PIPING!F28</f>
        <v>24095</v>
      </c>
      <c r="G42" s="26">
        <v>0</v>
      </c>
      <c r="H42" s="26">
        <v>0</v>
      </c>
      <c r="I42" s="140">
        <v>0</v>
      </c>
      <c r="J42" s="26">
        <v>0</v>
      </c>
      <c r="K42" s="685">
        <v>0</v>
      </c>
      <c r="L42" s="26">
        <f t="shared" si="21"/>
        <v>0</v>
      </c>
      <c r="M42" s="140">
        <f t="shared" si="22"/>
        <v>27465</v>
      </c>
      <c r="N42" s="140">
        <f t="shared" si="23"/>
        <v>0</v>
      </c>
      <c r="O42" s="643"/>
      <c r="S42" s="283"/>
    </row>
    <row r="43" spans="1:19" s="282" customFormat="1" ht="20" x14ac:dyDescent="0.4">
      <c r="A43" s="26"/>
      <c r="B43" s="753" t="s">
        <v>743</v>
      </c>
      <c r="C43" s="303" t="s">
        <v>134</v>
      </c>
      <c r="D43" s="26" t="s">
        <v>42</v>
      </c>
      <c r="E43" s="26">
        <f>PIPING!E6+PIPING!E7+PIPING!E9+PIPING!E10</f>
        <v>206000</v>
      </c>
      <c r="F43" s="26">
        <f>PIPING!F6+PIPING!F7+PIPING!F9+PIPING!F10</f>
        <v>140000</v>
      </c>
      <c r="G43" s="26">
        <v>14025</v>
      </c>
      <c r="H43" s="140">
        <f>PIPING!O9</f>
        <v>10000</v>
      </c>
      <c r="I43" s="140">
        <f>PIPING!P9</f>
        <v>7720</v>
      </c>
      <c r="J43" s="26">
        <v>560</v>
      </c>
      <c r="K43" s="685">
        <f t="shared" si="6"/>
        <v>0.77200000000000002</v>
      </c>
      <c r="L43" s="26">
        <f t="shared" si="21"/>
        <v>21745</v>
      </c>
      <c r="M43" s="140">
        <f t="shared" si="22"/>
        <v>184255</v>
      </c>
      <c r="N43" s="140">
        <f t="shared" si="23"/>
        <v>10.555825242718447</v>
      </c>
      <c r="O43" s="643"/>
      <c r="S43" s="283"/>
    </row>
    <row r="44" spans="1:19" s="282" customFormat="1" ht="20" x14ac:dyDescent="0.4">
      <c r="A44" s="26"/>
      <c r="B44" s="753" t="s">
        <v>744</v>
      </c>
      <c r="C44" s="303" t="s">
        <v>135</v>
      </c>
      <c r="D44" s="26" t="s">
        <v>42</v>
      </c>
      <c r="E44" s="26">
        <f>PIPING!E13+PIPING!E15</f>
        <v>55000</v>
      </c>
      <c r="F44" s="26">
        <f>PIPING!F13+PIPING!F15</f>
        <v>10000</v>
      </c>
      <c r="G44" s="26">
        <v>0</v>
      </c>
      <c r="H44" s="26">
        <v>0</v>
      </c>
      <c r="I44" s="140">
        <v>0</v>
      </c>
      <c r="J44" s="26">
        <v>0</v>
      </c>
      <c r="K44" s="685">
        <v>0</v>
      </c>
      <c r="L44" s="26">
        <f t="shared" si="21"/>
        <v>0</v>
      </c>
      <c r="M44" s="140">
        <f t="shared" si="22"/>
        <v>55000</v>
      </c>
      <c r="N44" s="140">
        <f t="shared" si="23"/>
        <v>0</v>
      </c>
      <c r="O44" s="643"/>
      <c r="S44" s="283"/>
    </row>
    <row r="45" spans="1:19" s="282" customFormat="1" ht="20" x14ac:dyDescent="0.4">
      <c r="A45" s="26"/>
      <c r="B45" s="753" t="s">
        <v>745</v>
      </c>
      <c r="C45" s="303" t="s">
        <v>136</v>
      </c>
      <c r="D45" s="26" t="s">
        <v>42</v>
      </c>
      <c r="E45" s="26">
        <f>PIPING!E19+PIPING!E26+PIPING!E27</f>
        <v>11600</v>
      </c>
      <c r="F45" s="26">
        <f>PIPING!F19+PIPING!F26+PIPING!F27</f>
        <v>0</v>
      </c>
      <c r="G45" s="26">
        <v>0</v>
      </c>
      <c r="H45" s="26">
        <v>0</v>
      </c>
      <c r="I45" s="140">
        <v>0</v>
      </c>
      <c r="J45" s="26">
        <v>0</v>
      </c>
      <c r="K45" s="685">
        <v>0</v>
      </c>
      <c r="L45" s="26">
        <f t="shared" si="21"/>
        <v>0</v>
      </c>
      <c r="M45" s="140">
        <f t="shared" si="22"/>
        <v>11600</v>
      </c>
      <c r="N45" s="140">
        <f t="shared" si="23"/>
        <v>0</v>
      </c>
      <c r="O45" s="643"/>
      <c r="S45" s="283"/>
    </row>
    <row r="46" spans="1:19" s="282" customFormat="1" ht="20" x14ac:dyDescent="0.4">
      <c r="A46" s="26"/>
      <c r="B46" s="26"/>
      <c r="C46" s="304" t="s">
        <v>137</v>
      </c>
      <c r="D46" s="26" t="s">
        <v>44</v>
      </c>
      <c r="E46" s="140">
        <v>120</v>
      </c>
      <c r="F46" s="26" t="s">
        <v>138</v>
      </c>
      <c r="G46" s="26">
        <v>0</v>
      </c>
      <c r="H46" s="26">
        <v>0</v>
      </c>
      <c r="I46" s="140">
        <v>0</v>
      </c>
      <c r="J46" s="26">
        <v>0</v>
      </c>
      <c r="K46" s="685">
        <v>0</v>
      </c>
      <c r="L46" s="26">
        <f t="shared" si="20"/>
        <v>0</v>
      </c>
      <c r="M46" s="140">
        <f t="shared" ref="M46" si="24">E46-L46</f>
        <v>120</v>
      </c>
      <c r="N46" s="140">
        <f t="shared" ref="N46" si="25">L46/E46%</f>
        <v>0</v>
      </c>
      <c r="O46" s="644"/>
      <c r="S46" s="283"/>
    </row>
    <row r="47" spans="1:19" s="282" customFormat="1" ht="20" x14ac:dyDescent="0.4">
      <c r="A47" s="26">
        <v>7</v>
      </c>
      <c r="B47" s="26"/>
      <c r="C47" s="304" t="s">
        <v>139</v>
      </c>
      <c r="D47" s="26" t="s">
        <v>44</v>
      </c>
      <c r="E47" s="140">
        <v>120</v>
      </c>
      <c r="F47" s="26" t="s">
        <v>138</v>
      </c>
      <c r="G47" s="26">
        <v>0</v>
      </c>
      <c r="H47" s="26">
        <v>0.8</v>
      </c>
      <c r="I47" s="734">
        <v>0.36</v>
      </c>
      <c r="J47" s="26">
        <v>0</v>
      </c>
      <c r="K47" s="685">
        <v>0</v>
      </c>
      <c r="L47" s="26">
        <f t="shared" si="20"/>
        <v>0.36</v>
      </c>
      <c r="M47" s="140">
        <f t="shared" si="7"/>
        <v>119.64</v>
      </c>
      <c r="N47" s="140">
        <f t="shared" si="11"/>
        <v>0.3</v>
      </c>
      <c r="O47" s="645"/>
      <c r="S47" s="283"/>
    </row>
    <row r="48" spans="1:19" s="282" customFormat="1" ht="20" x14ac:dyDescent="0.4">
      <c r="A48" s="26"/>
      <c r="B48" s="26"/>
      <c r="C48" s="304" t="s">
        <v>140</v>
      </c>
      <c r="D48" s="26" t="s">
        <v>44</v>
      </c>
      <c r="E48" s="140">
        <v>1800</v>
      </c>
      <c r="F48" s="26" t="s">
        <v>138</v>
      </c>
      <c r="G48" s="26">
        <v>0</v>
      </c>
      <c r="H48" s="26">
        <v>0</v>
      </c>
      <c r="I48" s="140">
        <v>0</v>
      </c>
      <c r="J48" s="26">
        <v>0</v>
      </c>
      <c r="K48" s="685">
        <v>0</v>
      </c>
      <c r="L48" s="26">
        <f t="shared" si="20"/>
        <v>0</v>
      </c>
      <c r="M48" s="140">
        <f t="shared" ref="M48" si="26">E48-L48</f>
        <v>1800</v>
      </c>
      <c r="N48" s="140">
        <f t="shared" ref="N48" si="27">L48/E48%</f>
        <v>0</v>
      </c>
      <c r="O48" s="645"/>
      <c r="S48" s="283"/>
    </row>
    <row r="49" spans="1:19" s="282" customFormat="1" ht="20" x14ac:dyDescent="0.4">
      <c r="A49" s="26">
        <v>8</v>
      </c>
      <c r="B49" s="26"/>
      <c r="C49" s="304" t="s">
        <v>141</v>
      </c>
      <c r="D49" s="26" t="s">
        <v>44</v>
      </c>
      <c r="E49" s="140">
        <v>1800</v>
      </c>
      <c r="F49" s="26" t="s">
        <v>138</v>
      </c>
      <c r="G49" s="26">
        <v>0</v>
      </c>
      <c r="H49" s="26">
        <v>0</v>
      </c>
      <c r="I49" s="140">
        <v>0</v>
      </c>
      <c r="J49" s="26">
        <v>0</v>
      </c>
      <c r="K49" s="685">
        <v>0</v>
      </c>
      <c r="L49" s="26">
        <f t="shared" si="20"/>
        <v>0</v>
      </c>
      <c r="M49" s="140">
        <f t="shared" si="7"/>
        <v>1800</v>
      </c>
      <c r="N49" s="140">
        <f t="shared" si="11"/>
        <v>0</v>
      </c>
      <c r="O49" s="645"/>
    </row>
    <row r="50" spans="1:19" s="282" customFormat="1" ht="20" x14ac:dyDescent="0.4">
      <c r="A50" s="26"/>
      <c r="B50" s="26"/>
      <c r="C50" s="304" t="s">
        <v>142</v>
      </c>
      <c r="D50" s="26" t="s">
        <v>23</v>
      </c>
      <c r="E50" s="140">
        <v>1275</v>
      </c>
      <c r="F50" s="26" t="s">
        <v>138</v>
      </c>
      <c r="G50" s="26">
        <v>0</v>
      </c>
      <c r="H50" s="26">
        <v>0</v>
      </c>
      <c r="I50" s="140">
        <v>0</v>
      </c>
      <c r="J50" s="26">
        <v>0</v>
      </c>
      <c r="K50" s="685">
        <v>0</v>
      </c>
      <c r="L50" s="26">
        <f t="shared" si="20"/>
        <v>0</v>
      </c>
      <c r="M50" s="140">
        <f t="shared" ref="M50" si="28">E50-L50</f>
        <v>1275</v>
      </c>
      <c r="N50" s="140">
        <f t="shared" ref="N50" si="29">L50/E50%</f>
        <v>0</v>
      </c>
      <c r="O50" s="645"/>
    </row>
    <row r="51" spans="1:19" s="282" customFormat="1" ht="20" x14ac:dyDescent="0.4">
      <c r="A51" s="26">
        <v>9</v>
      </c>
      <c r="B51" s="26"/>
      <c r="C51" s="304" t="s">
        <v>143</v>
      </c>
      <c r="D51" s="26" t="s">
        <v>23</v>
      </c>
      <c r="E51" s="140">
        <v>1275</v>
      </c>
      <c r="F51" s="26" t="s">
        <v>138</v>
      </c>
      <c r="G51" s="26">
        <v>0</v>
      </c>
      <c r="H51" s="26">
        <v>0</v>
      </c>
      <c r="I51" s="140">
        <v>0</v>
      </c>
      <c r="J51" s="26">
        <v>0</v>
      </c>
      <c r="K51" s="685">
        <v>0</v>
      </c>
      <c r="L51" s="26">
        <f t="shared" si="20"/>
        <v>0</v>
      </c>
      <c r="M51" s="140">
        <f t="shared" si="7"/>
        <v>1275</v>
      </c>
      <c r="N51" s="140">
        <f t="shared" si="11"/>
        <v>0</v>
      </c>
      <c r="O51" s="645"/>
    </row>
    <row r="52" spans="1:19" s="282" customFormat="1" ht="20" x14ac:dyDescent="0.4">
      <c r="A52" s="26"/>
      <c r="B52" s="26"/>
      <c r="C52" s="304" t="s">
        <v>144</v>
      </c>
      <c r="D52" s="26" t="s">
        <v>23</v>
      </c>
      <c r="E52" s="140">
        <v>33</v>
      </c>
      <c r="F52" s="26" t="s">
        <v>138</v>
      </c>
      <c r="G52" s="26">
        <v>0</v>
      </c>
      <c r="H52" s="26">
        <v>0</v>
      </c>
      <c r="I52" s="140">
        <v>0</v>
      </c>
      <c r="J52" s="26">
        <v>0</v>
      </c>
      <c r="K52" s="685">
        <v>0</v>
      </c>
      <c r="L52" s="26">
        <f t="shared" si="20"/>
        <v>0</v>
      </c>
      <c r="M52" s="140">
        <f t="shared" ref="M52" si="30">E52-L52</f>
        <v>33</v>
      </c>
      <c r="N52" s="140">
        <f t="shared" ref="N52" si="31">L52/E52%</f>
        <v>0</v>
      </c>
      <c r="O52" s="646"/>
    </row>
    <row r="53" spans="1:19" s="282" customFormat="1" ht="20.5" thickBot="1" x14ac:dyDescent="0.45">
      <c r="A53" s="26">
        <v>10</v>
      </c>
      <c r="B53" s="26"/>
      <c r="C53" s="304" t="s">
        <v>145</v>
      </c>
      <c r="D53" s="26" t="s">
        <v>23</v>
      </c>
      <c r="E53" s="140">
        <v>33</v>
      </c>
      <c r="F53" s="26" t="s">
        <v>138</v>
      </c>
      <c r="G53" s="26">
        <v>0</v>
      </c>
      <c r="H53" s="26">
        <v>0</v>
      </c>
      <c r="I53" s="140">
        <v>0</v>
      </c>
      <c r="J53" s="26">
        <v>0</v>
      </c>
      <c r="K53" s="685">
        <v>0</v>
      </c>
      <c r="L53" s="26">
        <f t="shared" si="20"/>
        <v>0</v>
      </c>
      <c r="M53" s="140">
        <f t="shared" si="7"/>
        <v>33</v>
      </c>
      <c r="N53" s="140">
        <f t="shared" si="11"/>
        <v>0</v>
      </c>
      <c r="O53" s="647"/>
      <c r="S53" s="282">
        <f>562-320</f>
        <v>242</v>
      </c>
    </row>
    <row r="54" spans="1:19" s="282" customFormat="1" ht="20" x14ac:dyDescent="0.4">
      <c r="A54" s="701"/>
      <c r="B54" s="701"/>
      <c r="C54" s="702"/>
      <c r="D54" s="701"/>
      <c r="E54" s="703"/>
      <c r="F54" s="701"/>
      <c r="G54" s="701"/>
      <c r="H54" s="701"/>
      <c r="I54" s="701"/>
      <c r="J54" s="701"/>
      <c r="K54" s="704"/>
      <c r="L54" s="701"/>
      <c r="M54" s="703"/>
      <c r="N54" s="703"/>
      <c r="O54" s="264"/>
    </row>
    <row r="55" spans="1:19" s="282" customFormat="1" ht="20" x14ac:dyDescent="0.4">
      <c r="A55" s="701"/>
      <c r="B55" s="701"/>
      <c r="C55" s="702"/>
      <c r="D55" s="701"/>
      <c r="E55" s="703"/>
      <c r="F55" s="794" t="s">
        <v>146</v>
      </c>
      <c r="G55" s="794"/>
      <c r="H55" s="794"/>
      <c r="I55" s="701"/>
      <c r="J55" s="701"/>
      <c r="K55" s="704"/>
      <c r="L55" s="701"/>
      <c r="M55" s="703"/>
      <c r="N55" s="703"/>
      <c r="O55" s="264"/>
    </row>
    <row r="56" spans="1:19" s="282" customFormat="1" ht="31" x14ac:dyDescent="0.4">
      <c r="A56" s="701"/>
      <c r="B56" s="701"/>
      <c r="C56" s="702"/>
      <c r="D56" s="701"/>
      <c r="E56" s="703"/>
      <c r="F56" s="26"/>
      <c r="G56" s="652" t="s">
        <v>147</v>
      </c>
      <c r="H56" s="652" t="s">
        <v>148</v>
      </c>
      <c r="I56" s="701"/>
      <c r="J56" s="703"/>
      <c r="K56" s="704"/>
      <c r="L56" s="701"/>
      <c r="M56" s="703"/>
      <c r="N56" s="703"/>
      <c r="O56" s="264"/>
    </row>
    <row r="57" spans="1:19" s="282" customFormat="1" ht="20" x14ac:dyDescent="0.4">
      <c r="A57" s="701"/>
      <c r="B57" s="701"/>
      <c r="C57" s="702"/>
      <c r="D57" s="701"/>
      <c r="E57" s="703"/>
      <c r="F57" s="26" t="s">
        <v>746</v>
      </c>
      <c r="G57" s="26">
        <v>1223</v>
      </c>
      <c r="H57" s="26">
        <v>1202</v>
      </c>
      <c r="I57" s="701"/>
      <c r="J57" s="701"/>
      <c r="K57" s="704"/>
      <c r="L57" s="701"/>
      <c r="M57" s="703"/>
      <c r="N57" s="703"/>
      <c r="O57" s="264"/>
    </row>
    <row r="58" spans="1:19" s="282" customFormat="1" ht="20" x14ac:dyDescent="0.4">
      <c r="A58" s="701"/>
      <c r="B58" s="701"/>
      <c r="C58" s="702"/>
      <c r="D58" s="701"/>
      <c r="E58" s="703"/>
      <c r="F58" s="26" t="s">
        <v>747</v>
      </c>
      <c r="G58" s="26">
        <v>56</v>
      </c>
      <c r="H58" s="26">
        <v>0</v>
      </c>
      <c r="I58" s="701"/>
      <c r="J58" s="701"/>
      <c r="K58" s="704"/>
      <c r="L58" s="701"/>
      <c r="M58" s="703"/>
      <c r="N58" s="703"/>
      <c r="O58" s="264"/>
    </row>
    <row r="59" spans="1:19" s="282" customFormat="1" ht="20" x14ac:dyDescent="0.4">
      <c r="A59" s="701"/>
      <c r="B59" s="701"/>
      <c r="C59" s="702"/>
      <c r="D59" s="701"/>
      <c r="E59" s="703"/>
      <c r="F59" s="26" t="s">
        <v>732</v>
      </c>
      <c r="G59" s="26">
        <v>30</v>
      </c>
      <c r="H59" s="26">
        <v>98</v>
      </c>
      <c r="I59" s="701"/>
      <c r="J59" s="701"/>
      <c r="K59" s="704"/>
      <c r="L59" s="701"/>
      <c r="M59" s="703"/>
      <c r="N59" s="703"/>
      <c r="O59" s="264"/>
    </row>
    <row r="60" spans="1:19" s="282" customFormat="1" ht="20" x14ac:dyDescent="0.4">
      <c r="A60" s="701"/>
      <c r="B60" s="701"/>
      <c r="C60" s="702"/>
      <c r="D60" s="701"/>
      <c r="E60" s="703"/>
      <c r="F60" s="26" t="s">
        <v>748</v>
      </c>
      <c r="G60" s="26">
        <v>0</v>
      </c>
      <c r="H60" s="26">
        <v>12</v>
      </c>
      <c r="I60" s="701"/>
      <c r="J60" s="701"/>
      <c r="K60" s="704"/>
      <c r="L60" s="701"/>
      <c r="M60" s="703"/>
      <c r="N60" s="703"/>
      <c r="O60" s="264"/>
    </row>
    <row r="61" spans="1:19" s="282" customFormat="1" ht="20" x14ac:dyDescent="0.4">
      <c r="A61" s="701"/>
      <c r="B61" s="701"/>
      <c r="C61" s="702"/>
      <c r="D61" s="701"/>
      <c r="E61" s="703"/>
      <c r="F61" s="26" t="s">
        <v>737</v>
      </c>
      <c r="G61" s="26">
        <v>82</v>
      </c>
      <c r="H61" s="26">
        <v>0</v>
      </c>
      <c r="I61" s="701"/>
      <c r="J61" s="701"/>
      <c r="K61" s="704"/>
      <c r="L61" s="701"/>
      <c r="M61" s="703"/>
      <c r="N61" s="703"/>
      <c r="O61" s="264"/>
    </row>
    <row r="62" spans="1:19" s="282" customFormat="1" ht="20" x14ac:dyDescent="0.4">
      <c r="A62" s="701"/>
      <c r="B62" s="701"/>
      <c r="C62" s="702"/>
      <c r="D62" s="701"/>
      <c r="E62" s="703"/>
      <c r="F62" s="26" t="s">
        <v>738</v>
      </c>
      <c r="G62" s="26">
        <v>30</v>
      </c>
      <c r="H62" s="26">
        <v>0</v>
      </c>
      <c r="I62" s="701"/>
      <c r="J62" s="701"/>
      <c r="K62" s="704"/>
      <c r="L62" s="701"/>
      <c r="M62" s="703"/>
      <c r="N62" s="703"/>
      <c r="O62" s="264"/>
    </row>
    <row r="63" spans="1:19" s="282" customFormat="1" ht="20" x14ac:dyDescent="0.4">
      <c r="A63" s="701"/>
      <c r="B63" s="701"/>
      <c r="C63" s="702"/>
      <c r="D63" s="701"/>
      <c r="E63" s="703"/>
      <c r="F63" s="26" t="s">
        <v>749</v>
      </c>
      <c r="G63" s="26">
        <v>19</v>
      </c>
      <c r="H63" s="26">
        <v>0</v>
      </c>
      <c r="I63" s="701"/>
      <c r="J63" s="701"/>
      <c r="K63" s="704"/>
      <c r="L63" s="701"/>
      <c r="M63" s="703"/>
      <c r="N63" s="703"/>
      <c r="O63" s="264"/>
    </row>
    <row r="64" spans="1:19" s="282" customFormat="1" ht="20" x14ac:dyDescent="0.4">
      <c r="A64" s="701"/>
      <c r="B64" s="701"/>
      <c r="C64" s="702"/>
      <c r="D64" s="701"/>
      <c r="E64" s="703"/>
      <c r="F64" s="330" t="s">
        <v>149</v>
      </c>
      <c r="G64" s="330">
        <f>SUM(G57:G63)</f>
        <v>1440</v>
      </c>
      <c r="H64" s="330">
        <f>SUM(H57:H63)</f>
        <v>1312</v>
      </c>
      <c r="I64" s="701"/>
      <c r="J64" s="701"/>
      <c r="K64" s="704"/>
      <c r="L64" s="701"/>
      <c r="M64" s="703"/>
      <c r="N64" s="703"/>
      <c r="O64" s="264"/>
    </row>
    <row r="65" spans="1:19" s="282" customFormat="1" ht="20" hidden="1" x14ac:dyDescent="0.4">
      <c r="A65" s="701"/>
      <c r="B65" s="701"/>
      <c r="C65" s="702"/>
      <c r="D65" s="701"/>
      <c r="E65" s="703"/>
      <c r="F65" s="701"/>
      <c r="G65" s="701"/>
      <c r="H65" s="701"/>
      <c r="I65" s="701"/>
      <c r="J65" s="701"/>
      <c r="K65" s="704"/>
      <c r="L65" s="701"/>
      <c r="M65" s="703"/>
      <c r="N65" s="703"/>
      <c r="O65" s="264"/>
    </row>
    <row r="66" spans="1:19" s="282" customFormat="1" ht="20" hidden="1" x14ac:dyDescent="0.4">
      <c r="A66" s="701"/>
      <c r="B66" s="701"/>
      <c r="C66" s="702"/>
      <c r="D66" s="701"/>
      <c r="E66" s="703"/>
      <c r="F66" s="701"/>
      <c r="G66" s="701"/>
      <c r="H66" s="701"/>
      <c r="I66" s="701"/>
      <c r="J66" s="701"/>
      <c r="K66" s="704"/>
      <c r="L66" s="701"/>
      <c r="M66" s="703"/>
      <c r="N66" s="703"/>
      <c r="O66" s="264"/>
    </row>
    <row r="67" spans="1:19" ht="18" hidden="1" thickBot="1" x14ac:dyDescent="0.4">
      <c r="S67" s="264">
        <f>242-24</f>
        <v>218</v>
      </c>
    </row>
    <row r="68" spans="1:19" ht="36.5" hidden="1" thickBot="1" x14ac:dyDescent="0.45">
      <c r="C68" s="601" t="s">
        <v>150</v>
      </c>
      <c r="D68" s="601" t="s">
        <v>151</v>
      </c>
      <c r="F68" s="609" t="s">
        <v>152</v>
      </c>
      <c r="G68" s="608"/>
      <c r="H68" s="608"/>
      <c r="I68" s="619"/>
    </row>
    <row r="69" spans="1:19" ht="18" hidden="1" customHeight="1" x14ac:dyDescent="0.35">
      <c r="B69" s="785" t="s">
        <v>53</v>
      </c>
      <c r="C69" s="602" t="s">
        <v>153</v>
      </c>
      <c r="D69" s="605" t="s">
        <v>154</v>
      </c>
      <c r="F69" s="610" t="s">
        <v>155</v>
      </c>
      <c r="G69" s="611"/>
      <c r="H69" s="611"/>
      <c r="I69" s="612"/>
      <c r="J69" s="264" t="s">
        <v>156</v>
      </c>
    </row>
    <row r="70" spans="1:19" hidden="1" x14ac:dyDescent="0.35">
      <c r="B70" s="786"/>
      <c r="C70" s="603" t="s">
        <v>157</v>
      </c>
      <c r="D70" s="606" t="s">
        <v>158</v>
      </c>
      <c r="E70" s="264" t="s">
        <v>159</v>
      </c>
      <c r="F70" s="613" t="s">
        <v>160</v>
      </c>
      <c r="G70" s="614"/>
      <c r="H70" s="614"/>
      <c r="I70" s="615"/>
    </row>
    <row r="71" spans="1:19" ht="35.5" hidden="1" thickBot="1" x14ac:dyDescent="0.4">
      <c r="B71" s="787"/>
      <c r="C71" s="604" t="s">
        <v>161</v>
      </c>
      <c r="D71" s="607" t="s">
        <v>158</v>
      </c>
      <c r="E71" s="264" t="s">
        <v>162</v>
      </c>
      <c r="F71" s="613" t="s">
        <v>163</v>
      </c>
      <c r="G71" s="614"/>
      <c r="H71" s="614"/>
      <c r="I71" s="615"/>
    </row>
    <row r="72" spans="1:19" ht="29.15" hidden="1" customHeight="1" thickBot="1" x14ac:dyDescent="0.4">
      <c r="B72" s="788" t="s">
        <v>27</v>
      </c>
      <c r="C72" s="602" t="s">
        <v>153</v>
      </c>
      <c r="D72" s="605" t="s">
        <v>154</v>
      </c>
      <c r="F72" s="616" t="s">
        <v>164</v>
      </c>
      <c r="G72" s="617"/>
      <c r="H72" s="617"/>
      <c r="I72" s="618"/>
    </row>
    <row r="73" spans="1:19" hidden="1" x14ac:dyDescent="0.35">
      <c r="B73" s="789"/>
      <c r="C73" s="603" t="s">
        <v>157</v>
      </c>
      <c r="D73" s="606" t="s">
        <v>165</v>
      </c>
    </row>
    <row r="74" spans="1:19" ht="35" hidden="1" x14ac:dyDescent="0.35">
      <c r="B74" s="789"/>
      <c r="C74" s="603" t="s">
        <v>161</v>
      </c>
      <c r="D74" s="606" t="s">
        <v>166</v>
      </c>
    </row>
    <row r="75" spans="1:19" hidden="1" x14ac:dyDescent="0.35">
      <c r="B75" s="789"/>
      <c r="C75" s="264" t="s">
        <v>167</v>
      </c>
      <c r="D75" s="606"/>
    </row>
    <row r="76" spans="1:19" ht="46.5" hidden="1" customHeight="1" thickBot="1" x14ac:dyDescent="0.4">
      <c r="B76" s="790"/>
      <c r="C76" s="604" t="s">
        <v>168</v>
      </c>
      <c r="D76" s="607" t="s">
        <v>169</v>
      </c>
    </row>
    <row r="77" spans="1:19" hidden="1" x14ac:dyDescent="0.35"/>
  </sheetData>
  <mergeCells count="27">
    <mergeCell ref="B69:B71"/>
    <mergeCell ref="B72:B76"/>
    <mergeCell ref="N2:N3"/>
    <mergeCell ref="O2:O3"/>
    <mergeCell ref="B2:B3"/>
    <mergeCell ref="B19:B22"/>
    <mergeCell ref="B27:B30"/>
    <mergeCell ref="B23:B24"/>
    <mergeCell ref="B25:B26"/>
    <mergeCell ref="B31:B34"/>
    <mergeCell ref="F55:H55"/>
    <mergeCell ref="D1:N1"/>
    <mergeCell ref="B15:B18"/>
    <mergeCell ref="C2:C3"/>
    <mergeCell ref="D2:D3"/>
    <mergeCell ref="E2:E3"/>
    <mergeCell ref="F2:F3"/>
    <mergeCell ref="G2:G3"/>
    <mergeCell ref="L2:L3"/>
    <mergeCell ref="M2:M3"/>
    <mergeCell ref="H2:K2"/>
    <mergeCell ref="F7:F8"/>
    <mergeCell ref="A1:B1"/>
    <mergeCell ref="A2:A3"/>
    <mergeCell ref="B6:B8"/>
    <mergeCell ref="B9:B10"/>
    <mergeCell ref="F9:F10"/>
  </mergeCells>
  <phoneticPr fontId="47" type="noConversion"/>
  <pageMargins left="0.196850393700787" right="0.196850393700787" top="0.74803149606299202" bottom="0.74803149606299202" header="0.31496062992126" footer="0.31496062992126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N15"/>
  <sheetViews>
    <sheetView workbookViewId="0">
      <selection activeCell="M4" sqref="M4:N15"/>
    </sheetView>
  </sheetViews>
  <sheetFormatPr defaultRowHeight="14.5" x14ac:dyDescent="0.35"/>
  <cols>
    <col min="3" max="3" width="21.7265625" customWidth="1"/>
    <col min="4" max="4" width="17.54296875" customWidth="1"/>
    <col min="5" max="5" width="14" bestFit="1" customWidth="1"/>
    <col min="6" max="6" width="11.81640625" bestFit="1" customWidth="1"/>
    <col min="7" max="8" width="9.7265625" bestFit="1" customWidth="1"/>
    <col min="9" max="9" width="7.81640625" bestFit="1" customWidth="1"/>
    <col min="10" max="11" width="9.7265625" bestFit="1" customWidth="1"/>
    <col min="12" max="12" width="11.81640625" bestFit="1" customWidth="1"/>
    <col min="13" max="13" width="11.54296875" customWidth="1"/>
    <col min="14" max="14" width="11.81640625" bestFit="1" customWidth="1"/>
  </cols>
  <sheetData>
    <row r="2" spans="3:14" ht="15" thickBot="1" x14ac:dyDescent="0.4"/>
    <row r="3" spans="3:14" ht="59" thickBot="1" x14ac:dyDescent="0.4">
      <c r="C3" s="357"/>
      <c r="D3" s="357"/>
      <c r="E3" s="357"/>
      <c r="F3" s="357"/>
      <c r="G3" s="358" t="s">
        <v>170</v>
      </c>
      <c r="H3" s="358" t="s">
        <v>171</v>
      </c>
      <c r="I3" s="358" t="s">
        <v>172</v>
      </c>
      <c r="J3" s="358" t="s">
        <v>170</v>
      </c>
      <c r="K3" s="358" t="s">
        <v>170</v>
      </c>
      <c r="L3" s="357"/>
      <c r="M3" s="357"/>
      <c r="N3" s="357"/>
    </row>
    <row r="4" spans="3:14" ht="20.5" thickTop="1" thickBot="1" x14ac:dyDescent="0.4">
      <c r="C4" s="359" t="s">
        <v>53</v>
      </c>
      <c r="D4" s="360" t="s">
        <v>173</v>
      </c>
      <c r="E4" s="360">
        <v>8500</v>
      </c>
      <c r="F4" s="360">
        <v>8040</v>
      </c>
      <c r="G4" s="361">
        <v>200</v>
      </c>
      <c r="H4" s="361">
        <v>155</v>
      </c>
      <c r="I4" s="362">
        <v>45</v>
      </c>
      <c r="J4" s="361">
        <v>100</v>
      </c>
      <c r="K4" s="361">
        <v>100</v>
      </c>
      <c r="L4" s="376">
        <v>7548</v>
      </c>
      <c r="M4" s="375">
        <f>L4/E4%</f>
        <v>88.8</v>
      </c>
      <c r="N4" s="360">
        <f>E4-L4</f>
        <v>952</v>
      </c>
    </row>
    <row r="5" spans="3:14" ht="20.5" thickTop="1" thickBot="1" x14ac:dyDescent="0.4">
      <c r="C5" s="363" t="s">
        <v>51</v>
      </c>
      <c r="D5" s="364" t="s">
        <v>174</v>
      </c>
      <c r="E5" s="364">
        <v>105000</v>
      </c>
      <c r="F5" s="364">
        <v>76110</v>
      </c>
      <c r="G5" s="365">
        <v>1553</v>
      </c>
      <c r="H5" s="365">
        <v>1429</v>
      </c>
      <c r="I5" s="366">
        <v>124</v>
      </c>
      <c r="J5" s="365">
        <v>1011</v>
      </c>
      <c r="K5" s="365">
        <v>1839</v>
      </c>
      <c r="L5" s="360">
        <v>45955</v>
      </c>
      <c r="M5" s="375">
        <f t="shared" ref="M5:M15" si="0">L5/E5%</f>
        <v>43.766666666666666</v>
      </c>
      <c r="N5" s="360">
        <f t="shared" ref="N5:N15" si="1">E5-L5</f>
        <v>59045</v>
      </c>
    </row>
    <row r="6" spans="3:14" ht="40" thickTop="1" thickBot="1" x14ac:dyDescent="0.4">
      <c r="C6" s="367" t="s">
        <v>175</v>
      </c>
      <c r="D6" s="368" t="s">
        <v>31</v>
      </c>
      <c r="E6" s="368">
        <v>69092</v>
      </c>
      <c r="F6" s="368">
        <v>47487</v>
      </c>
      <c r="G6" s="365">
        <v>1064</v>
      </c>
      <c r="H6" s="365">
        <v>876</v>
      </c>
      <c r="I6" s="366">
        <v>188</v>
      </c>
      <c r="J6" s="365">
        <v>781</v>
      </c>
      <c r="K6" s="365">
        <v>661</v>
      </c>
      <c r="L6" s="364">
        <v>13746</v>
      </c>
      <c r="M6" s="375">
        <f t="shared" si="0"/>
        <v>19.895212180860302</v>
      </c>
      <c r="N6" s="360">
        <f t="shared" si="1"/>
        <v>55346</v>
      </c>
    </row>
    <row r="7" spans="3:14" ht="20.5" thickTop="1" thickBot="1" x14ac:dyDescent="0.4">
      <c r="C7" s="369" t="s">
        <v>176</v>
      </c>
      <c r="D7" s="370" t="s">
        <v>31</v>
      </c>
      <c r="E7" s="370">
        <v>49986</v>
      </c>
      <c r="F7" s="370">
        <v>40407</v>
      </c>
      <c r="G7" s="371">
        <v>633</v>
      </c>
      <c r="H7" s="371">
        <v>601</v>
      </c>
      <c r="I7" s="372">
        <v>32</v>
      </c>
      <c r="J7" s="371">
        <v>554</v>
      </c>
      <c r="K7" s="371">
        <v>924</v>
      </c>
      <c r="L7" s="374">
        <v>14804</v>
      </c>
      <c r="M7" s="375">
        <f t="shared" si="0"/>
        <v>29.616292561917337</v>
      </c>
      <c r="N7" s="360">
        <f t="shared" si="1"/>
        <v>35182</v>
      </c>
    </row>
    <row r="8" spans="3:14" ht="40" thickTop="1" thickBot="1" x14ac:dyDescent="0.4">
      <c r="C8" s="373" t="s">
        <v>177</v>
      </c>
      <c r="D8" s="374" t="s">
        <v>31</v>
      </c>
      <c r="E8" s="374">
        <v>5240</v>
      </c>
      <c r="F8" s="374">
        <v>3168</v>
      </c>
      <c r="G8" s="371">
        <v>203</v>
      </c>
      <c r="H8" s="371">
        <v>202</v>
      </c>
      <c r="I8" s="372">
        <v>1</v>
      </c>
      <c r="J8" s="371">
        <v>113</v>
      </c>
      <c r="K8" s="371">
        <v>138</v>
      </c>
      <c r="L8" s="370">
        <v>1985</v>
      </c>
      <c r="M8" s="375">
        <f t="shared" si="0"/>
        <v>37.881679389312978</v>
      </c>
      <c r="N8" s="360">
        <f t="shared" si="1"/>
        <v>3255</v>
      </c>
    </row>
    <row r="9" spans="3:14" ht="20.5" thickTop="1" thickBot="1" x14ac:dyDescent="0.4">
      <c r="C9" s="369" t="s">
        <v>178</v>
      </c>
      <c r="D9" s="370" t="s">
        <v>31</v>
      </c>
      <c r="E9" s="370">
        <v>9566</v>
      </c>
      <c r="F9" s="370">
        <v>3767</v>
      </c>
      <c r="G9" s="371">
        <v>228</v>
      </c>
      <c r="H9" s="371">
        <v>73</v>
      </c>
      <c r="I9" s="372">
        <v>155</v>
      </c>
      <c r="J9" s="371">
        <v>114</v>
      </c>
      <c r="K9" s="371">
        <v>113</v>
      </c>
      <c r="L9" s="374">
        <v>72</v>
      </c>
      <c r="M9" s="375">
        <f t="shared" si="0"/>
        <v>0.75266569098891911</v>
      </c>
      <c r="N9" s="360">
        <f t="shared" si="1"/>
        <v>9494</v>
      </c>
    </row>
    <row r="10" spans="3:14" ht="20.5" thickTop="1" thickBot="1" x14ac:dyDescent="0.4">
      <c r="C10" s="373" t="s">
        <v>179</v>
      </c>
      <c r="D10" s="374" t="s">
        <v>31</v>
      </c>
      <c r="E10" s="374">
        <v>4300</v>
      </c>
      <c r="F10" s="374">
        <v>144</v>
      </c>
      <c r="G10" s="371">
        <v>0</v>
      </c>
      <c r="H10" s="371">
        <v>0</v>
      </c>
      <c r="I10" s="371">
        <v>0</v>
      </c>
      <c r="J10" s="371">
        <v>0</v>
      </c>
      <c r="K10" s="371">
        <v>0</v>
      </c>
      <c r="L10" s="370">
        <v>0</v>
      </c>
      <c r="M10" s="375">
        <f t="shared" si="0"/>
        <v>0</v>
      </c>
      <c r="N10" s="360">
        <f t="shared" si="1"/>
        <v>4300</v>
      </c>
    </row>
    <row r="11" spans="3:14" ht="40" thickTop="1" thickBot="1" x14ac:dyDescent="0.4">
      <c r="C11" s="363" t="s">
        <v>180</v>
      </c>
      <c r="D11" s="364" t="s">
        <v>31</v>
      </c>
      <c r="E11" s="364">
        <v>69092</v>
      </c>
      <c r="F11" s="364">
        <v>47487</v>
      </c>
      <c r="G11" s="365">
        <v>456</v>
      </c>
      <c r="H11" s="365">
        <v>296</v>
      </c>
      <c r="I11" s="366">
        <v>160</v>
      </c>
      <c r="J11" s="365">
        <v>413</v>
      </c>
      <c r="K11" s="365">
        <v>874</v>
      </c>
      <c r="L11" s="368">
        <v>6344</v>
      </c>
      <c r="M11" s="375">
        <f t="shared" si="0"/>
        <v>9.1819602848376078</v>
      </c>
      <c r="N11" s="360">
        <f t="shared" si="1"/>
        <v>62748</v>
      </c>
    </row>
    <row r="12" spans="3:14" ht="20.5" thickTop="1" thickBot="1" x14ac:dyDescent="0.4">
      <c r="C12" s="373" t="s">
        <v>176</v>
      </c>
      <c r="D12" s="374" t="s">
        <v>31</v>
      </c>
      <c r="E12" s="374">
        <v>49986</v>
      </c>
      <c r="F12" s="374">
        <v>40407</v>
      </c>
      <c r="G12" s="371">
        <v>381</v>
      </c>
      <c r="H12" s="371">
        <v>278</v>
      </c>
      <c r="I12" s="372">
        <v>103</v>
      </c>
      <c r="J12" s="371">
        <v>276</v>
      </c>
      <c r="K12" s="371">
        <v>651</v>
      </c>
      <c r="L12" s="370">
        <v>7632</v>
      </c>
      <c r="M12" s="375">
        <f t="shared" si="0"/>
        <v>15.268275117032768</v>
      </c>
      <c r="N12" s="360">
        <f t="shared" si="1"/>
        <v>42354</v>
      </c>
    </row>
    <row r="13" spans="3:14" ht="40" thickTop="1" thickBot="1" x14ac:dyDescent="0.4">
      <c r="C13" s="369" t="s">
        <v>177</v>
      </c>
      <c r="D13" s="370" t="s">
        <v>31</v>
      </c>
      <c r="E13" s="370">
        <v>5240</v>
      </c>
      <c r="F13" s="370">
        <v>3168</v>
      </c>
      <c r="G13" s="371">
        <v>0</v>
      </c>
      <c r="H13" s="371">
        <v>0</v>
      </c>
      <c r="I13" s="371">
        <v>0</v>
      </c>
      <c r="J13" s="371">
        <v>100</v>
      </c>
      <c r="K13" s="371">
        <v>185</v>
      </c>
      <c r="L13" s="374">
        <v>0</v>
      </c>
      <c r="M13" s="375">
        <f t="shared" si="0"/>
        <v>0</v>
      </c>
      <c r="N13" s="360">
        <f t="shared" si="1"/>
        <v>5240</v>
      </c>
    </row>
    <row r="14" spans="3:14" ht="20.5" thickTop="1" thickBot="1" x14ac:dyDescent="0.4">
      <c r="C14" s="373" t="s">
        <v>178</v>
      </c>
      <c r="D14" s="374" t="s">
        <v>31</v>
      </c>
      <c r="E14" s="374">
        <v>9566</v>
      </c>
      <c r="F14" s="374">
        <v>3767</v>
      </c>
      <c r="G14" s="371">
        <v>75</v>
      </c>
      <c r="H14" s="371">
        <v>18</v>
      </c>
      <c r="I14" s="372">
        <v>57</v>
      </c>
      <c r="J14" s="371">
        <v>37</v>
      </c>
      <c r="K14" s="371">
        <v>38</v>
      </c>
      <c r="L14" s="370">
        <v>18</v>
      </c>
      <c r="M14" s="375">
        <f t="shared" si="0"/>
        <v>0.18816642274722978</v>
      </c>
      <c r="N14" s="360">
        <f t="shared" si="1"/>
        <v>9548</v>
      </c>
    </row>
    <row r="15" spans="3:14" ht="20.5" thickTop="1" thickBot="1" x14ac:dyDescent="0.4">
      <c r="C15" s="369" t="s">
        <v>179</v>
      </c>
      <c r="D15" s="370" t="s">
        <v>31</v>
      </c>
      <c r="E15" s="370">
        <v>4300</v>
      </c>
      <c r="F15" s="370">
        <v>144</v>
      </c>
      <c r="G15" s="371">
        <v>0</v>
      </c>
      <c r="H15" s="371">
        <v>0</v>
      </c>
      <c r="I15" s="371">
        <v>0</v>
      </c>
      <c r="J15" s="371">
        <v>0</v>
      </c>
      <c r="K15" s="371">
        <v>0</v>
      </c>
      <c r="L15" s="374">
        <v>0</v>
      </c>
      <c r="M15" s="375">
        <f t="shared" si="0"/>
        <v>0</v>
      </c>
      <c r="N15" s="360">
        <f t="shared" si="1"/>
        <v>4300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H20"/>
  <sheetViews>
    <sheetView topLeftCell="A7" workbookViewId="0">
      <selection activeCell="D13" sqref="D13:H20"/>
    </sheetView>
  </sheetViews>
  <sheetFormatPr defaultRowHeight="14.5" x14ac:dyDescent="0.35"/>
  <cols>
    <col min="8" max="8" width="9.453125" bestFit="1" customWidth="1"/>
  </cols>
  <sheetData>
    <row r="4" spans="4:8" ht="15" thickBot="1" x14ac:dyDescent="0.4"/>
    <row r="5" spans="4:8" ht="15" thickBot="1" x14ac:dyDescent="0.4">
      <c r="D5" s="135" t="s">
        <v>181</v>
      </c>
      <c r="E5" s="136" t="s">
        <v>182</v>
      </c>
      <c r="F5" s="136" t="s">
        <v>183</v>
      </c>
      <c r="G5" s="136" t="s">
        <v>184</v>
      </c>
      <c r="H5" s="136" t="s">
        <v>185</v>
      </c>
    </row>
    <row r="6" spans="4:8" ht="15" thickBot="1" x14ac:dyDescent="0.4">
      <c r="D6" s="137" t="s">
        <v>186</v>
      </c>
      <c r="E6" s="138">
        <v>6500</v>
      </c>
      <c r="F6" s="138">
        <v>6482</v>
      </c>
      <c r="G6" s="138">
        <f t="shared" ref="G6:G11" si="0">E6-F6</f>
        <v>18</v>
      </c>
      <c r="H6" s="139">
        <f t="shared" ref="H6:H11" si="1">F6/E6%</f>
        <v>99.723076923076917</v>
      </c>
    </row>
    <row r="7" spans="4:8" ht="15" thickBot="1" x14ac:dyDescent="0.4">
      <c r="D7" s="137" t="s">
        <v>187</v>
      </c>
      <c r="E7" s="138">
        <v>105000</v>
      </c>
      <c r="F7" s="138">
        <v>48209</v>
      </c>
      <c r="G7" s="138">
        <f t="shared" si="0"/>
        <v>56791</v>
      </c>
      <c r="H7" s="139">
        <f t="shared" si="1"/>
        <v>45.913333333333334</v>
      </c>
    </row>
    <row r="8" spans="4:8" ht="24.5" thickBot="1" x14ac:dyDescent="0.4">
      <c r="D8" s="137" t="s">
        <v>188</v>
      </c>
      <c r="E8" s="138">
        <v>61780</v>
      </c>
      <c r="F8" s="138">
        <v>21581</v>
      </c>
      <c r="G8" s="138">
        <f t="shared" si="0"/>
        <v>40199</v>
      </c>
      <c r="H8" s="139">
        <f t="shared" si="1"/>
        <v>34.932016833926838</v>
      </c>
    </row>
    <row r="9" spans="4:8" ht="24.5" thickBot="1" x14ac:dyDescent="0.4">
      <c r="D9" s="137" t="s">
        <v>189</v>
      </c>
      <c r="E9" s="138">
        <v>17955</v>
      </c>
      <c r="F9" s="138">
        <v>3151</v>
      </c>
      <c r="G9" s="138">
        <f t="shared" si="0"/>
        <v>14804</v>
      </c>
      <c r="H9" s="139">
        <f t="shared" si="1"/>
        <v>17.549429128376495</v>
      </c>
    </row>
    <row r="10" spans="4:8" ht="24.5" thickBot="1" x14ac:dyDescent="0.4">
      <c r="D10" s="137" t="s">
        <v>190</v>
      </c>
      <c r="E10" s="138">
        <v>469800</v>
      </c>
      <c r="F10" s="138">
        <v>16000</v>
      </c>
      <c r="G10" s="138">
        <f t="shared" si="0"/>
        <v>453800</v>
      </c>
      <c r="H10" s="139">
        <f t="shared" si="1"/>
        <v>3.4057045551298426</v>
      </c>
    </row>
    <row r="11" spans="4:8" ht="24.5" thickBot="1" x14ac:dyDescent="0.4">
      <c r="D11" s="137" t="s">
        <v>191</v>
      </c>
      <c r="E11" s="138">
        <v>34290</v>
      </c>
      <c r="F11" s="138">
        <v>3470</v>
      </c>
      <c r="G11" s="138">
        <f t="shared" si="0"/>
        <v>30820</v>
      </c>
      <c r="H11" s="139">
        <f t="shared" si="1"/>
        <v>10.119568387284923</v>
      </c>
    </row>
    <row r="12" spans="4:8" ht="15" thickBot="1" x14ac:dyDescent="0.4"/>
    <row r="13" spans="4:8" ht="15" thickBot="1" x14ac:dyDescent="0.4">
      <c r="D13" s="135" t="s">
        <v>181</v>
      </c>
      <c r="E13" s="136" t="s">
        <v>182</v>
      </c>
      <c r="F13" s="136" t="s">
        <v>192</v>
      </c>
      <c r="G13" s="136" t="s">
        <v>184</v>
      </c>
      <c r="H13" s="136" t="s">
        <v>185</v>
      </c>
    </row>
    <row r="14" spans="4:8" ht="15" thickBot="1" x14ac:dyDescent="0.4">
      <c r="D14" s="137" t="s">
        <v>186</v>
      </c>
      <c r="E14" s="138">
        <v>6500</v>
      </c>
      <c r="F14" s="138">
        <v>5889</v>
      </c>
      <c r="G14" s="138">
        <f>E14-F14</f>
        <v>611</v>
      </c>
      <c r="H14" s="139">
        <f>F14/E14%</f>
        <v>90.6</v>
      </c>
    </row>
    <row r="15" spans="4:8" ht="15" thickBot="1" x14ac:dyDescent="0.4">
      <c r="D15" s="137" t="s">
        <v>187</v>
      </c>
      <c r="E15" s="138">
        <v>105000</v>
      </c>
      <c r="F15" s="138">
        <v>29149</v>
      </c>
      <c r="G15" s="138">
        <f t="shared" ref="G15:G20" si="2">E15-F15</f>
        <v>75851</v>
      </c>
      <c r="H15" s="139">
        <f t="shared" ref="H15:H20" si="3">F15/E15%</f>
        <v>27.760952380952382</v>
      </c>
    </row>
    <row r="16" spans="4:8" ht="24.5" thickBot="1" x14ac:dyDescent="0.4">
      <c r="D16" s="137" t="s">
        <v>193</v>
      </c>
      <c r="E16" s="138">
        <v>61780</v>
      </c>
      <c r="F16" s="138">
        <v>7790</v>
      </c>
      <c r="G16" s="138">
        <f t="shared" si="2"/>
        <v>53990</v>
      </c>
      <c r="H16" s="139">
        <f t="shared" si="3"/>
        <v>12.609258659760441</v>
      </c>
    </row>
    <row r="17" spans="4:8" ht="24.5" thickBot="1" x14ac:dyDescent="0.4">
      <c r="D17" s="137" t="s">
        <v>194</v>
      </c>
      <c r="E17" s="138">
        <v>61780</v>
      </c>
      <c r="F17" s="138">
        <v>1487</v>
      </c>
      <c r="G17" s="138">
        <f>E17-F17</f>
        <v>60293</v>
      </c>
      <c r="H17" s="139">
        <f>F17/E17%</f>
        <v>2.4069278083522176</v>
      </c>
    </row>
    <row r="18" spans="4:8" ht="24.5" thickBot="1" x14ac:dyDescent="0.4">
      <c r="D18" s="137" t="s">
        <v>189</v>
      </c>
      <c r="E18" s="138">
        <v>17955</v>
      </c>
      <c r="F18" s="138">
        <v>0</v>
      </c>
      <c r="G18" s="138">
        <f t="shared" si="2"/>
        <v>17955</v>
      </c>
      <c r="H18" s="139">
        <f t="shared" si="3"/>
        <v>0</v>
      </c>
    </row>
    <row r="19" spans="4:8" ht="24.5" thickBot="1" x14ac:dyDescent="0.4">
      <c r="D19" s="137" t="s">
        <v>190</v>
      </c>
      <c r="E19" s="138">
        <v>469800</v>
      </c>
      <c r="F19" s="138">
        <v>5000</v>
      </c>
      <c r="G19" s="138">
        <f t="shared" si="2"/>
        <v>464800</v>
      </c>
      <c r="H19" s="139">
        <f t="shared" si="3"/>
        <v>1.0642826734780757</v>
      </c>
    </row>
    <row r="20" spans="4:8" ht="24.5" thickBot="1" x14ac:dyDescent="0.4">
      <c r="D20" s="137" t="s">
        <v>191</v>
      </c>
      <c r="E20" s="138">
        <v>34290</v>
      </c>
      <c r="F20" s="138">
        <v>0</v>
      </c>
      <c r="G20" s="138">
        <f t="shared" si="2"/>
        <v>34290</v>
      </c>
      <c r="H20" s="139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D40"/>
  <sheetViews>
    <sheetView workbookViewId="0">
      <selection sqref="A1:XFD1"/>
    </sheetView>
  </sheetViews>
  <sheetFormatPr defaultColWidth="9.1796875" defaultRowHeight="15.5" x14ac:dyDescent="0.35"/>
  <cols>
    <col min="1" max="1" width="8.7265625" style="25" customWidth="1"/>
    <col min="2" max="2" width="37.26953125" style="25" customWidth="1"/>
    <col min="3" max="4" width="16" style="25" customWidth="1"/>
    <col min="5" max="16384" width="9.1796875" style="25"/>
  </cols>
  <sheetData>
    <row r="1" spans="1:4" ht="23.5" thickBot="1" x14ac:dyDescent="0.4">
      <c r="A1" s="797" t="s">
        <v>195</v>
      </c>
      <c r="B1" s="798"/>
      <c r="C1" s="798"/>
      <c r="D1" s="799"/>
    </row>
    <row r="2" spans="1:4" ht="31" customHeight="1" thickBot="1" x14ac:dyDescent="0.4">
      <c r="A2" s="805" t="s">
        <v>51</v>
      </c>
      <c r="B2" s="806"/>
      <c r="C2" s="806"/>
      <c r="D2" s="807"/>
    </row>
    <row r="3" spans="1:4" ht="31" customHeight="1" x14ac:dyDescent="0.35">
      <c r="A3" s="266">
        <v>1</v>
      </c>
      <c r="B3" s="267" t="s">
        <v>53</v>
      </c>
      <c r="C3" s="268" t="s">
        <v>196</v>
      </c>
      <c r="D3" s="812"/>
    </row>
    <row r="4" spans="1:4" ht="31" customHeight="1" x14ac:dyDescent="0.35">
      <c r="A4" s="29" t="s">
        <v>197</v>
      </c>
      <c r="B4" s="30" t="s">
        <v>181</v>
      </c>
      <c r="C4" s="31" t="s">
        <v>198</v>
      </c>
      <c r="D4" s="813"/>
    </row>
    <row r="5" spans="1:4" ht="31" customHeight="1" x14ac:dyDescent="0.35">
      <c r="A5" s="269">
        <v>1</v>
      </c>
      <c r="B5" s="112" t="s">
        <v>199</v>
      </c>
      <c r="C5" s="270">
        <v>60</v>
      </c>
      <c r="D5" s="813"/>
    </row>
    <row r="6" spans="1:4" ht="31" customHeight="1" x14ac:dyDescent="0.35">
      <c r="A6" s="269">
        <f t="shared" ref="A6:A22" si="0">+A5+1</f>
        <v>2</v>
      </c>
      <c r="B6" s="112" t="s">
        <v>200</v>
      </c>
      <c r="C6" s="271">
        <v>80</v>
      </c>
      <c r="D6" s="813"/>
    </row>
    <row r="7" spans="1:4" ht="31" customHeight="1" x14ac:dyDescent="0.35">
      <c r="A7" s="269">
        <f t="shared" si="0"/>
        <v>3</v>
      </c>
      <c r="B7" s="112" t="s">
        <v>201</v>
      </c>
      <c r="C7" s="271">
        <v>200</v>
      </c>
      <c r="D7" s="813"/>
    </row>
    <row r="8" spans="1:4" ht="31" customHeight="1" x14ac:dyDescent="0.35">
      <c r="A8" s="272">
        <f t="shared" si="0"/>
        <v>4</v>
      </c>
      <c r="B8" s="112" t="s">
        <v>202</v>
      </c>
      <c r="C8" s="271">
        <v>12</v>
      </c>
      <c r="D8" s="813"/>
    </row>
    <row r="9" spans="1:4" ht="31" customHeight="1" x14ac:dyDescent="0.35">
      <c r="A9" s="272">
        <f t="shared" si="0"/>
        <v>5</v>
      </c>
      <c r="B9" s="112" t="s">
        <v>203</v>
      </c>
      <c r="C9" s="271">
        <v>75</v>
      </c>
      <c r="D9" s="813"/>
    </row>
    <row r="10" spans="1:4" ht="31" customHeight="1" x14ac:dyDescent="0.35">
      <c r="A10" s="272">
        <f t="shared" si="0"/>
        <v>6</v>
      </c>
      <c r="B10" s="112" t="s">
        <v>204</v>
      </c>
      <c r="C10" s="271">
        <v>150</v>
      </c>
      <c r="D10" s="813"/>
    </row>
    <row r="11" spans="1:4" ht="31" customHeight="1" x14ac:dyDescent="0.35">
      <c r="A11" s="272">
        <f t="shared" si="0"/>
        <v>7</v>
      </c>
      <c r="B11" s="112" t="s">
        <v>205</v>
      </c>
      <c r="C11" s="271">
        <v>350</v>
      </c>
      <c r="D11" s="813"/>
    </row>
    <row r="12" spans="1:4" ht="31" customHeight="1" x14ac:dyDescent="0.35">
      <c r="A12" s="272">
        <f t="shared" si="0"/>
        <v>8</v>
      </c>
      <c r="B12" s="112" t="s">
        <v>206</v>
      </c>
      <c r="C12" s="271">
        <v>50</v>
      </c>
      <c r="D12" s="813"/>
    </row>
    <row r="13" spans="1:4" ht="31" customHeight="1" x14ac:dyDescent="0.35">
      <c r="A13" s="272">
        <f t="shared" si="0"/>
        <v>9</v>
      </c>
      <c r="B13" s="133" t="s">
        <v>207</v>
      </c>
      <c r="C13" s="271">
        <v>125</v>
      </c>
      <c r="D13" s="813"/>
    </row>
    <row r="14" spans="1:4" ht="31" customHeight="1" x14ac:dyDescent="0.35">
      <c r="A14" s="272">
        <f t="shared" si="0"/>
        <v>10</v>
      </c>
      <c r="B14" s="133" t="s">
        <v>208</v>
      </c>
      <c r="C14" s="273">
        <v>20</v>
      </c>
      <c r="D14" s="813"/>
    </row>
    <row r="15" spans="1:4" ht="31" customHeight="1" x14ac:dyDescent="0.35">
      <c r="A15" s="272">
        <f t="shared" si="0"/>
        <v>11</v>
      </c>
      <c r="B15" s="133" t="s">
        <v>209</v>
      </c>
      <c r="C15" s="273">
        <v>154</v>
      </c>
      <c r="D15" s="813"/>
    </row>
    <row r="16" spans="1:4" ht="31" customHeight="1" x14ac:dyDescent="0.35">
      <c r="A16" s="272">
        <f t="shared" si="0"/>
        <v>12</v>
      </c>
      <c r="B16" s="133" t="s">
        <v>210</v>
      </c>
      <c r="C16" s="273">
        <v>1064</v>
      </c>
      <c r="D16" s="813"/>
    </row>
    <row r="17" spans="1:4" ht="31" customHeight="1" x14ac:dyDescent="0.35">
      <c r="A17" s="272">
        <f t="shared" si="0"/>
        <v>13</v>
      </c>
      <c r="B17" s="133" t="s">
        <v>211</v>
      </c>
      <c r="C17" s="274">
        <v>70</v>
      </c>
      <c r="D17" s="813"/>
    </row>
    <row r="18" spans="1:4" ht="31" customHeight="1" x14ac:dyDescent="0.35">
      <c r="A18" s="272">
        <f t="shared" si="0"/>
        <v>14</v>
      </c>
      <c r="B18" s="133" t="s">
        <v>212</v>
      </c>
      <c r="C18" s="273">
        <v>180</v>
      </c>
      <c r="D18" s="813"/>
    </row>
    <row r="19" spans="1:4" ht="31" customHeight="1" x14ac:dyDescent="0.35">
      <c r="A19" s="272">
        <f t="shared" si="0"/>
        <v>15</v>
      </c>
      <c r="B19" s="133" t="s">
        <v>213</v>
      </c>
      <c r="C19" s="273">
        <v>250</v>
      </c>
      <c r="D19" s="813"/>
    </row>
    <row r="20" spans="1:4" ht="31" customHeight="1" x14ac:dyDescent="0.35">
      <c r="A20" s="272">
        <f t="shared" si="0"/>
        <v>16</v>
      </c>
      <c r="B20" s="133" t="s">
        <v>214</v>
      </c>
      <c r="C20" s="273">
        <v>1040</v>
      </c>
      <c r="D20" s="813"/>
    </row>
    <row r="21" spans="1:4" ht="31" customHeight="1" x14ac:dyDescent="0.35">
      <c r="A21" s="272">
        <f t="shared" si="0"/>
        <v>17</v>
      </c>
      <c r="B21" s="133" t="s">
        <v>215</v>
      </c>
      <c r="C21" s="273">
        <v>70</v>
      </c>
      <c r="D21" s="813"/>
    </row>
    <row r="22" spans="1:4" ht="31" customHeight="1" x14ac:dyDescent="0.35">
      <c r="A22" s="272">
        <f t="shared" si="0"/>
        <v>18</v>
      </c>
      <c r="B22" s="133" t="s">
        <v>216</v>
      </c>
      <c r="C22" s="273">
        <v>80</v>
      </c>
      <c r="D22" s="813"/>
    </row>
    <row r="23" spans="1:4" ht="31" customHeight="1" thickBot="1" x14ac:dyDescent="0.4">
      <c r="A23" s="254"/>
      <c r="B23" s="255" t="s">
        <v>149</v>
      </c>
      <c r="C23" s="256">
        <f>SUM(C5:C22)</f>
        <v>4030</v>
      </c>
      <c r="D23" s="246"/>
    </row>
    <row r="24" spans="1:4" ht="31" customHeight="1" thickBot="1" x14ac:dyDescent="0.4">
      <c r="A24" s="808" t="s">
        <v>217</v>
      </c>
      <c r="B24" s="809"/>
      <c r="C24" s="810"/>
      <c r="D24" s="811"/>
    </row>
    <row r="25" spans="1:4" ht="31" customHeight="1" thickBot="1" x14ac:dyDescent="0.4">
      <c r="A25" s="800" t="s">
        <v>218</v>
      </c>
      <c r="B25" s="801"/>
      <c r="C25" s="801"/>
      <c r="D25" s="802"/>
    </row>
    <row r="26" spans="1:4" ht="31" customHeight="1" x14ac:dyDescent="0.35">
      <c r="A26" s="30" t="s">
        <v>197</v>
      </c>
      <c r="B26" s="30" t="s">
        <v>181</v>
      </c>
      <c r="C26" s="251" t="s">
        <v>219</v>
      </c>
      <c r="D26" s="251" t="s">
        <v>220</v>
      </c>
    </row>
    <row r="27" spans="1:4" ht="31" customHeight="1" x14ac:dyDescent="0.35">
      <c r="A27" s="26">
        <v>1</v>
      </c>
      <c r="B27" s="142" t="s">
        <v>221</v>
      </c>
      <c r="C27" s="275">
        <v>505</v>
      </c>
      <c r="D27" s="275">
        <v>231</v>
      </c>
    </row>
    <row r="28" spans="1:4" ht="31" customHeight="1" x14ac:dyDescent="0.35">
      <c r="A28" s="26">
        <v>2</v>
      </c>
      <c r="B28" s="142" t="s">
        <v>222</v>
      </c>
      <c r="C28" s="26">
        <v>24</v>
      </c>
      <c r="D28" s="26">
        <v>467</v>
      </c>
    </row>
    <row r="29" spans="1:4" ht="31" customHeight="1" x14ac:dyDescent="0.35">
      <c r="A29" s="26">
        <v>4</v>
      </c>
      <c r="B29" s="142" t="s">
        <v>223</v>
      </c>
      <c r="C29" s="276">
        <f>400-C38</f>
        <v>292.55</v>
      </c>
      <c r="D29" s="40">
        <v>0</v>
      </c>
    </row>
    <row r="30" spans="1:4" ht="31" customHeight="1" thickBot="1" x14ac:dyDescent="0.4">
      <c r="A30" s="26">
        <v>5</v>
      </c>
      <c r="B30" s="142" t="s">
        <v>224</v>
      </c>
      <c r="C30" s="40">
        <v>200</v>
      </c>
      <c r="D30" s="40">
        <v>0</v>
      </c>
    </row>
    <row r="31" spans="1:4" ht="31" customHeight="1" thickBot="1" x14ac:dyDescent="0.4">
      <c r="A31" s="795" t="s">
        <v>225</v>
      </c>
      <c r="B31" s="796"/>
      <c r="C31" s="278">
        <f>SUM(C27:C30)</f>
        <v>1021.55</v>
      </c>
      <c r="D31" s="38">
        <f>SUM(D27:D30)</f>
        <v>698</v>
      </c>
    </row>
    <row r="32" spans="1:4" ht="31" customHeight="1" thickBot="1" x14ac:dyDescent="0.4">
      <c r="A32" s="800" t="s">
        <v>226</v>
      </c>
      <c r="B32" s="801"/>
      <c r="C32" s="801"/>
      <c r="D32" s="801"/>
    </row>
    <row r="33" spans="1:4" ht="31" customHeight="1" x14ac:dyDescent="0.35">
      <c r="A33" s="30" t="s">
        <v>197</v>
      </c>
      <c r="B33" s="30" t="s">
        <v>181</v>
      </c>
      <c r="C33" s="251" t="s">
        <v>219</v>
      </c>
      <c r="D33" s="251" t="s">
        <v>220</v>
      </c>
    </row>
    <row r="34" spans="1:4" ht="31" customHeight="1" x14ac:dyDescent="0.35">
      <c r="A34" s="35">
        <v>1</v>
      </c>
      <c r="B34" s="277" t="s">
        <v>227</v>
      </c>
      <c r="C34" s="263">
        <v>0</v>
      </c>
      <c r="D34" s="263">
        <v>154.69999999999999</v>
      </c>
    </row>
    <row r="35" spans="1:4" ht="31" customHeight="1" x14ac:dyDescent="0.35">
      <c r="A35" s="35">
        <v>2</v>
      </c>
      <c r="B35" s="277" t="s">
        <v>228</v>
      </c>
      <c r="C35" s="263">
        <v>200</v>
      </c>
      <c r="D35" s="263">
        <v>184</v>
      </c>
    </row>
    <row r="36" spans="1:4" ht="31" customHeight="1" x14ac:dyDescent="0.35">
      <c r="A36" s="45">
        <v>3</v>
      </c>
      <c r="B36" s="249" t="s">
        <v>229</v>
      </c>
      <c r="C36" s="45">
        <v>175</v>
      </c>
      <c r="D36" s="279">
        <v>586</v>
      </c>
    </row>
    <row r="37" spans="1:4" ht="31" customHeight="1" x14ac:dyDescent="0.35">
      <c r="A37" s="45">
        <v>4</v>
      </c>
      <c r="B37" s="249" t="s">
        <v>230</v>
      </c>
      <c r="C37" s="45">
        <v>25</v>
      </c>
      <c r="D37" s="45">
        <v>10</v>
      </c>
    </row>
    <row r="38" spans="1:4" ht="31" customHeight="1" thickBot="1" x14ac:dyDescent="0.4">
      <c r="A38" s="40">
        <v>5</v>
      </c>
      <c r="B38" s="37" t="s">
        <v>223</v>
      </c>
      <c r="C38" s="40">
        <f>57.45+50</f>
        <v>107.45</v>
      </c>
      <c r="D38" s="40">
        <v>0</v>
      </c>
    </row>
    <row r="39" spans="1:4" ht="31" customHeight="1" thickBot="1" x14ac:dyDescent="0.4">
      <c r="A39" s="803" t="s">
        <v>231</v>
      </c>
      <c r="B39" s="804"/>
      <c r="C39" s="250">
        <f>SUM(C34:C38)</f>
        <v>507.45</v>
      </c>
      <c r="D39" s="280">
        <f>SUM(D34:D38)</f>
        <v>934.7</v>
      </c>
    </row>
    <row r="40" spans="1:4" ht="16" thickBot="1" x14ac:dyDescent="0.4">
      <c r="A40" s="795" t="s">
        <v>232</v>
      </c>
      <c r="B40" s="796"/>
      <c r="C40" s="38">
        <f>+C31+C39</f>
        <v>1529</v>
      </c>
      <c r="D40" s="278">
        <f>+D31+D39</f>
        <v>1632.7</v>
      </c>
    </row>
  </sheetData>
  <mergeCells count="9">
    <mergeCell ref="A40:B40"/>
    <mergeCell ref="A1:D1"/>
    <mergeCell ref="A25:D25"/>
    <mergeCell ref="A39:B39"/>
    <mergeCell ref="A2:D2"/>
    <mergeCell ref="A31:B31"/>
    <mergeCell ref="A32:D32"/>
    <mergeCell ref="A24:D24"/>
    <mergeCell ref="D3:D22"/>
  </mergeCells>
  <conditionalFormatting sqref="B6 B13:B22">
    <cfRule type="expression" dxfId="0" priority="1">
      <formula>#REF!&gt;#REF!</formula>
    </cfRule>
  </conditionalFormatting>
  <printOptions horizontalCentered="1"/>
  <pageMargins left="0.23622047244094491" right="0.19685039370078741" top="0.27559055118110237" bottom="0.31496062992125984" header="0.19685039370078741" footer="0.19685039370078741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R223"/>
  <sheetViews>
    <sheetView topLeftCell="A131" zoomScale="55" zoomScaleNormal="55" workbookViewId="0">
      <pane xSplit="10" topLeftCell="K1" activePane="topRight" state="frozen"/>
      <selection pane="topRight" activeCell="V15" sqref="V15"/>
    </sheetView>
  </sheetViews>
  <sheetFormatPr defaultColWidth="9.1796875" defaultRowHeight="15.5" x14ac:dyDescent="0.35"/>
  <cols>
    <col min="1" max="1" width="7.26953125" style="340" bestFit="1" customWidth="1"/>
    <col min="2" max="2" width="19.1796875" style="731" customWidth="1"/>
    <col min="3" max="3" width="42.81640625" style="340" customWidth="1"/>
    <col min="4" max="4" width="14.54296875" style="340" customWidth="1"/>
    <col min="5" max="5" width="17.1796875" style="340" customWidth="1"/>
    <col min="6" max="6" width="15.453125" style="340" customWidth="1"/>
    <col min="7" max="8" width="15.54296875" style="340" customWidth="1"/>
    <col min="9" max="9" width="14.453125" style="340" customWidth="1"/>
    <col min="10" max="10" width="14.1796875" style="340" customWidth="1"/>
    <col min="11" max="11" width="1.7265625" style="340" customWidth="1"/>
    <col min="12" max="12" width="8.7265625" style="340" customWidth="1"/>
    <col min="13" max="13" width="5.7265625" style="340" customWidth="1"/>
    <col min="14" max="14" width="5.1796875" style="340" customWidth="1"/>
    <col min="15" max="15" width="5.453125" style="340" bestFit="1" customWidth="1"/>
    <col min="16" max="16" width="5.453125" style="340" customWidth="1"/>
    <col min="17" max="17" width="6.54296875" style="340" bestFit="1" customWidth="1"/>
    <col min="18" max="18" width="6.1796875" style="340" bestFit="1" customWidth="1"/>
    <col min="19" max="19" width="5.453125" style="340" bestFit="1" customWidth="1"/>
    <col min="20" max="25" width="6.1796875" style="340" bestFit="1" customWidth="1"/>
    <col min="26" max="26" width="6.26953125" style="340" customWidth="1"/>
    <col min="27" max="27" width="9.7265625" style="340" bestFit="1" customWidth="1"/>
    <col min="28" max="28" width="6.1796875" style="340" bestFit="1" customWidth="1"/>
    <col min="29" max="29" width="5.453125" style="340" bestFit="1" customWidth="1"/>
    <col min="30" max="31" width="6.1796875" style="340" bestFit="1" customWidth="1"/>
    <col min="32" max="33" width="5.26953125" style="340" bestFit="1" customWidth="1"/>
    <col min="34" max="36" width="7.26953125" style="340" bestFit="1" customWidth="1"/>
    <col min="37" max="39" width="6.1796875" style="340" bestFit="1" customWidth="1"/>
    <col min="40" max="40" width="6.54296875" style="340" customWidth="1"/>
    <col min="41" max="41" width="6.1796875" style="340" bestFit="1" customWidth="1"/>
    <col min="42" max="42" width="5.453125" style="340" bestFit="1" customWidth="1"/>
    <col min="43" max="43" width="5.1796875" style="340" customWidth="1"/>
    <col min="44" max="44" width="13" style="340" customWidth="1"/>
    <col min="45" max="16384" width="9.1796875" style="340"/>
  </cols>
  <sheetData>
    <row r="1" spans="1:44" ht="15.75" customHeight="1" thickBot="1" x14ac:dyDescent="0.45">
      <c r="A1" s="827" t="s">
        <v>233</v>
      </c>
      <c r="B1" s="828"/>
      <c r="C1" s="828"/>
      <c r="D1" s="828"/>
      <c r="E1" s="828"/>
      <c r="F1" s="828"/>
      <c r="G1" s="828"/>
      <c r="H1" s="828"/>
      <c r="I1" s="828"/>
      <c r="J1" s="829"/>
      <c r="K1" s="659">
        <v>0</v>
      </c>
      <c r="L1" s="816">
        <v>44826</v>
      </c>
      <c r="M1" s="817"/>
      <c r="N1" s="817"/>
      <c r="O1" s="817"/>
      <c r="P1" s="817"/>
      <c r="Q1" s="817"/>
      <c r="R1" s="817"/>
      <c r="S1" s="817"/>
      <c r="T1" s="817"/>
      <c r="U1" s="817"/>
      <c r="V1" s="817"/>
      <c r="W1" s="817"/>
      <c r="X1" s="817"/>
      <c r="Y1" s="817"/>
      <c r="Z1" s="817"/>
      <c r="AA1" s="817"/>
      <c r="AB1" s="817"/>
      <c r="AC1" s="817"/>
      <c r="AD1" s="817"/>
      <c r="AE1" s="817"/>
      <c r="AF1" s="817"/>
      <c r="AG1" s="817"/>
      <c r="AH1" s="817"/>
      <c r="AI1" s="817"/>
      <c r="AJ1" s="817"/>
      <c r="AK1" s="817"/>
      <c r="AL1" s="817"/>
      <c r="AM1" s="817"/>
      <c r="AN1" s="817"/>
      <c r="AO1" s="817"/>
      <c r="AP1" s="817"/>
      <c r="AQ1" s="818"/>
      <c r="AR1" s="819"/>
    </row>
    <row r="2" spans="1:44" ht="74.5" customHeight="1" thickBot="1" x14ac:dyDescent="0.4">
      <c r="A2" s="341" t="s">
        <v>234</v>
      </c>
      <c r="B2" s="725" t="s">
        <v>181</v>
      </c>
      <c r="C2" s="341" t="s">
        <v>235</v>
      </c>
      <c r="D2" s="343" t="s">
        <v>236</v>
      </c>
      <c r="E2" s="342" t="s">
        <v>237</v>
      </c>
      <c r="F2" s="344" t="s">
        <v>238</v>
      </c>
      <c r="G2" s="343" t="s">
        <v>239</v>
      </c>
      <c r="H2" s="345" t="s">
        <v>240</v>
      </c>
      <c r="I2" s="344" t="s">
        <v>241</v>
      </c>
      <c r="J2" s="344" t="s">
        <v>242</v>
      </c>
      <c r="K2" s="659"/>
      <c r="L2" s="344" t="s">
        <v>243</v>
      </c>
      <c r="M2" s="658">
        <v>44805</v>
      </c>
      <c r="N2" s="658">
        <f>M2+1</f>
        <v>44806</v>
      </c>
      <c r="O2" s="658">
        <f t="shared" ref="O2:AQ2" si="0">N2+1</f>
        <v>44807</v>
      </c>
      <c r="P2" s="658">
        <f t="shared" si="0"/>
        <v>44808</v>
      </c>
      <c r="Q2" s="658">
        <f t="shared" si="0"/>
        <v>44809</v>
      </c>
      <c r="R2" s="658">
        <f t="shared" si="0"/>
        <v>44810</v>
      </c>
      <c r="S2" s="658">
        <f t="shared" si="0"/>
        <v>44811</v>
      </c>
      <c r="T2" s="658">
        <f t="shared" si="0"/>
        <v>44812</v>
      </c>
      <c r="U2" s="658">
        <f t="shared" si="0"/>
        <v>44813</v>
      </c>
      <c r="V2" s="658">
        <f t="shared" si="0"/>
        <v>44814</v>
      </c>
      <c r="W2" s="658">
        <f t="shared" si="0"/>
        <v>44815</v>
      </c>
      <c r="X2" s="658">
        <f t="shared" si="0"/>
        <v>44816</v>
      </c>
      <c r="Y2" s="658">
        <f t="shared" si="0"/>
        <v>44817</v>
      </c>
      <c r="Z2" s="658">
        <f t="shared" si="0"/>
        <v>44818</v>
      </c>
      <c r="AA2" s="658">
        <f t="shared" si="0"/>
        <v>44819</v>
      </c>
      <c r="AB2" s="658">
        <f t="shared" si="0"/>
        <v>44820</v>
      </c>
      <c r="AC2" s="658">
        <f t="shared" si="0"/>
        <v>44821</v>
      </c>
      <c r="AD2" s="658">
        <f t="shared" si="0"/>
        <v>44822</v>
      </c>
      <c r="AE2" s="658">
        <f t="shared" si="0"/>
        <v>44823</v>
      </c>
      <c r="AF2" s="658">
        <f t="shared" si="0"/>
        <v>44824</v>
      </c>
      <c r="AG2" s="658">
        <f t="shared" si="0"/>
        <v>44825</v>
      </c>
      <c r="AH2" s="658">
        <f t="shared" si="0"/>
        <v>44826</v>
      </c>
      <c r="AI2" s="658">
        <f t="shared" si="0"/>
        <v>44827</v>
      </c>
      <c r="AJ2" s="658">
        <f t="shared" si="0"/>
        <v>44828</v>
      </c>
      <c r="AK2" s="658">
        <f t="shared" si="0"/>
        <v>44829</v>
      </c>
      <c r="AL2" s="658">
        <f t="shared" si="0"/>
        <v>44830</v>
      </c>
      <c r="AM2" s="658">
        <f t="shared" si="0"/>
        <v>44831</v>
      </c>
      <c r="AN2" s="658">
        <f t="shared" si="0"/>
        <v>44832</v>
      </c>
      <c r="AO2" s="658">
        <f t="shared" si="0"/>
        <v>44833</v>
      </c>
      <c r="AP2" s="658">
        <f t="shared" si="0"/>
        <v>44834</v>
      </c>
      <c r="AQ2" s="658">
        <f t="shared" si="0"/>
        <v>44835</v>
      </c>
      <c r="AR2" s="346" t="s">
        <v>244</v>
      </c>
    </row>
    <row r="3" spans="1:44" ht="15.75" customHeight="1" thickBot="1" x14ac:dyDescent="0.4">
      <c r="A3" s="834">
        <v>1</v>
      </c>
      <c r="B3" s="837" t="s">
        <v>245</v>
      </c>
      <c r="C3" s="63" t="s">
        <v>246</v>
      </c>
      <c r="D3" s="291">
        <v>707</v>
      </c>
      <c r="E3" s="64">
        <v>707</v>
      </c>
      <c r="F3" s="148">
        <f>D3-E3</f>
        <v>0</v>
      </c>
      <c r="G3" s="64">
        <v>707</v>
      </c>
      <c r="H3" s="64">
        <f>G3+AR3</f>
        <v>707</v>
      </c>
      <c r="I3" s="148">
        <f>D3-H3</f>
        <v>0</v>
      </c>
      <c r="J3" s="162">
        <f>H3/D3*100</f>
        <v>100</v>
      </c>
      <c r="K3" s="659"/>
      <c r="L3" s="850">
        <v>100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657">
        <v>0</v>
      </c>
      <c r="S3" s="657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657"/>
      <c r="AF3" s="45"/>
      <c r="AG3" s="45"/>
      <c r="AH3" s="45"/>
      <c r="AI3" s="45"/>
      <c r="AJ3" s="45"/>
      <c r="AK3" s="64"/>
      <c r="AL3" s="64"/>
      <c r="AM3" s="64"/>
      <c r="AN3" s="64"/>
      <c r="AO3" s="64"/>
      <c r="AP3" s="64"/>
      <c r="AQ3" s="347"/>
      <c r="AR3" s="348">
        <f>SUM(M3:AQ3)</f>
        <v>0</v>
      </c>
    </row>
    <row r="4" spans="1:44" ht="15.75" customHeight="1" thickBot="1" x14ac:dyDescent="0.4">
      <c r="A4" s="835"/>
      <c r="B4" s="823"/>
      <c r="C4" s="44" t="s">
        <v>247</v>
      </c>
      <c r="D4" s="104">
        <v>20</v>
      </c>
      <c r="E4" s="45">
        <v>20</v>
      </c>
      <c r="F4" s="45">
        <f t="shared" ref="F4:F68" si="1">D4-E4</f>
        <v>0</v>
      </c>
      <c r="G4" s="45">
        <v>20</v>
      </c>
      <c r="H4" s="45">
        <f t="shared" ref="H4:H68" si="2">G4+AR4</f>
        <v>20</v>
      </c>
      <c r="I4" s="45">
        <f t="shared" ref="I4:I70" si="3">D4-H4</f>
        <v>0</v>
      </c>
      <c r="J4" s="110">
        <f t="shared" ref="J4:J70" si="4">H4/D4*100</f>
        <v>100</v>
      </c>
      <c r="K4" s="659"/>
      <c r="L4" s="832"/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657">
        <v>0</v>
      </c>
      <c r="S4" s="657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349"/>
      <c r="AR4" s="348">
        <f t="shared" ref="AR4:AR69" si="5">SUM(M4:AQ4)</f>
        <v>0</v>
      </c>
    </row>
    <row r="5" spans="1:44" ht="15.75" customHeight="1" thickBot="1" x14ac:dyDescent="0.4">
      <c r="A5" s="836"/>
      <c r="B5" s="822"/>
      <c r="C5" s="44" t="s">
        <v>248</v>
      </c>
      <c r="D5" s="104">
        <v>4</v>
      </c>
      <c r="E5" s="45">
        <v>4</v>
      </c>
      <c r="F5" s="45">
        <f t="shared" si="1"/>
        <v>0</v>
      </c>
      <c r="G5" s="45">
        <v>0</v>
      </c>
      <c r="H5" s="45">
        <f t="shared" si="2"/>
        <v>6</v>
      </c>
      <c r="I5" s="45">
        <f t="shared" si="3"/>
        <v>-2</v>
      </c>
      <c r="J5" s="110">
        <f t="shared" si="4"/>
        <v>150</v>
      </c>
      <c r="K5" s="659"/>
      <c r="L5" s="832"/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657">
        <v>0</v>
      </c>
      <c r="S5" s="657">
        <v>0</v>
      </c>
      <c r="T5" s="45">
        <v>0</v>
      </c>
      <c r="U5" s="45">
        <v>0</v>
      </c>
      <c r="V5" s="45">
        <v>0</v>
      </c>
      <c r="W5" s="45">
        <v>0</v>
      </c>
      <c r="X5" s="45">
        <v>3</v>
      </c>
      <c r="Y5" s="45">
        <v>0</v>
      </c>
      <c r="Z5" s="45">
        <v>3</v>
      </c>
      <c r="AA5" s="45">
        <v>0</v>
      </c>
      <c r="AB5" s="45">
        <v>0</v>
      </c>
      <c r="AC5" s="45">
        <v>0</v>
      </c>
      <c r="AD5" s="45">
        <v>0</v>
      </c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349"/>
      <c r="AR5" s="348">
        <f t="shared" si="5"/>
        <v>6</v>
      </c>
    </row>
    <row r="6" spans="1:44" ht="15.75" customHeight="1" thickBot="1" x14ac:dyDescent="0.4">
      <c r="A6" s="846">
        <v>2</v>
      </c>
      <c r="B6" s="820" t="s">
        <v>249</v>
      </c>
      <c r="C6" s="47" t="s">
        <v>250</v>
      </c>
      <c r="D6" s="292">
        <v>1122</v>
      </c>
      <c r="E6" s="45">
        <v>1122</v>
      </c>
      <c r="F6" s="45">
        <f t="shared" si="1"/>
        <v>0</v>
      </c>
      <c r="G6" s="45">
        <v>1122</v>
      </c>
      <c r="H6" s="45">
        <f t="shared" si="2"/>
        <v>1122</v>
      </c>
      <c r="I6" s="45">
        <f t="shared" si="3"/>
        <v>0</v>
      </c>
      <c r="J6" s="110">
        <f t="shared" si="4"/>
        <v>100</v>
      </c>
      <c r="K6" s="659"/>
      <c r="L6" s="832"/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657">
        <v>0</v>
      </c>
      <c r="S6" s="657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349"/>
      <c r="AR6" s="348">
        <f t="shared" si="5"/>
        <v>0</v>
      </c>
    </row>
    <row r="7" spans="1:44" ht="15.75" customHeight="1" thickBot="1" x14ac:dyDescent="0.4">
      <c r="A7" s="846"/>
      <c r="B7" s="820"/>
      <c r="C7" s="44" t="s">
        <v>251</v>
      </c>
      <c r="D7" s="104">
        <v>56</v>
      </c>
      <c r="E7" s="45">
        <v>56</v>
      </c>
      <c r="F7" s="45">
        <f t="shared" si="1"/>
        <v>0</v>
      </c>
      <c r="G7" s="45">
        <v>56</v>
      </c>
      <c r="H7" s="45">
        <f t="shared" si="2"/>
        <v>56</v>
      </c>
      <c r="I7" s="45">
        <f t="shared" si="3"/>
        <v>0</v>
      </c>
      <c r="J7" s="110">
        <f t="shared" si="4"/>
        <v>100</v>
      </c>
      <c r="K7" s="659"/>
      <c r="L7" s="832"/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657">
        <v>0</v>
      </c>
      <c r="S7" s="657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349"/>
      <c r="AR7" s="348">
        <f t="shared" si="5"/>
        <v>0</v>
      </c>
    </row>
    <row r="8" spans="1:44" ht="15.65" customHeight="1" thickBot="1" x14ac:dyDescent="0.4">
      <c r="A8" s="846"/>
      <c r="B8" s="820"/>
      <c r="C8" s="44" t="s">
        <v>252</v>
      </c>
      <c r="D8" s="104">
        <v>56</v>
      </c>
      <c r="E8" s="45">
        <v>56</v>
      </c>
      <c r="F8" s="45">
        <f t="shared" si="1"/>
        <v>0</v>
      </c>
      <c r="G8" s="45">
        <v>56</v>
      </c>
      <c r="H8" s="45">
        <f t="shared" si="2"/>
        <v>56</v>
      </c>
      <c r="I8" s="45">
        <f t="shared" si="3"/>
        <v>0</v>
      </c>
      <c r="J8" s="110">
        <f t="shared" si="4"/>
        <v>100</v>
      </c>
      <c r="K8" s="659"/>
      <c r="L8" s="832"/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657">
        <v>0</v>
      </c>
      <c r="S8" s="657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349"/>
      <c r="AR8" s="348">
        <f t="shared" si="5"/>
        <v>0</v>
      </c>
    </row>
    <row r="9" spans="1:44" ht="15.75" customHeight="1" thickBot="1" x14ac:dyDescent="0.4">
      <c r="A9" s="846"/>
      <c r="B9" s="820"/>
      <c r="C9" s="44" t="s">
        <v>253</v>
      </c>
      <c r="D9" s="104">
        <v>60</v>
      </c>
      <c r="E9" s="45">
        <v>60</v>
      </c>
      <c r="F9" s="45">
        <f t="shared" si="1"/>
        <v>0</v>
      </c>
      <c r="G9" s="45">
        <v>60</v>
      </c>
      <c r="H9" s="45">
        <f t="shared" si="2"/>
        <v>60</v>
      </c>
      <c r="I9" s="45">
        <f t="shared" si="3"/>
        <v>0</v>
      </c>
      <c r="J9" s="110">
        <f t="shared" si="4"/>
        <v>100</v>
      </c>
      <c r="K9" s="659"/>
      <c r="L9" s="832"/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657">
        <v>0</v>
      </c>
      <c r="S9" s="657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349"/>
      <c r="AR9" s="348">
        <f t="shared" si="5"/>
        <v>0</v>
      </c>
    </row>
    <row r="10" spans="1:44" ht="15.75" customHeight="1" thickBot="1" x14ac:dyDescent="0.4">
      <c r="A10" s="831">
        <v>3</v>
      </c>
      <c r="B10" s="821" t="s">
        <v>254</v>
      </c>
      <c r="C10" s="44" t="s">
        <v>255</v>
      </c>
      <c r="D10" s="104">
        <v>24</v>
      </c>
      <c r="E10" s="45">
        <v>24</v>
      </c>
      <c r="F10" s="45">
        <f t="shared" si="1"/>
        <v>0</v>
      </c>
      <c r="G10" s="45">
        <v>18</v>
      </c>
      <c r="H10" s="45">
        <f t="shared" si="2"/>
        <v>19</v>
      </c>
      <c r="I10" s="45">
        <f t="shared" si="3"/>
        <v>5</v>
      </c>
      <c r="J10" s="110">
        <f t="shared" si="4"/>
        <v>79.166666666666657</v>
      </c>
      <c r="K10" s="659"/>
      <c r="L10" s="832"/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657">
        <v>0</v>
      </c>
      <c r="S10" s="657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1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349"/>
      <c r="AR10" s="348">
        <f t="shared" si="5"/>
        <v>1</v>
      </c>
    </row>
    <row r="11" spans="1:44" ht="15.75" customHeight="1" thickBot="1" x14ac:dyDescent="0.4">
      <c r="A11" s="832"/>
      <c r="B11" s="823"/>
      <c r="C11" s="44" t="s">
        <v>256</v>
      </c>
      <c r="D11" s="104">
        <f>156+4+4</f>
        <v>164</v>
      </c>
      <c r="E11" s="45">
        <f>78+78+4+4</f>
        <v>164</v>
      </c>
      <c r="F11" s="45">
        <f t="shared" si="1"/>
        <v>0</v>
      </c>
      <c r="G11" s="45">
        <v>160</v>
      </c>
      <c r="H11" s="45">
        <f t="shared" si="2"/>
        <v>161</v>
      </c>
      <c r="I11" s="45">
        <f t="shared" si="3"/>
        <v>3</v>
      </c>
      <c r="J11" s="110">
        <f t="shared" si="4"/>
        <v>98.170731707317074</v>
      </c>
      <c r="K11" s="659"/>
      <c r="L11" s="832"/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657">
        <v>0</v>
      </c>
      <c r="S11" s="657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1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349"/>
      <c r="AR11" s="348">
        <f t="shared" si="5"/>
        <v>1</v>
      </c>
    </row>
    <row r="12" spans="1:44" ht="31.5" thickBot="1" x14ac:dyDescent="0.4">
      <c r="A12" s="832"/>
      <c r="B12" s="823"/>
      <c r="C12" s="44" t="s">
        <v>257</v>
      </c>
      <c r="D12" s="104">
        <f>40+40</f>
        <v>80</v>
      </c>
      <c r="E12" s="45">
        <v>80</v>
      </c>
      <c r="F12" s="45">
        <f t="shared" si="1"/>
        <v>0</v>
      </c>
      <c r="G12" s="45">
        <v>77</v>
      </c>
      <c r="H12" s="45">
        <f t="shared" si="2"/>
        <v>82</v>
      </c>
      <c r="I12" s="45">
        <f t="shared" si="3"/>
        <v>-2</v>
      </c>
      <c r="J12" s="110">
        <f t="shared" si="4"/>
        <v>102.49999999999999</v>
      </c>
      <c r="K12" s="659"/>
      <c r="L12" s="832"/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57">
        <v>0</v>
      </c>
      <c r="S12" s="657">
        <v>0</v>
      </c>
      <c r="T12" s="45">
        <v>0</v>
      </c>
      <c r="U12" s="45">
        <v>0</v>
      </c>
      <c r="V12" s="45">
        <v>4</v>
      </c>
      <c r="W12" s="45">
        <v>0</v>
      </c>
      <c r="X12" s="45">
        <v>1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349"/>
      <c r="AR12" s="348">
        <f t="shared" si="5"/>
        <v>5</v>
      </c>
    </row>
    <row r="13" spans="1:44" ht="15.75" customHeight="1" thickBot="1" x14ac:dyDescent="0.4">
      <c r="A13" s="832"/>
      <c r="B13" s="823"/>
      <c r="C13" s="44" t="s">
        <v>258</v>
      </c>
      <c r="D13" s="104">
        <v>64</v>
      </c>
      <c r="E13" s="45">
        <v>64</v>
      </c>
      <c r="F13" s="45">
        <f t="shared" si="1"/>
        <v>0</v>
      </c>
      <c r="G13" s="45">
        <v>42</v>
      </c>
      <c r="H13" s="45">
        <f t="shared" si="2"/>
        <v>64</v>
      </c>
      <c r="I13" s="45">
        <f t="shared" si="3"/>
        <v>0</v>
      </c>
      <c r="J13" s="110">
        <f t="shared" si="4"/>
        <v>100</v>
      </c>
      <c r="K13" s="659"/>
      <c r="L13" s="832"/>
      <c r="M13" s="45">
        <v>0</v>
      </c>
      <c r="N13" s="45">
        <v>6</v>
      </c>
      <c r="O13" s="45">
        <v>6</v>
      </c>
      <c r="P13" s="45">
        <v>0</v>
      </c>
      <c r="Q13" s="45">
        <v>2</v>
      </c>
      <c r="R13" s="657">
        <v>4</v>
      </c>
      <c r="S13" s="657">
        <v>4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349"/>
      <c r="AR13" s="348">
        <f t="shared" si="5"/>
        <v>22</v>
      </c>
    </row>
    <row r="14" spans="1:44" ht="15.75" customHeight="1" thickBot="1" x14ac:dyDescent="0.4">
      <c r="A14" s="832"/>
      <c r="B14" s="823"/>
      <c r="C14" s="44" t="s">
        <v>259</v>
      </c>
      <c r="D14" s="104">
        <v>11</v>
      </c>
      <c r="E14" s="45">
        <v>11</v>
      </c>
      <c r="F14" s="45">
        <f t="shared" si="1"/>
        <v>0</v>
      </c>
      <c r="G14" s="45">
        <v>0</v>
      </c>
      <c r="H14" s="45">
        <f t="shared" si="2"/>
        <v>0</v>
      </c>
      <c r="I14" s="45">
        <f t="shared" si="3"/>
        <v>11</v>
      </c>
      <c r="J14" s="110">
        <f t="shared" si="4"/>
        <v>0</v>
      </c>
      <c r="K14" s="659"/>
      <c r="L14" s="832"/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57">
        <v>0</v>
      </c>
      <c r="S14" s="657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349"/>
      <c r="AR14" s="348">
        <f t="shared" si="5"/>
        <v>0</v>
      </c>
    </row>
    <row r="15" spans="1:44" ht="15.75" customHeight="1" thickBot="1" x14ac:dyDescent="0.4">
      <c r="A15" s="833"/>
      <c r="B15" s="822"/>
      <c r="C15" s="44" t="s">
        <v>260</v>
      </c>
      <c r="D15" s="104">
        <v>25</v>
      </c>
      <c r="E15" s="45">
        <v>0</v>
      </c>
      <c r="F15" s="45">
        <f>D15-E15</f>
        <v>25</v>
      </c>
      <c r="G15" s="45">
        <v>0</v>
      </c>
      <c r="H15" s="45">
        <f>G15+AR15</f>
        <v>0</v>
      </c>
      <c r="I15" s="45">
        <f>D15-H15</f>
        <v>25</v>
      </c>
      <c r="J15" s="110"/>
      <c r="K15" s="659"/>
      <c r="L15" s="832"/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657">
        <v>0</v>
      </c>
      <c r="S15" s="657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5</v>
      </c>
      <c r="AA15" s="45">
        <v>3</v>
      </c>
      <c r="AB15" s="45">
        <v>1</v>
      </c>
      <c r="AC15" s="45">
        <v>0</v>
      </c>
      <c r="AD15" s="45">
        <v>0</v>
      </c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349"/>
      <c r="AR15" s="348"/>
    </row>
    <row r="16" spans="1:44" ht="15.65" customHeight="1" thickBot="1" x14ac:dyDescent="0.4">
      <c r="A16" s="830">
        <v>4</v>
      </c>
      <c r="B16" s="820" t="s">
        <v>261</v>
      </c>
      <c r="C16" s="44" t="s">
        <v>262</v>
      </c>
      <c r="D16" s="104">
        <v>144</v>
      </c>
      <c r="E16" s="45">
        <v>144</v>
      </c>
      <c r="F16" s="45">
        <f t="shared" si="1"/>
        <v>0</v>
      </c>
      <c r="G16" s="45">
        <v>144</v>
      </c>
      <c r="H16" s="45">
        <f t="shared" si="2"/>
        <v>144</v>
      </c>
      <c r="I16" s="45">
        <f t="shared" si="3"/>
        <v>0</v>
      </c>
      <c r="J16" s="110">
        <f t="shared" si="4"/>
        <v>100</v>
      </c>
      <c r="K16" s="659"/>
      <c r="L16" s="832"/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57">
        <v>0</v>
      </c>
      <c r="S16" s="657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349"/>
      <c r="AR16" s="348">
        <f t="shared" si="5"/>
        <v>0</v>
      </c>
    </row>
    <row r="17" spans="1:44" ht="15.65" customHeight="1" thickBot="1" x14ac:dyDescent="0.4">
      <c r="A17" s="830"/>
      <c r="B17" s="820"/>
      <c r="C17" s="44" t="s">
        <v>263</v>
      </c>
      <c r="D17" s="104">
        <v>144</v>
      </c>
      <c r="E17" s="45">
        <v>144</v>
      </c>
      <c r="F17" s="45">
        <f t="shared" si="1"/>
        <v>0</v>
      </c>
      <c r="G17" s="45">
        <v>144</v>
      </c>
      <c r="H17" s="45">
        <f t="shared" si="2"/>
        <v>144</v>
      </c>
      <c r="I17" s="45">
        <f t="shared" si="3"/>
        <v>0</v>
      </c>
      <c r="J17" s="110">
        <f t="shared" si="4"/>
        <v>100</v>
      </c>
      <c r="K17" s="659"/>
      <c r="L17" s="832"/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657">
        <v>0</v>
      </c>
      <c r="S17" s="657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349"/>
      <c r="AR17" s="348">
        <f t="shared" si="5"/>
        <v>0</v>
      </c>
    </row>
    <row r="18" spans="1:44" ht="15.75" customHeight="1" thickBot="1" x14ac:dyDescent="0.4">
      <c r="A18" s="831">
        <v>5</v>
      </c>
      <c r="B18" s="821" t="s">
        <v>264</v>
      </c>
      <c r="C18" s="44" t="s">
        <v>265</v>
      </c>
      <c r="D18" s="104">
        <v>366</v>
      </c>
      <c r="E18" s="45">
        <v>366</v>
      </c>
      <c r="F18" s="45">
        <f t="shared" si="1"/>
        <v>0</v>
      </c>
      <c r="G18" s="45">
        <v>366</v>
      </c>
      <c r="H18" s="45">
        <f t="shared" si="2"/>
        <v>366</v>
      </c>
      <c r="I18" s="45">
        <f t="shared" si="3"/>
        <v>0</v>
      </c>
      <c r="J18" s="110">
        <f t="shared" si="4"/>
        <v>100</v>
      </c>
      <c r="K18" s="659"/>
      <c r="L18" s="832"/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57">
        <v>0</v>
      </c>
      <c r="S18" s="657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349"/>
      <c r="AR18" s="348">
        <f t="shared" si="5"/>
        <v>0</v>
      </c>
    </row>
    <row r="19" spans="1:44" ht="15.75" customHeight="1" thickBot="1" x14ac:dyDescent="0.4">
      <c r="A19" s="832"/>
      <c r="B19" s="823"/>
      <c r="C19" s="44" t="s">
        <v>266</v>
      </c>
      <c r="D19" s="104">
        <v>61</v>
      </c>
      <c r="E19" s="45">
        <v>61</v>
      </c>
      <c r="F19" s="45">
        <f t="shared" si="1"/>
        <v>0</v>
      </c>
      <c r="G19" s="45">
        <v>61</v>
      </c>
      <c r="H19" s="45">
        <f t="shared" si="2"/>
        <v>61</v>
      </c>
      <c r="I19" s="45">
        <f t="shared" si="3"/>
        <v>0</v>
      </c>
      <c r="J19" s="110">
        <f t="shared" si="4"/>
        <v>100</v>
      </c>
      <c r="K19" s="659"/>
      <c r="L19" s="832"/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57">
        <v>0</v>
      </c>
      <c r="S19" s="657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349"/>
      <c r="AR19" s="348">
        <f t="shared" si="5"/>
        <v>0</v>
      </c>
    </row>
    <row r="20" spans="1:44" ht="15.65" customHeight="1" thickBot="1" x14ac:dyDescent="0.4">
      <c r="A20" s="832"/>
      <c r="B20" s="823"/>
      <c r="C20" s="44" t="s">
        <v>207</v>
      </c>
      <c r="D20" s="104">
        <v>300</v>
      </c>
      <c r="E20" s="45">
        <v>300</v>
      </c>
      <c r="F20" s="45">
        <f t="shared" si="1"/>
        <v>0</v>
      </c>
      <c r="G20" s="45">
        <v>300</v>
      </c>
      <c r="H20" s="45">
        <f t="shared" si="2"/>
        <v>300</v>
      </c>
      <c r="I20" s="45">
        <f t="shared" si="3"/>
        <v>0</v>
      </c>
      <c r="J20" s="110">
        <f t="shared" si="4"/>
        <v>100</v>
      </c>
      <c r="K20" s="659"/>
      <c r="L20" s="832"/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57">
        <v>0</v>
      </c>
      <c r="S20" s="657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349"/>
      <c r="AR20" s="348">
        <f t="shared" si="5"/>
        <v>0</v>
      </c>
    </row>
    <row r="21" spans="1:44" ht="15.65" customHeight="1" thickBot="1" x14ac:dyDescent="0.4">
      <c r="A21" s="832"/>
      <c r="B21" s="823"/>
      <c r="C21" s="44" t="s">
        <v>267</v>
      </c>
      <c r="D21" s="104">
        <v>385</v>
      </c>
      <c r="E21" s="45">
        <v>385</v>
      </c>
      <c r="F21" s="45">
        <f t="shared" si="1"/>
        <v>0</v>
      </c>
      <c r="G21" s="45">
        <v>385</v>
      </c>
      <c r="H21" s="45">
        <f t="shared" si="2"/>
        <v>385</v>
      </c>
      <c r="I21" s="45">
        <f t="shared" si="3"/>
        <v>0</v>
      </c>
      <c r="J21" s="110">
        <f t="shared" si="4"/>
        <v>100</v>
      </c>
      <c r="K21" s="659"/>
      <c r="L21" s="832"/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57">
        <v>0</v>
      </c>
      <c r="S21" s="657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349"/>
      <c r="AR21" s="348">
        <f t="shared" si="5"/>
        <v>0</v>
      </c>
    </row>
    <row r="22" spans="1:44" ht="15.75" customHeight="1" thickBot="1" x14ac:dyDescent="0.4">
      <c r="A22" s="833"/>
      <c r="B22" s="822"/>
      <c r="C22" s="44" t="s">
        <v>268</v>
      </c>
      <c r="D22" s="104">
        <v>16</v>
      </c>
      <c r="E22" s="45">
        <v>16</v>
      </c>
      <c r="F22" s="45">
        <f t="shared" si="1"/>
        <v>0</v>
      </c>
      <c r="G22" s="45">
        <v>16</v>
      </c>
      <c r="H22" s="45">
        <f t="shared" si="2"/>
        <v>16</v>
      </c>
      <c r="I22" s="45">
        <f t="shared" si="3"/>
        <v>0</v>
      </c>
      <c r="J22" s="110">
        <f t="shared" si="4"/>
        <v>100</v>
      </c>
      <c r="K22" s="659"/>
      <c r="L22" s="832"/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57">
        <v>0</v>
      </c>
      <c r="S22" s="657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349"/>
      <c r="AR22" s="348">
        <f t="shared" si="5"/>
        <v>0</v>
      </c>
    </row>
    <row r="23" spans="1:44" ht="15.75" customHeight="1" thickBot="1" x14ac:dyDescent="0.4">
      <c r="A23" s="831">
        <v>6</v>
      </c>
      <c r="B23" s="821" t="s">
        <v>269</v>
      </c>
      <c r="C23" s="44" t="s">
        <v>270</v>
      </c>
      <c r="D23" s="104">
        <v>42</v>
      </c>
      <c r="E23" s="45">
        <v>42</v>
      </c>
      <c r="F23" s="45">
        <f t="shared" si="1"/>
        <v>0</v>
      </c>
      <c r="G23" s="45">
        <v>42</v>
      </c>
      <c r="H23" s="45">
        <f t="shared" si="2"/>
        <v>42</v>
      </c>
      <c r="I23" s="45">
        <f t="shared" si="3"/>
        <v>0</v>
      </c>
      <c r="J23" s="110">
        <f t="shared" si="4"/>
        <v>100</v>
      </c>
      <c r="K23" s="659"/>
      <c r="L23" s="832"/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57">
        <v>0</v>
      </c>
      <c r="S23" s="657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349"/>
      <c r="AR23" s="348">
        <f t="shared" si="5"/>
        <v>0</v>
      </c>
    </row>
    <row r="24" spans="1:44" ht="15.75" customHeight="1" thickBot="1" x14ac:dyDescent="0.4">
      <c r="A24" s="832"/>
      <c r="B24" s="823"/>
      <c r="C24" s="44" t="s">
        <v>271</v>
      </c>
      <c r="D24" s="104">
        <v>65</v>
      </c>
      <c r="E24" s="45">
        <v>65</v>
      </c>
      <c r="F24" s="45">
        <f t="shared" si="1"/>
        <v>0</v>
      </c>
      <c r="G24" s="45">
        <v>65</v>
      </c>
      <c r="H24" s="45">
        <f t="shared" si="2"/>
        <v>65</v>
      </c>
      <c r="I24" s="45">
        <f t="shared" si="3"/>
        <v>0</v>
      </c>
      <c r="J24" s="110">
        <f t="shared" si="4"/>
        <v>100</v>
      </c>
      <c r="K24" s="659"/>
      <c r="L24" s="832"/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57">
        <v>0</v>
      </c>
      <c r="S24" s="657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349"/>
      <c r="AR24" s="348">
        <f t="shared" si="5"/>
        <v>0</v>
      </c>
    </row>
    <row r="25" spans="1:44" ht="15.75" customHeight="1" thickBot="1" x14ac:dyDescent="0.4">
      <c r="A25" s="832"/>
      <c r="B25" s="823"/>
      <c r="C25" s="44" t="s">
        <v>272</v>
      </c>
      <c r="D25" s="104">
        <v>29</v>
      </c>
      <c r="E25" s="45">
        <v>29</v>
      </c>
      <c r="F25" s="45">
        <f t="shared" si="1"/>
        <v>0</v>
      </c>
      <c r="G25" s="45">
        <v>29</v>
      </c>
      <c r="H25" s="45">
        <f t="shared" si="2"/>
        <v>29</v>
      </c>
      <c r="I25" s="45">
        <f t="shared" si="3"/>
        <v>0</v>
      </c>
      <c r="J25" s="110">
        <f t="shared" si="4"/>
        <v>100</v>
      </c>
      <c r="K25" s="659"/>
      <c r="L25" s="832"/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57">
        <v>0</v>
      </c>
      <c r="S25" s="657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349"/>
      <c r="AR25" s="348">
        <f t="shared" si="5"/>
        <v>0</v>
      </c>
    </row>
    <row r="26" spans="1:44" ht="15.75" customHeight="1" thickBot="1" x14ac:dyDescent="0.4">
      <c r="A26" s="830">
        <v>7</v>
      </c>
      <c r="B26" s="820" t="s">
        <v>273</v>
      </c>
      <c r="C26" s="47" t="s">
        <v>274</v>
      </c>
      <c r="D26" s="292">
        <v>35</v>
      </c>
      <c r="E26" s="45">
        <v>35</v>
      </c>
      <c r="F26" s="45">
        <f t="shared" si="1"/>
        <v>0</v>
      </c>
      <c r="G26" s="45">
        <v>35</v>
      </c>
      <c r="H26" s="45">
        <f t="shared" si="2"/>
        <v>35</v>
      </c>
      <c r="I26" s="45">
        <f t="shared" si="3"/>
        <v>0</v>
      </c>
      <c r="J26" s="110">
        <f t="shared" si="4"/>
        <v>100</v>
      </c>
      <c r="K26" s="659"/>
      <c r="L26" s="832"/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657">
        <v>0</v>
      </c>
      <c r="S26" s="657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349"/>
      <c r="AR26" s="348">
        <f t="shared" si="5"/>
        <v>0</v>
      </c>
    </row>
    <row r="27" spans="1:44" ht="15.75" customHeight="1" thickBot="1" x14ac:dyDescent="0.4">
      <c r="A27" s="830"/>
      <c r="B27" s="820"/>
      <c r="C27" s="44" t="s">
        <v>275</v>
      </c>
      <c r="D27" s="104">
        <v>110</v>
      </c>
      <c r="E27" s="45">
        <v>110</v>
      </c>
      <c r="F27" s="45">
        <f t="shared" si="1"/>
        <v>0</v>
      </c>
      <c r="G27" s="45">
        <v>110</v>
      </c>
      <c r="H27" s="45">
        <f t="shared" si="2"/>
        <v>110</v>
      </c>
      <c r="I27" s="45">
        <f t="shared" si="3"/>
        <v>0</v>
      </c>
      <c r="J27" s="110">
        <f t="shared" si="4"/>
        <v>100</v>
      </c>
      <c r="K27" s="659"/>
      <c r="L27" s="832"/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57">
        <v>0</v>
      </c>
      <c r="S27" s="657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349"/>
      <c r="AR27" s="348">
        <f t="shared" si="5"/>
        <v>0</v>
      </c>
    </row>
    <row r="28" spans="1:44" ht="15.75" customHeight="1" thickBot="1" x14ac:dyDescent="0.4">
      <c r="A28" s="830"/>
      <c r="B28" s="820"/>
      <c r="C28" s="47" t="s">
        <v>276</v>
      </c>
      <c r="D28" s="292">
        <v>35</v>
      </c>
      <c r="E28" s="45">
        <v>35</v>
      </c>
      <c r="F28" s="45">
        <f t="shared" si="1"/>
        <v>0</v>
      </c>
      <c r="G28" s="45">
        <v>35</v>
      </c>
      <c r="H28" s="45">
        <f t="shared" si="2"/>
        <v>35</v>
      </c>
      <c r="I28" s="45">
        <f t="shared" si="3"/>
        <v>0</v>
      </c>
      <c r="J28" s="110">
        <f t="shared" si="4"/>
        <v>100</v>
      </c>
      <c r="K28" s="659"/>
      <c r="L28" s="832"/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657">
        <v>0</v>
      </c>
      <c r="S28" s="657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349"/>
      <c r="AR28" s="348">
        <f t="shared" si="5"/>
        <v>0</v>
      </c>
    </row>
    <row r="29" spans="1:44" ht="15.75" customHeight="1" thickBot="1" x14ac:dyDescent="0.4">
      <c r="A29" s="830"/>
      <c r="B29" s="820"/>
      <c r="C29" s="44" t="s">
        <v>277</v>
      </c>
      <c r="D29" s="104">
        <v>110</v>
      </c>
      <c r="E29" s="45">
        <v>110</v>
      </c>
      <c r="F29" s="45">
        <f t="shared" si="1"/>
        <v>0</v>
      </c>
      <c r="G29" s="45">
        <v>110</v>
      </c>
      <c r="H29" s="45">
        <f t="shared" si="2"/>
        <v>110</v>
      </c>
      <c r="I29" s="45">
        <f t="shared" si="3"/>
        <v>0</v>
      </c>
      <c r="J29" s="110">
        <f t="shared" si="4"/>
        <v>100</v>
      </c>
      <c r="K29" s="659"/>
      <c r="L29" s="832"/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657">
        <v>0</v>
      </c>
      <c r="S29" s="657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349"/>
      <c r="AR29" s="348">
        <f t="shared" si="5"/>
        <v>0</v>
      </c>
    </row>
    <row r="30" spans="1:44" ht="15.75" customHeight="1" thickBot="1" x14ac:dyDescent="0.4">
      <c r="A30" s="831">
        <v>8</v>
      </c>
      <c r="B30" s="821" t="s">
        <v>223</v>
      </c>
      <c r="C30" s="44" t="s">
        <v>278</v>
      </c>
      <c r="D30" s="104">
        <v>295</v>
      </c>
      <c r="E30" s="45">
        <v>295</v>
      </c>
      <c r="F30" s="45">
        <f t="shared" si="1"/>
        <v>0</v>
      </c>
      <c r="G30" s="45">
        <v>295</v>
      </c>
      <c r="H30" s="45">
        <f t="shared" si="2"/>
        <v>295</v>
      </c>
      <c r="I30" s="45">
        <f t="shared" si="3"/>
        <v>0</v>
      </c>
      <c r="J30" s="110">
        <f t="shared" si="4"/>
        <v>100</v>
      </c>
      <c r="K30" s="659"/>
      <c r="L30" s="832"/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657">
        <v>0</v>
      </c>
      <c r="S30" s="657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349"/>
      <c r="AR30" s="348">
        <f t="shared" si="5"/>
        <v>0</v>
      </c>
    </row>
    <row r="31" spans="1:44" ht="15.65" customHeight="1" thickBot="1" x14ac:dyDescent="0.4">
      <c r="A31" s="832"/>
      <c r="B31" s="823"/>
      <c r="C31" s="44" t="s">
        <v>279</v>
      </c>
      <c r="D31" s="104">
        <v>40</v>
      </c>
      <c r="E31" s="45">
        <v>40</v>
      </c>
      <c r="F31" s="45">
        <f t="shared" si="1"/>
        <v>0</v>
      </c>
      <c r="G31" s="45">
        <v>40</v>
      </c>
      <c r="H31" s="45">
        <f t="shared" si="2"/>
        <v>40</v>
      </c>
      <c r="I31" s="45">
        <f t="shared" si="3"/>
        <v>0</v>
      </c>
      <c r="J31" s="110">
        <f t="shared" si="4"/>
        <v>100</v>
      </c>
      <c r="K31" s="659"/>
      <c r="L31" s="832"/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657">
        <v>0</v>
      </c>
      <c r="S31" s="657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349"/>
      <c r="AR31" s="348">
        <f t="shared" si="5"/>
        <v>0</v>
      </c>
    </row>
    <row r="32" spans="1:44" ht="15.75" customHeight="1" thickBot="1" x14ac:dyDescent="0.4">
      <c r="A32" s="832"/>
      <c r="B32" s="823"/>
      <c r="C32" s="44" t="s">
        <v>280</v>
      </c>
      <c r="D32" s="104">
        <v>16</v>
      </c>
      <c r="E32" s="45">
        <v>16</v>
      </c>
      <c r="F32" s="45">
        <f t="shared" si="1"/>
        <v>0</v>
      </c>
      <c r="G32" s="45">
        <v>16</v>
      </c>
      <c r="H32" s="45">
        <f t="shared" si="2"/>
        <v>16</v>
      </c>
      <c r="I32" s="45">
        <f t="shared" si="3"/>
        <v>0</v>
      </c>
      <c r="J32" s="110">
        <f t="shared" si="4"/>
        <v>100</v>
      </c>
      <c r="K32" s="659"/>
      <c r="L32" s="832"/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657">
        <v>0</v>
      </c>
      <c r="S32" s="657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349"/>
      <c r="AR32" s="348">
        <f t="shared" si="5"/>
        <v>0</v>
      </c>
    </row>
    <row r="33" spans="1:44" ht="15.75" customHeight="1" thickBot="1" x14ac:dyDescent="0.4">
      <c r="A33" s="832"/>
      <c r="B33" s="823"/>
      <c r="C33" s="44" t="s">
        <v>281</v>
      </c>
      <c r="D33" s="104">
        <v>8</v>
      </c>
      <c r="E33" s="45">
        <v>8</v>
      </c>
      <c r="F33" s="45">
        <f t="shared" si="1"/>
        <v>0</v>
      </c>
      <c r="G33" s="45">
        <v>8</v>
      </c>
      <c r="H33" s="45">
        <f t="shared" si="2"/>
        <v>8</v>
      </c>
      <c r="I33" s="45">
        <f t="shared" si="3"/>
        <v>0</v>
      </c>
      <c r="J33" s="110">
        <f t="shared" si="4"/>
        <v>100</v>
      </c>
      <c r="K33" s="659"/>
      <c r="L33" s="832"/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657">
        <v>0</v>
      </c>
      <c r="S33" s="657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45">
        <v>0</v>
      </c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349"/>
      <c r="AR33" s="348">
        <f t="shared" si="5"/>
        <v>0</v>
      </c>
    </row>
    <row r="34" spans="1:44" ht="15.75" customHeight="1" thickBot="1" x14ac:dyDescent="0.4">
      <c r="A34" s="832"/>
      <c r="B34" s="823"/>
      <c r="C34" s="44" t="s">
        <v>282</v>
      </c>
      <c r="D34" s="104">
        <v>25</v>
      </c>
      <c r="E34" s="45">
        <f>16+9</f>
        <v>25</v>
      </c>
      <c r="F34" s="45">
        <f t="shared" si="1"/>
        <v>0</v>
      </c>
      <c r="G34" s="45">
        <v>25</v>
      </c>
      <c r="H34" s="45">
        <f t="shared" si="2"/>
        <v>25</v>
      </c>
      <c r="I34" s="45">
        <f t="shared" si="3"/>
        <v>0</v>
      </c>
      <c r="J34" s="110">
        <f t="shared" si="4"/>
        <v>100</v>
      </c>
      <c r="K34" s="659"/>
      <c r="L34" s="832"/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657">
        <v>0</v>
      </c>
      <c r="S34" s="657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349"/>
      <c r="AR34" s="348">
        <f t="shared" si="5"/>
        <v>0</v>
      </c>
    </row>
    <row r="35" spans="1:44" ht="15.75" customHeight="1" thickBot="1" x14ac:dyDescent="0.4">
      <c r="A35" s="832"/>
      <c r="B35" s="823"/>
      <c r="C35" s="44" t="s">
        <v>283</v>
      </c>
      <c r="D35" s="104">
        <v>8</v>
      </c>
      <c r="E35" s="45">
        <v>8</v>
      </c>
      <c r="F35" s="45">
        <f t="shared" si="1"/>
        <v>0</v>
      </c>
      <c r="G35" s="45">
        <v>8</v>
      </c>
      <c r="H35" s="45">
        <f t="shared" si="2"/>
        <v>8</v>
      </c>
      <c r="I35" s="45">
        <f t="shared" si="3"/>
        <v>0</v>
      </c>
      <c r="J35" s="110">
        <f t="shared" si="4"/>
        <v>100</v>
      </c>
      <c r="K35" s="659"/>
      <c r="L35" s="832"/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657">
        <v>0</v>
      </c>
      <c r="S35" s="657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349"/>
      <c r="AR35" s="348">
        <f t="shared" si="5"/>
        <v>0</v>
      </c>
    </row>
    <row r="36" spans="1:44" ht="15.75" customHeight="1" thickBot="1" x14ac:dyDescent="0.4">
      <c r="A36" s="832"/>
      <c r="B36" s="823"/>
      <c r="C36" s="44" t="s">
        <v>284</v>
      </c>
      <c r="D36" s="104">
        <v>12</v>
      </c>
      <c r="E36" s="45">
        <v>12</v>
      </c>
      <c r="F36" s="45">
        <f t="shared" si="1"/>
        <v>0</v>
      </c>
      <c r="G36" s="45">
        <v>12</v>
      </c>
      <c r="H36" s="45">
        <f t="shared" si="2"/>
        <v>12</v>
      </c>
      <c r="I36" s="45">
        <f t="shared" si="3"/>
        <v>0</v>
      </c>
      <c r="J36" s="110">
        <f t="shared" si="4"/>
        <v>100</v>
      </c>
      <c r="K36" s="659"/>
      <c r="L36" s="832"/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657">
        <v>0</v>
      </c>
      <c r="S36" s="657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349"/>
      <c r="AR36" s="348">
        <f t="shared" si="5"/>
        <v>0</v>
      </c>
    </row>
    <row r="37" spans="1:44" ht="15.65" customHeight="1" thickBot="1" x14ac:dyDescent="0.4">
      <c r="A37" s="833"/>
      <c r="B37" s="822"/>
      <c r="C37" s="44" t="s">
        <v>285</v>
      </c>
      <c r="D37" s="104">
        <v>12</v>
      </c>
      <c r="E37" s="45">
        <v>12</v>
      </c>
      <c r="F37" s="45">
        <f t="shared" si="1"/>
        <v>0</v>
      </c>
      <c r="G37" s="45">
        <v>12</v>
      </c>
      <c r="H37" s="45">
        <f>G37+AR37</f>
        <v>12</v>
      </c>
      <c r="I37" s="45">
        <f t="shared" si="3"/>
        <v>0</v>
      </c>
      <c r="J37" s="110">
        <f t="shared" si="4"/>
        <v>100</v>
      </c>
      <c r="K37" s="659"/>
      <c r="L37" s="832"/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657">
        <v>0</v>
      </c>
      <c r="S37" s="657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349"/>
      <c r="AR37" s="348">
        <f t="shared" si="5"/>
        <v>0</v>
      </c>
    </row>
    <row r="38" spans="1:44" ht="15.75" customHeight="1" thickBot="1" x14ac:dyDescent="0.4">
      <c r="A38" s="831">
        <v>9</v>
      </c>
      <c r="B38" s="821" t="s">
        <v>286</v>
      </c>
      <c r="C38" s="44" t="s">
        <v>287</v>
      </c>
      <c r="D38" s="104">
        <v>114</v>
      </c>
      <c r="E38" s="45">
        <v>114</v>
      </c>
      <c r="F38" s="45">
        <f t="shared" si="1"/>
        <v>0</v>
      </c>
      <c r="G38" s="45">
        <v>114</v>
      </c>
      <c r="H38" s="45">
        <f t="shared" si="2"/>
        <v>114</v>
      </c>
      <c r="I38" s="45">
        <f t="shared" si="3"/>
        <v>0</v>
      </c>
      <c r="J38" s="110">
        <f t="shared" si="4"/>
        <v>100</v>
      </c>
      <c r="K38" s="659"/>
      <c r="L38" s="832"/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657">
        <v>0</v>
      </c>
      <c r="S38" s="657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349"/>
      <c r="AR38" s="348">
        <f t="shared" si="5"/>
        <v>0</v>
      </c>
    </row>
    <row r="39" spans="1:44" ht="31.5" thickBot="1" x14ac:dyDescent="0.4">
      <c r="A39" s="832"/>
      <c r="B39" s="823"/>
      <c r="C39" s="44" t="s">
        <v>288</v>
      </c>
      <c r="D39" s="104">
        <v>97</v>
      </c>
      <c r="E39" s="45">
        <v>97</v>
      </c>
      <c r="F39" s="45">
        <f t="shared" si="1"/>
        <v>0</v>
      </c>
      <c r="G39" s="45">
        <v>97</v>
      </c>
      <c r="H39" s="45">
        <f t="shared" si="2"/>
        <v>97</v>
      </c>
      <c r="I39" s="45">
        <f t="shared" si="3"/>
        <v>0</v>
      </c>
      <c r="J39" s="110">
        <f t="shared" si="4"/>
        <v>100</v>
      </c>
      <c r="K39" s="659"/>
      <c r="L39" s="832"/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657">
        <v>0</v>
      </c>
      <c r="S39" s="657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349"/>
      <c r="AR39" s="348">
        <f t="shared" si="5"/>
        <v>0</v>
      </c>
    </row>
    <row r="40" spans="1:44" ht="16" customHeight="1" thickBot="1" x14ac:dyDescent="0.4">
      <c r="A40" s="832"/>
      <c r="B40" s="823"/>
      <c r="C40" s="44" t="s">
        <v>289</v>
      </c>
      <c r="D40" s="104">
        <v>61</v>
      </c>
      <c r="E40" s="45">
        <v>61</v>
      </c>
      <c r="F40" s="45">
        <f t="shared" si="1"/>
        <v>0</v>
      </c>
      <c r="G40" s="45">
        <v>61</v>
      </c>
      <c r="H40" s="45">
        <f>G40+AR40</f>
        <v>61</v>
      </c>
      <c r="I40" s="45">
        <f t="shared" si="3"/>
        <v>0</v>
      </c>
      <c r="J40" s="110">
        <f t="shared" si="4"/>
        <v>100</v>
      </c>
      <c r="K40" s="659"/>
      <c r="L40" s="832"/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657">
        <v>0</v>
      </c>
      <c r="S40" s="657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349"/>
      <c r="AR40" s="348">
        <f t="shared" si="5"/>
        <v>0</v>
      </c>
    </row>
    <row r="41" spans="1:44" ht="31.5" thickBot="1" x14ac:dyDescent="0.4">
      <c r="A41" s="832"/>
      <c r="B41" s="823"/>
      <c r="C41" s="44" t="s">
        <v>290</v>
      </c>
      <c r="D41" s="104">
        <v>31</v>
      </c>
      <c r="E41" s="45">
        <v>31</v>
      </c>
      <c r="F41" s="45">
        <f t="shared" si="1"/>
        <v>0</v>
      </c>
      <c r="G41" s="45">
        <v>28</v>
      </c>
      <c r="H41" s="45">
        <f>G41+AR41</f>
        <v>28</v>
      </c>
      <c r="I41" s="45">
        <f t="shared" si="3"/>
        <v>3</v>
      </c>
      <c r="J41" s="110">
        <f t="shared" si="4"/>
        <v>90.322580645161281</v>
      </c>
      <c r="K41" s="659"/>
      <c r="L41" s="832"/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657">
        <v>0</v>
      </c>
      <c r="S41" s="657">
        <v>0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349"/>
      <c r="AR41" s="348">
        <f t="shared" si="5"/>
        <v>0</v>
      </c>
    </row>
    <row r="42" spans="1:44" ht="16" customHeight="1" thickBot="1" x14ac:dyDescent="0.4">
      <c r="A42" s="833"/>
      <c r="B42" s="822"/>
      <c r="C42" s="44" t="s">
        <v>291</v>
      </c>
      <c r="D42" s="104">
        <f>56+56+10+9+4</f>
        <v>135</v>
      </c>
      <c r="E42" s="104">
        <f>56+56+10+9+4</f>
        <v>135</v>
      </c>
      <c r="F42" s="45">
        <f t="shared" si="1"/>
        <v>0</v>
      </c>
      <c r="G42" s="45">
        <v>135</v>
      </c>
      <c r="H42" s="45">
        <f>G42+AR42</f>
        <v>135</v>
      </c>
      <c r="I42" s="45">
        <f t="shared" si="3"/>
        <v>0</v>
      </c>
      <c r="J42" s="110">
        <f t="shared" si="4"/>
        <v>100</v>
      </c>
      <c r="K42" s="659"/>
      <c r="L42" s="832"/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657">
        <v>0</v>
      </c>
      <c r="S42" s="657">
        <v>0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349"/>
      <c r="AR42" s="348">
        <f t="shared" si="5"/>
        <v>0</v>
      </c>
    </row>
    <row r="43" spans="1:44" ht="15.75" customHeight="1" thickBot="1" x14ac:dyDescent="0.4">
      <c r="A43" s="843">
        <v>10</v>
      </c>
      <c r="B43" s="824" t="s">
        <v>292</v>
      </c>
      <c r="C43" s="44" t="s">
        <v>293</v>
      </c>
      <c r="D43" s="104">
        <v>964</v>
      </c>
      <c r="E43" s="45">
        <v>964</v>
      </c>
      <c r="F43" s="45">
        <f t="shared" si="1"/>
        <v>0</v>
      </c>
      <c r="G43" s="45">
        <v>964</v>
      </c>
      <c r="H43" s="45">
        <f t="shared" si="2"/>
        <v>964</v>
      </c>
      <c r="I43" s="45">
        <f t="shared" si="3"/>
        <v>0</v>
      </c>
      <c r="J43" s="110">
        <f t="shared" si="4"/>
        <v>100</v>
      </c>
      <c r="K43" s="659"/>
      <c r="L43" s="832"/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657">
        <v>0</v>
      </c>
      <c r="S43" s="657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45">
        <v>0</v>
      </c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349"/>
      <c r="AR43" s="348">
        <f t="shared" si="5"/>
        <v>0</v>
      </c>
    </row>
    <row r="44" spans="1:44" ht="15.65" customHeight="1" thickBot="1" x14ac:dyDescent="0.4">
      <c r="A44" s="844"/>
      <c r="B44" s="825"/>
      <c r="C44" s="336" t="s">
        <v>209</v>
      </c>
      <c r="D44" s="45">
        <v>115</v>
      </c>
      <c r="E44" s="45">
        <v>115</v>
      </c>
      <c r="F44" s="45">
        <f t="shared" si="1"/>
        <v>0</v>
      </c>
      <c r="G44" s="45">
        <v>115</v>
      </c>
      <c r="H44" s="45">
        <f t="shared" si="2"/>
        <v>115</v>
      </c>
      <c r="I44" s="45">
        <f t="shared" si="3"/>
        <v>0</v>
      </c>
      <c r="J44" s="110">
        <f t="shared" si="4"/>
        <v>100</v>
      </c>
      <c r="K44" s="659"/>
      <c r="L44" s="832"/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657">
        <v>0</v>
      </c>
      <c r="S44" s="657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0</v>
      </c>
      <c r="Z44" s="45">
        <v>0</v>
      </c>
      <c r="AA44" s="45">
        <v>0</v>
      </c>
      <c r="AB44" s="45">
        <v>0</v>
      </c>
      <c r="AC44" s="45">
        <v>0</v>
      </c>
      <c r="AD44" s="45">
        <v>0</v>
      </c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349"/>
      <c r="AR44" s="348">
        <f t="shared" si="5"/>
        <v>0</v>
      </c>
    </row>
    <row r="45" spans="1:44" ht="15.75" customHeight="1" thickBot="1" x14ac:dyDescent="0.4">
      <c r="A45" s="844"/>
      <c r="B45" s="825"/>
      <c r="C45" s="336" t="s">
        <v>294</v>
      </c>
      <c r="D45" s="45">
        <v>118</v>
      </c>
      <c r="E45" s="45">
        <v>118</v>
      </c>
      <c r="F45" s="45">
        <f t="shared" si="1"/>
        <v>0</v>
      </c>
      <c r="G45" s="45">
        <v>118</v>
      </c>
      <c r="H45" s="45">
        <f t="shared" si="2"/>
        <v>118</v>
      </c>
      <c r="I45" s="45">
        <f t="shared" si="3"/>
        <v>0</v>
      </c>
      <c r="J45" s="110">
        <f t="shared" si="4"/>
        <v>100</v>
      </c>
      <c r="K45" s="659"/>
      <c r="L45" s="832"/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657">
        <v>0</v>
      </c>
      <c r="S45" s="657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0</v>
      </c>
      <c r="AA45" s="45">
        <v>0</v>
      </c>
      <c r="AB45" s="45">
        <v>0</v>
      </c>
      <c r="AC45" s="45">
        <v>0</v>
      </c>
      <c r="AD45" s="45">
        <v>0</v>
      </c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349"/>
      <c r="AR45" s="348">
        <f t="shared" si="5"/>
        <v>0</v>
      </c>
    </row>
    <row r="46" spans="1:44" ht="15.65" customHeight="1" thickBot="1" x14ac:dyDescent="0.4">
      <c r="A46" s="844"/>
      <c r="B46" s="825"/>
      <c r="C46" s="336" t="s">
        <v>295</v>
      </c>
      <c r="D46" s="45">
        <v>44</v>
      </c>
      <c r="E46" s="45">
        <v>44</v>
      </c>
      <c r="F46" s="45">
        <f t="shared" si="1"/>
        <v>0</v>
      </c>
      <c r="G46" s="45">
        <v>44</v>
      </c>
      <c r="H46" s="45">
        <f t="shared" si="2"/>
        <v>44</v>
      </c>
      <c r="I46" s="45">
        <f t="shared" si="3"/>
        <v>0</v>
      </c>
      <c r="J46" s="110">
        <f t="shared" si="4"/>
        <v>100</v>
      </c>
      <c r="K46" s="659"/>
      <c r="L46" s="832"/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657">
        <v>0</v>
      </c>
      <c r="S46" s="657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0</v>
      </c>
      <c r="AB46" s="45">
        <v>0</v>
      </c>
      <c r="AC46" s="45">
        <v>0</v>
      </c>
      <c r="AD46" s="45">
        <v>0</v>
      </c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349"/>
      <c r="AR46" s="348">
        <f t="shared" si="5"/>
        <v>0</v>
      </c>
    </row>
    <row r="47" spans="1:44" ht="15.75" customHeight="1" thickBot="1" x14ac:dyDescent="0.4">
      <c r="A47" s="844"/>
      <c r="B47" s="825"/>
      <c r="C47" s="336" t="s">
        <v>296</v>
      </c>
      <c r="D47" s="45">
        <v>86</v>
      </c>
      <c r="E47" s="45">
        <v>86</v>
      </c>
      <c r="F47" s="45">
        <f t="shared" si="1"/>
        <v>0</v>
      </c>
      <c r="G47" s="45">
        <v>86</v>
      </c>
      <c r="H47" s="45">
        <f t="shared" si="2"/>
        <v>86</v>
      </c>
      <c r="I47" s="45">
        <f t="shared" si="3"/>
        <v>0</v>
      </c>
      <c r="J47" s="110">
        <f t="shared" si="4"/>
        <v>100</v>
      </c>
      <c r="K47" s="659"/>
      <c r="L47" s="832"/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657">
        <v>0</v>
      </c>
      <c r="S47" s="657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349"/>
      <c r="AR47" s="348">
        <f t="shared" si="5"/>
        <v>0</v>
      </c>
    </row>
    <row r="48" spans="1:44" ht="15.75" customHeight="1" thickBot="1" x14ac:dyDescent="0.4">
      <c r="A48" s="844"/>
      <c r="B48" s="825"/>
      <c r="C48" s="44" t="s">
        <v>297</v>
      </c>
      <c r="D48" s="104">
        <v>119</v>
      </c>
      <c r="E48" s="45">
        <v>119</v>
      </c>
      <c r="F48" s="45">
        <f t="shared" si="1"/>
        <v>0</v>
      </c>
      <c r="G48" s="45">
        <v>119</v>
      </c>
      <c r="H48" s="45">
        <f t="shared" si="2"/>
        <v>119</v>
      </c>
      <c r="I48" s="45">
        <f t="shared" si="3"/>
        <v>0</v>
      </c>
      <c r="J48" s="110">
        <f t="shared" si="4"/>
        <v>100</v>
      </c>
      <c r="K48" s="659"/>
      <c r="L48" s="832"/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657">
        <v>0</v>
      </c>
      <c r="S48" s="657">
        <v>0</v>
      </c>
      <c r="T48" s="45">
        <v>0</v>
      </c>
      <c r="U48" s="45">
        <v>0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349"/>
      <c r="AR48" s="348">
        <f t="shared" si="5"/>
        <v>0</v>
      </c>
    </row>
    <row r="49" spans="1:44" ht="20.5" thickBot="1" x14ac:dyDescent="0.4">
      <c r="A49" s="845"/>
      <c r="B49" s="826"/>
      <c r="C49" s="44" t="s">
        <v>298</v>
      </c>
      <c r="D49" s="104">
        <v>130</v>
      </c>
      <c r="E49" s="45">
        <f>34+34</f>
        <v>68</v>
      </c>
      <c r="F49" s="45">
        <f t="shared" si="1"/>
        <v>62</v>
      </c>
      <c r="G49" s="45">
        <v>17</v>
      </c>
      <c r="H49" s="45">
        <f t="shared" si="2"/>
        <v>17</v>
      </c>
      <c r="I49" s="45">
        <f t="shared" si="3"/>
        <v>113</v>
      </c>
      <c r="J49" s="110">
        <f t="shared" si="4"/>
        <v>13.076923076923078</v>
      </c>
      <c r="K49" s="659"/>
      <c r="L49" s="832"/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657">
        <v>0</v>
      </c>
      <c r="S49" s="657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349"/>
      <c r="AR49" s="348">
        <f t="shared" si="5"/>
        <v>0</v>
      </c>
    </row>
    <row r="50" spans="1:44" ht="15.75" customHeight="1" thickBot="1" x14ac:dyDescent="0.4">
      <c r="A50" s="831">
        <v>12</v>
      </c>
      <c r="B50" s="821" t="s">
        <v>299</v>
      </c>
      <c r="C50" s="44" t="s">
        <v>300</v>
      </c>
      <c r="D50" s="104">
        <v>239</v>
      </c>
      <c r="E50" s="45">
        <v>239</v>
      </c>
      <c r="F50" s="45">
        <f t="shared" si="1"/>
        <v>0</v>
      </c>
      <c r="G50" s="45">
        <v>239</v>
      </c>
      <c r="H50" s="45">
        <f t="shared" si="2"/>
        <v>239</v>
      </c>
      <c r="I50" s="45">
        <f t="shared" si="3"/>
        <v>0</v>
      </c>
      <c r="J50" s="110">
        <f t="shared" si="4"/>
        <v>100</v>
      </c>
      <c r="K50" s="659"/>
      <c r="L50" s="832"/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657">
        <v>0</v>
      </c>
      <c r="S50" s="657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349"/>
      <c r="AR50" s="348">
        <f t="shared" si="5"/>
        <v>0</v>
      </c>
    </row>
    <row r="51" spans="1:44" ht="15.75" customHeight="1" thickBot="1" x14ac:dyDescent="0.4">
      <c r="A51" s="832"/>
      <c r="B51" s="823"/>
      <c r="C51" s="44" t="s">
        <v>301</v>
      </c>
      <c r="D51" s="104">
        <v>108</v>
      </c>
      <c r="E51" s="45">
        <v>108</v>
      </c>
      <c r="F51" s="45">
        <f t="shared" si="1"/>
        <v>0</v>
      </c>
      <c r="G51" s="45">
        <v>108</v>
      </c>
      <c r="H51" s="45">
        <f t="shared" si="2"/>
        <v>108</v>
      </c>
      <c r="I51" s="45">
        <f t="shared" si="3"/>
        <v>0</v>
      </c>
      <c r="J51" s="110">
        <f t="shared" si="4"/>
        <v>100</v>
      </c>
      <c r="K51" s="659"/>
      <c r="L51" s="832"/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657">
        <v>0</v>
      </c>
      <c r="S51" s="657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349"/>
      <c r="AR51" s="348">
        <f t="shared" si="5"/>
        <v>0</v>
      </c>
    </row>
    <row r="52" spans="1:44" ht="15.75" customHeight="1" thickBot="1" x14ac:dyDescent="0.4">
      <c r="A52" s="832"/>
      <c r="B52" s="823"/>
      <c r="C52" s="44" t="s">
        <v>302</v>
      </c>
      <c r="D52" s="104">
        <v>246</v>
      </c>
      <c r="E52" s="45">
        <v>246</v>
      </c>
      <c r="F52" s="45">
        <f t="shared" si="1"/>
        <v>0</v>
      </c>
      <c r="G52" s="45">
        <v>246</v>
      </c>
      <c r="H52" s="45">
        <f t="shared" si="2"/>
        <v>246</v>
      </c>
      <c r="I52" s="45">
        <f t="shared" si="3"/>
        <v>0</v>
      </c>
      <c r="J52" s="110">
        <f t="shared" si="4"/>
        <v>100</v>
      </c>
      <c r="K52" s="659"/>
      <c r="L52" s="832"/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657">
        <v>0</v>
      </c>
      <c r="S52" s="657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349"/>
      <c r="AR52" s="348">
        <f t="shared" si="5"/>
        <v>0</v>
      </c>
    </row>
    <row r="53" spans="1:44" ht="15.75" customHeight="1" thickBot="1" x14ac:dyDescent="0.4">
      <c r="A53" s="832"/>
      <c r="B53" s="823"/>
      <c r="C53" s="44" t="s">
        <v>303</v>
      </c>
      <c r="D53" s="104">
        <v>102</v>
      </c>
      <c r="E53" s="45">
        <v>102</v>
      </c>
      <c r="F53" s="45">
        <f t="shared" si="1"/>
        <v>0</v>
      </c>
      <c r="G53" s="45">
        <v>102</v>
      </c>
      <c r="H53" s="45">
        <f t="shared" si="2"/>
        <v>102</v>
      </c>
      <c r="I53" s="45">
        <f t="shared" si="3"/>
        <v>0</v>
      </c>
      <c r="J53" s="110">
        <f t="shared" si="4"/>
        <v>100</v>
      </c>
      <c r="K53" s="659"/>
      <c r="L53" s="832"/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657">
        <v>0</v>
      </c>
      <c r="S53" s="657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349"/>
      <c r="AR53" s="348">
        <f t="shared" si="5"/>
        <v>0</v>
      </c>
    </row>
    <row r="54" spans="1:44" ht="16.5" customHeight="1" thickBot="1" x14ac:dyDescent="0.4">
      <c r="A54" s="832"/>
      <c r="B54" s="823"/>
      <c r="C54" s="44" t="s">
        <v>304</v>
      </c>
      <c r="D54" s="104">
        <v>82</v>
      </c>
      <c r="E54" s="45">
        <v>82</v>
      </c>
      <c r="F54" s="45">
        <f t="shared" si="1"/>
        <v>0</v>
      </c>
      <c r="G54" s="45">
        <v>82</v>
      </c>
      <c r="H54" s="45">
        <f t="shared" si="2"/>
        <v>82</v>
      </c>
      <c r="I54" s="45">
        <f t="shared" si="3"/>
        <v>0</v>
      </c>
      <c r="J54" s="110">
        <f t="shared" si="4"/>
        <v>100</v>
      </c>
      <c r="K54" s="659"/>
      <c r="L54" s="832"/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657">
        <v>0</v>
      </c>
      <c r="S54" s="657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349"/>
      <c r="AR54" s="348">
        <f t="shared" si="5"/>
        <v>0</v>
      </c>
    </row>
    <row r="55" spans="1:44" ht="15.75" customHeight="1" thickBot="1" x14ac:dyDescent="0.4">
      <c r="A55" s="832"/>
      <c r="B55" s="823"/>
      <c r="C55" s="44" t="s">
        <v>305</v>
      </c>
      <c r="D55" s="104">
        <v>104</v>
      </c>
      <c r="E55" s="45">
        <v>104</v>
      </c>
      <c r="F55" s="45">
        <f t="shared" si="1"/>
        <v>0</v>
      </c>
      <c r="G55" s="45">
        <v>104</v>
      </c>
      <c r="H55" s="45">
        <f t="shared" si="2"/>
        <v>104</v>
      </c>
      <c r="I55" s="45">
        <f t="shared" si="3"/>
        <v>0</v>
      </c>
      <c r="J55" s="110">
        <f t="shared" si="4"/>
        <v>100</v>
      </c>
      <c r="K55" s="659"/>
      <c r="L55" s="832"/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657">
        <v>0</v>
      </c>
      <c r="S55" s="657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349"/>
      <c r="AR55" s="348">
        <f t="shared" si="5"/>
        <v>0</v>
      </c>
    </row>
    <row r="56" spans="1:44" ht="15.75" customHeight="1" thickBot="1" x14ac:dyDescent="0.4">
      <c r="A56" s="832"/>
      <c r="B56" s="823"/>
      <c r="C56" s="44" t="s">
        <v>306</v>
      </c>
      <c r="D56" s="104">
        <v>111</v>
      </c>
      <c r="E56" s="45">
        <v>111</v>
      </c>
      <c r="F56" s="45">
        <f t="shared" si="1"/>
        <v>0</v>
      </c>
      <c r="G56" s="45">
        <v>111</v>
      </c>
      <c r="H56" s="45">
        <f t="shared" si="2"/>
        <v>111</v>
      </c>
      <c r="I56" s="45">
        <f t="shared" si="3"/>
        <v>0</v>
      </c>
      <c r="J56" s="110">
        <f t="shared" si="4"/>
        <v>100</v>
      </c>
      <c r="K56" s="659"/>
      <c r="L56" s="832"/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657">
        <v>0</v>
      </c>
      <c r="S56" s="657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349"/>
      <c r="AR56" s="348">
        <f t="shared" si="5"/>
        <v>0</v>
      </c>
    </row>
    <row r="57" spans="1:44" ht="15.75" customHeight="1" thickBot="1" x14ac:dyDescent="0.4">
      <c r="A57" s="833"/>
      <c r="B57" s="822"/>
      <c r="C57" s="44" t="s">
        <v>307</v>
      </c>
      <c r="D57" s="104">
        <v>32</v>
      </c>
      <c r="E57" s="45">
        <v>32</v>
      </c>
      <c r="F57" s="45">
        <f t="shared" si="1"/>
        <v>0</v>
      </c>
      <c r="G57" s="45">
        <v>0</v>
      </c>
      <c r="H57" s="45">
        <f t="shared" si="2"/>
        <v>0</v>
      </c>
      <c r="I57" s="45">
        <f t="shared" si="3"/>
        <v>32</v>
      </c>
      <c r="J57" s="110">
        <f t="shared" si="4"/>
        <v>0</v>
      </c>
      <c r="K57" s="659"/>
      <c r="L57" s="832"/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657">
        <v>0</v>
      </c>
      <c r="S57" s="657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349"/>
      <c r="AR57" s="348">
        <f t="shared" si="5"/>
        <v>0</v>
      </c>
    </row>
    <row r="58" spans="1:44" ht="15.75" customHeight="1" thickBot="1" x14ac:dyDescent="0.4">
      <c r="A58" s="831">
        <v>13</v>
      </c>
      <c r="B58" s="821" t="s">
        <v>308</v>
      </c>
      <c r="C58" s="44" t="s">
        <v>309</v>
      </c>
      <c r="D58" s="104">
        <v>32</v>
      </c>
      <c r="E58" s="45">
        <v>32</v>
      </c>
      <c r="F58" s="45">
        <f t="shared" si="1"/>
        <v>0</v>
      </c>
      <c r="G58" s="45">
        <v>32</v>
      </c>
      <c r="H58" s="45">
        <f t="shared" si="2"/>
        <v>32</v>
      </c>
      <c r="I58" s="45">
        <f t="shared" si="3"/>
        <v>0</v>
      </c>
      <c r="J58" s="110">
        <f t="shared" si="4"/>
        <v>100</v>
      </c>
      <c r="K58" s="659"/>
      <c r="L58" s="832"/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657">
        <v>0</v>
      </c>
      <c r="S58" s="657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349"/>
      <c r="AR58" s="348">
        <f t="shared" si="5"/>
        <v>0</v>
      </c>
    </row>
    <row r="59" spans="1:44" ht="15.75" customHeight="1" thickBot="1" x14ac:dyDescent="0.4">
      <c r="A59" s="833"/>
      <c r="B59" s="822"/>
      <c r="C59" s="337" t="s">
        <v>310</v>
      </c>
      <c r="D59" s="293">
        <v>94</v>
      </c>
      <c r="E59" s="48">
        <v>94</v>
      </c>
      <c r="F59" s="45">
        <f t="shared" si="1"/>
        <v>0</v>
      </c>
      <c r="G59" s="48">
        <v>94</v>
      </c>
      <c r="H59" s="45">
        <f t="shared" si="2"/>
        <v>94</v>
      </c>
      <c r="I59" s="45">
        <f t="shared" si="3"/>
        <v>0</v>
      </c>
      <c r="J59" s="110">
        <f t="shared" si="4"/>
        <v>100</v>
      </c>
      <c r="K59" s="659"/>
      <c r="L59" s="832"/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657">
        <v>0</v>
      </c>
      <c r="S59" s="657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349"/>
      <c r="AR59" s="348">
        <f t="shared" si="5"/>
        <v>0</v>
      </c>
    </row>
    <row r="60" spans="1:44" ht="15.65" customHeight="1" thickBot="1" x14ac:dyDescent="0.4">
      <c r="A60" s="847">
        <v>14</v>
      </c>
      <c r="B60" s="821" t="s">
        <v>311</v>
      </c>
      <c r="C60" s="337" t="s">
        <v>312</v>
      </c>
      <c r="D60" s="293">
        <v>96</v>
      </c>
      <c r="E60" s="48">
        <v>96</v>
      </c>
      <c r="F60" s="45">
        <f t="shared" si="1"/>
        <v>0</v>
      </c>
      <c r="G60" s="48">
        <v>96</v>
      </c>
      <c r="H60" s="45">
        <f t="shared" si="2"/>
        <v>96</v>
      </c>
      <c r="I60" s="45">
        <f t="shared" si="3"/>
        <v>0</v>
      </c>
      <c r="J60" s="110">
        <f t="shared" si="4"/>
        <v>100</v>
      </c>
      <c r="K60" s="659"/>
      <c r="L60" s="832"/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657">
        <v>0</v>
      </c>
      <c r="S60" s="657">
        <v>0</v>
      </c>
      <c r="T60" s="45">
        <v>0</v>
      </c>
      <c r="U60" s="45">
        <v>0</v>
      </c>
      <c r="V60" s="45">
        <v>0</v>
      </c>
      <c r="W60" s="45">
        <v>0</v>
      </c>
      <c r="X60" s="45">
        <v>0</v>
      </c>
      <c r="Y60" s="45">
        <v>0</v>
      </c>
      <c r="Z60" s="45">
        <v>0</v>
      </c>
      <c r="AA60" s="45">
        <v>0</v>
      </c>
      <c r="AB60" s="45">
        <v>0</v>
      </c>
      <c r="AC60" s="45">
        <v>0</v>
      </c>
      <c r="AD60" s="45">
        <v>0</v>
      </c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349"/>
      <c r="AR60" s="348">
        <f t="shared" si="5"/>
        <v>0</v>
      </c>
    </row>
    <row r="61" spans="1:44" ht="15.65" customHeight="1" thickBot="1" x14ac:dyDescent="0.4">
      <c r="A61" s="848"/>
      <c r="B61" s="823"/>
      <c r="C61" s="337" t="s">
        <v>313</v>
      </c>
      <c r="D61" s="293">
        <v>326</v>
      </c>
      <c r="E61" s="48">
        <v>326</v>
      </c>
      <c r="F61" s="45">
        <f t="shared" si="1"/>
        <v>0</v>
      </c>
      <c r="G61" s="48">
        <v>326</v>
      </c>
      <c r="H61" s="45">
        <f t="shared" si="2"/>
        <v>326</v>
      </c>
      <c r="I61" s="45">
        <f t="shared" si="3"/>
        <v>0</v>
      </c>
      <c r="J61" s="110">
        <f t="shared" si="4"/>
        <v>100</v>
      </c>
      <c r="K61" s="659"/>
      <c r="L61" s="832"/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657">
        <v>0</v>
      </c>
      <c r="S61" s="657">
        <v>0</v>
      </c>
      <c r="T61" s="45">
        <v>0</v>
      </c>
      <c r="U61" s="45">
        <v>0</v>
      </c>
      <c r="V61" s="45">
        <v>0</v>
      </c>
      <c r="W61" s="45">
        <v>0</v>
      </c>
      <c r="X61" s="45">
        <v>0</v>
      </c>
      <c r="Y61" s="45">
        <v>0</v>
      </c>
      <c r="Z61" s="45">
        <v>0</v>
      </c>
      <c r="AA61" s="45">
        <v>0</v>
      </c>
      <c r="AB61" s="45">
        <v>0</v>
      </c>
      <c r="AC61" s="45">
        <v>0</v>
      </c>
      <c r="AD61" s="45">
        <v>0</v>
      </c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349"/>
      <c r="AR61" s="348">
        <f t="shared" si="5"/>
        <v>0</v>
      </c>
    </row>
    <row r="62" spans="1:44" ht="15.65" customHeight="1" thickBot="1" x14ac:dyDescent="0.4">
      <c r="A62" s="848"/>
      <c r="B62" s="823"/>
      <c r="C62" s="337" t="s">
        <v>314</v>
      </c>
      <c r="D62" s="293">
        <v>6</v>
      </c>
      <c r="E62" s="48">
        <v>6</v>
      </c>
      <c r="F62" s="45">
        <f t="shared" si="1"/>
        <v>0</v>
      </c>
      <c r="G62" s="48">
        <v>0</v>
      </c>
      <c r="H62" s="45">
        <f t="shared" si="2"/>
        <v>0</v>
      </c>
      <c r="I62" s="45">
        <f t="shared" si="3"/>
        <v>6</v>
      </c>
      <c r="J62" s="110">
        <f t="shared" si="4"/>
        <v>0</v>
      </c>
      <c r="K62" s="659"/>
      <c r="L62" s="832"/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657">
        <v>0</v>
      </c>
      <c r="S62" s="657">
        <v>0</v>
      </c>
      <c r="T62" s="45">
        <v>0</v>
      </c>
      <c r="U62" s="45">
        <v>0</v>
      </c>
      <c r="V62" s="45">
        <v>0</v>
      </c>
      <c r="W62" s="45">
        <v>0</v>
      </c>
      <c r="X62" s="45">
        <v>0</v>
      </c>
      <c r="Y62" s="45">
        <v>0</v>
      </c>
      <c r="Z62" s="45">
        <v>0</v>
      </c>
      <c r="AA62" s="45">
        <v>0</v>
      </c>
      <c r="AB62" s="45">
        <v>0</v>
      </c>
      <c r="AC62" s="45">
        <v>0</v>
      </c>
      <c r="AD62" s="45">
        <v>0</v>
      </c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349"/>
      <c r="AR62" s="348">
        <f t="shared" si="5"/>
        <v>0</v>
      </c>
    </row>
    <row r="63" spans="1:44" ht="15.65" customHeight="1" thickBot="1" x14ac:dyDescent="0.4">
      <c r="A63" s="849"/>
      <c r="B63" s="822"/>
      <c r="C63" s="337" t="s">
        <v>315</v>
      </c>
      <c r="D63" s="293">
        <v>36</v>
      </c>
      <c r="E63" s="48">
        <v>36</v>
      </c>
      <c r="F63" s="45">
        <f t="shared" si="1"/>
        <v>0</v>
      </c>
      <c r="G63" s="48">
        <v>0</v>
      </c>
      <c r="H63" s="45">
        <f t="shared" si="2"/>
        <v>0</v>
      </c>
      <c r="I63" s="45">
        <f t="shared" si="3"/>
        <v>36</v>
      </c>
      <c r="J63" s="110">
        <f t="shared" si="4"/>
        <v>0</v>
      </c>
      <c r="K63" s="659"/>
      <c r="L63" s="832"/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657">
        <v>0</v>
      </c>
      <c r="S63" s="657">
        <v>0</v>
      </c>
      <c r="T63" s="45">
        <v>0</v>
      </c>
      <c r="U63" s="45">
        <v>0</v>
      </c>
      <c r="V63" s="45">
        <v>0</v>
      </c>
      <c r="W63" s="45">
        <v>0</v>
      </c>
      <c r="X63" s="45">
        <v>0</v>
      </c>
      <c r="Y63" s="45">
        <v>0</v>
      </c>
      <c r="Z63" s="45">
        <v>0</v>
      </c>
      <c r="AA63" s="45">
        <v>0</v>
      </c>
      <c r="AB63" s="45">
        <v>0</v>
      </c>
      <c r="AC63" s="45">
        <v>0</v>
      </c>
      <c r="AD63" s="45">
        <v>0</v>
      </c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349"/>
      <c r="AR63" s="348">
        <f t="shared" si="5"/>
        <v>0</v>
      </c>
    </row>
    <row r="64" spans="1:44" ht="15.75" customHeight="1" thickBot="1" x14ac:dyDescent="0.4">
      <c r="A64" s="846">
        <v>15</v>
      </c>
      <c r="B64" s="821" t="s">
        <v>316</v>
      </c>
      <c r="C64" s="337" t="s">
        <v>317</v>
      </c>
      <c r="D64" s="293">
        <v>66</v>
      </c>
      <c r="E64" s="48">
        <v>66</v>
      </c>
      <c r="F64" s="45">
        <f t="shared" si="1"/>
        <v>0</v>
      </c>
      <c r="G64" s="48">
        <v>66</v>
      </c>
      <c r="H64" s="45">
        <f t="shared" si="2"/>
        <v>66</v>
      </c>
      <c r="I64" s="45">
        <f t="shared" si="3"/>
        <v>0</v>
      </c>
      <c r="J64" s="110">
        <f t="shared" si="4"/>
        <v>100</v>
      </c>
      <c r="K64" s="659"/>
      <c r="L64" s="832"/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657">
        <v>0</v>
      </c>
      <c r="S64" s="657">
        <v>0</v>
      </c>
      <c r="T64" s="45">
        <v>0</v>
      </c>
      <c r="U64" s="45">
        <v>0</v>
      </c>
      <c r="V64" s="45">
        <v>0</v>
      </c>
      <c r="W64" s="45">
        <v>0</v>
      </c>
      <c r="X64" s="45">
        <v>0</v>
      </c>
      <c r="Y64" s="45">
        <v>0</v>
      </c>
      <c r="Z64" s="45">
        <v>0</v>
      </c>
      <c r="AA64" s="45">
        <v>0</v>
      </c>
      <c r="AB64" s="45">
        <v>0</v>
      </c>
      <c r="AC64" s="45">
        <v>0</v>
      </c>
      <c r="AD64" s="45">
        <v>0</v>
      </c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349"/>
      <c r="AR64" s="348">
        <f t="shared" si="5"/>
        <v>0</v>
      </c>
    </row>
    <row r="65" spans="1:44" ht="15.75" customHeight="1" thickBot="1" x14ac:dyDescent="0.4">
      <c r="A65" s="846"/>
      <c r="B65" s="823"/>
      <c r="C65" s="337" t="s">
        <v>318</v>
      </c>
      <c r="D65" s="293">
        <v>121</v>
      </c>
      <c r="E65" s="48">
        <v>121</v>
      </c>
      <c r="F65" s="45">
        <f t="shared" si="1"/>
        <v>0</v>
      </c>
      <c r="G65" s="48">
        <v>22</v>
      </c>
      <c r="H65" s="45">
        <f t="shared" si="2"/>
        <v>22</v>
      </c>
      <c r="I65" s="45">
        <f t="shared" si="3"/>
        <v>99</v>
      </c>
      <c r="J65" s="110">
        <f t="shared" si="4"/>
        <v>18.181818181818183</v>
      </c>
      <c r="K65" s="659"/>
      <c r="L65" s="832"/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657">
        <v>0</v>
      </c>
      <c r="S65" s="657">
        <v>0</v>
      </c>
      <c r="T65" s="45">
        <v>0</v>
      </c>
      <c r="U65" s="45">
        <v>0</v>
      </c>
      <c r="V65" s="45">
        <v>0</v>
      </c>
      <c r="W65" s="45">
        <v>0</v>
      </c>
      <c r="X65" s="45">
        <v>0</v>
      </c>
      <c r="Y65" s="45">
        <v>0</v>
      </c>
      <c r="Z65" s="45">
        <v>0</v>
      </c>
      <c r="AA65" s="45">
        <v>0</v>
      </c>
      <c r="AB65" s="45">
        <v>0</v>
      </c>
      <c r="AC65" s="45">
        <v>0</v>
      </c>
      <c r="AD65" s="45">
        <v>0</v>
      </c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349"/>
      <c r="AR65" s="348">
        <f t="shared" si="5"/>
        <v>0</v>
      </c>
    </row>
    <row r="66" spans="1:44" ht="15.75" customHeight="1" thickBot="1" x14ac:dyDescent="0.4">
      <c r="A66" s="846"/>
      <c r="B66" s="823"/>
      <c r="C66" s="337" t="s">
        <v>319</v>
      </c>
      <c r="D66" s="293">
        <v>51</v>
      </c>
      <c r="E66" s="48">
        <v>51</v>
      </c>
      <c r="F66" s="45">
        <f t="shared" si="1"/>
        <v>0</v>
      </c>
      <c r="G66" s="48">
        <v>62</v>
      </c>
      <c r="H66" s="45">
        <f t="shared" si="2"/>
        <v>62</v>
      </c>
      <c r="I66" s="45">
        <f t="shared" si="3"/>
        <v>-11</v>
      </c>
      <c r="J66" s="110">
        <f t="shared" si="4"/>
        <v>121.56862745098039</v>
      </c>
      <c r="K66" s="659"/>
      <c r="L66" s="832"/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657">
        <v>0</v>
      </c>
      <c r="S66" s="657">
        <v>0</v>
      </c>
      <c r="T66" s="45">
        <v>0</v>
      </c>
      <c r="U66" s="45">
        <v>0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  <c r="AB66" s="45">
        <v>0</v>
      </c>
      <c r="AC66" s="45">
        <v>0</v>
      </c>
      <c r="AD66" s="45">
        <v>0</v>
      </c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349"/>
      <c r="AR66" s="348">
        <f t="shared" si="5"/>
        <v>0</v>
      </c>
    </row>
    <row r="67" spans="1:44" ht="15.75" customHeight="1" thickBot="1" x14ac:dyDescent="0.4">
      <c r="A67" s="846"/>
      <c r="B67" s="822"/>
      <c r="C67" s="337" t="s">
        <v>320</v>
      </c>
      <c r="D67" s="293">
        <v>70</v>
      </c>
      <c r="E67" s="48">
        <v>33</v>
      </c>
      <c r="F67" s="45">
        <f t="shared" si="1"/>
        <v>37</v>
      </c>
      <c r="G67" s="48">
        <v>0</v>
      </c>
      <c r="H67" s="45">
        <f t="shared" si="2"/>
        <v>0</v>
      </c>
      <c r="I67" s="45">
        <f t="shared" si="3"/>
        <v>70</v>
      </c>
      <c r="J67" s="110">
        <f t="shared" si="4"/>
        <v>0</v>
      </c>
      <c r="K67" s="659"/>
      <c r="L67" s="832"/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657">
        <v>0</v>
      </c>
      <c r="S67" s="657">
        <v>0</v>
      </c>
      <c r="T67" s="45">
        <v>0</v>
      </c>
      <c r="U67" s="45">
        <v>0</v>
      </c>
      <c r="V67" s="45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  <c r="AB67" s="45">
        <v>0</v>
      </c>
      <c r="AC67" s="45">
        <v>0</v>
      </c>
      <c r="AD67" s="45">
        <v>0</v>
      </c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349"/>
      <c r="AR67" s="348">
        <f t="shared" si="5"/>
        <v>0</v>
      </c>
    </row>
    <row r="68" spans="1:44" ht="15.65" customHeight="1" thickBot="1" x14ac:dyDescent="0.4">
      <c r="A68" s="335">
        <v>16</v>
      </c>
      <c r="B68" s="337" t="s">
        <v>321</v>
      </c>
      <c r="C68" s="337" t="s">
        <v>321</v>
      </c>
      <c r="D68" s="293">
        <v>66</v>
      </c>
      <c r="E68" s="48">
        <v>66</v>
      </c>
      <c r="F68" s="48">
        <f t="shared" si="1"/>
        <v>0</v>
      </c>
      <c r="G68" s="48">
        <v>66</v>
      </c>
      <c r="H68" s="48">
        <f t="shared" si="2"/>
        <v>66</v>
      </c>
      <c r="I68" s="48">
        <f t="shared" si="3"/>
        <v>0</v>
      </c>
      <c r="J68" s="159">
        <f t="shared" si="4"/>
        <v>100</v>
      </c>
      <c r="K68" s="659"/>
      <c r="L68" s="832"/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657">
        <v>0</v>
      </c>
      <c r="S68" s="657">
        <v>0</v>
      </c>
      <c r="T68" s="45">
        <v>0</v>
      </c>
      <c r="U68" s="45">
        <v>0</v>
      </c>
      <c r="V68" s="45">
        <v>0</v>
      </c>
      <c r="W68" s="45">
        <v>0</v>
      </c>
      <c r="X68" s="45">
        <v>0</v>
      </c>
      <c r="Y68" s="45">
        <v>0</v>
      </c>
      <c r="Z68" s="45">
        <v>0</v>
      </c>
      <c r="AA68" s="45">
        <v>0</v>
      </c>
      <c r="AB68" s="45">
        <v>0</v>
      </c>
      <c r="AC68" s="45">
        <v>0</v>
      </c>
      <c r="AD68" s="45">
        <v>0</v>
      </c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349"/>
      <c r="AR68" s="348">
        <f t="shared" si="5"/>
        <v>0</v>
      </c>
    </row>
    <row r="69" spans="1:44" ht="15.65" customHeight="1" thickBot="1" x14ac:dyDescent="0.4">
      <c r="A69" s="335">
        <v>17</v>
      </c>
      <c r="B69" s="338" t="s">
        <v>322</v>
      </c>
      <c r="C69" s="338" t="s">
        <v>323</v>
      </c>
      <c r="D69" s="332">
        <v>25</v>
      </c>
      <c r="E69" s="334">
        <v>25</v>
      </c>
      <c r="F69" s="334">
        <v>0</v>
      </c>
      <c r="G69" s="334">
        <v>25</v>
      </c>
      <c r="H69" s="334">
        <f>G69+AR69</f>
        <v>25</v>
      </c>
      <c r="I69" s="334"/>
      <c r="J69" s="333"/>
      <c r="K69" s="659"/>
      <c r="L69" s="833"/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657">
        <v>0</v>
      </c>
      <c r="S69" s="657">
        <v>0</v>
      </c>
      <c r="T69" s="45">
        <v>0</v>
      </c>
      <c r="U69" s="45">
        <v>0</v>
      </c>
      <c r="V69" s="45">
        <v>0</v>
      </c>
      <c r="W69" s="45">
        <v>0</v>
      </c>
      <c r="X69" s="45">
        <v>0</v>
      </c>
      <c r="Y69" s="45">
        <v>0</v>
      </c>
      <c r="Z69" s="45">
        <v>0</v>
      </c>
      <c r="AA69" s="45">
        <v>0</v>
      </c>
      <c r="AB69" s="45">
        <v>0</v>
      </c>
      <c r="AC69" s="45">
        <v>0</v>
      </c>
      <c r="AD69" s="45">
        <v>0</v>
      </c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349"/>
      <c r="AR69" s="348">
        <f t="shared" si="5"/>
        <v>0</v>
      </c>
    </row>
    <row r="70" spans="1:44" ht="16" customHeight="1" thickBot="1" x14ac:dyDescent="0.4">
      <c r="A70" s="86"/>
      <c r="B70" s="726"/>
      <c r="C70" s="87" t="s">
        <v>324</v>
      </c>
      <c r="D70" s="87">
        <f>SUM(D3:D69)</f>
        <v>8678</v>
      </c>
      <c r="E70" s="90">
        <f>SUM(E3:E69)</f>
        <v>8554</v>
      </c>
      <c r="F70" s="90">
        <f>D70-E70</f>
        <v>124</v>
      </c>
      <c r="G70" s="90">
        <f>SUM(G3:G69)</f>
        <v>8255</v>
      </c>
      <c r="H70" s="90">
        <f>G70+AR70</f>
        <v>8290</v>
      </c>
      <c r="I70" s="90">
        <f t="shared" si="3"/>
        <v>388</v>
      </c>
      <c r="J70" s="91">
        <f t="shared" si="4"/>
        <v>95.52892371514173</v>
      </c>
      <c r="K70" s="659"/>
      <c r="L70" s="350">
        <f>L3</f>
        <v>100</v>
      </c>
      <c r="M70" s="351">
        <f>SUM(M3:M69)</f>
        <v>0</v>
      </c>
      <c r="N70" s="351">
        <f t="shared" ref="N70:AQ70" si="6">SUM(N3:N69)</f>
        <v>6</v>
      </c>
      <c r="O70" s="351">
        <f t="shared" si="6"/>
        <v>6</v>
      </c>
      <c r="P70" s="351">
        <f t="shared" si="6"/>
        <v>0</v>
      </c>
      <c r="Q70" s="351">
        <f t="shared" si="6"/>
        <v>2</v>
      </c>
      <c r="R70" s="351">
        <f t="shared" si="6"/>
        <v>4</v>
      </c>
      <c r="S70" s="351">
        <f t="shared" si="6"/>
        <v>4</v>
      </c>
      <c r="T70" s="351">
        <f t="shared" si="6"/>
        <v>0</v>
      </c>
      <c r="U70" s="351">
        <f t="shared" si="6"/>
        <v>0</v>
      </c>
      <c r="V70" s="351">
        <f t="shared" si="6"/>
        <v>4</v>
      </c>
      <c r="W70" s="351">
        <f t="shared" si="6"/>
        <v>0</v>
      </c>
      <c r="X70" s="351">
        <f t="shared" si="6"/>
        <v>4</v>
      </c>
      <c r="Y70" s="351">
        <f t="shared" si="6"/>
        <v>2</v>
      </c>
      <c r="Z70" s="351">
        <f t="shared" si="6"/>
        <v>8</v>
      </c>
      <c r="AA70" s="351">
        <f t="shared" si="6"/>
        <v>3</v>
      </c>
      <c r="AB70" s="351">
        <f t="shared" si="6"/>
        <v>1</v>
      </c>
      <c r="AC70" s="351">
        <f t="shared" si="6"/>
        <v>0</v>
      </c>
      <c r="AD70" s="351">
        <f t="shared" si="6"/>
        <v>0</v>
      </c>
      <c r="AE70" s="351">
        <f t="shared" si="6"/>
        <v>0</v>
      </c>
      <c r="AF70" s="351">
        <f t="shared" si="6"/>
        <v>0</v>
      </c>
      <c r="AG70" s="351">
        <f t="shared" si="6"/>
        <v>0</v>
      </c>
      <c r="AH70" s="351">
        <f t="shared" si="6"/>
        <v>0</v>
      </c>
      <c r="AI70" s="351">
        <f t="shared" si="6"/>
        <v>0</v>
      </c>
      <c r="AJ70" s="351">
        <f t="shared" si="6"/>
        <v>0</v>
      </c>
      <c r="AK70" s="351">
        <f t="shared" si="6"/>
        <v>0</v>
      </c>
      <c r="AL70" s="351">
        <f t="shared" si="6"/>
        <v>0</v>
      </c>
      <c r="AM70" s="351">
        <f t="shared" si="6"/>
        <v>0</v>
      </c>
      <c r="AN70" s="351">
        <f t="shared" si="6"/>
        <v>0</v>
      </c>
      <c r="AO70" s="351">
        <f t="shared" si="6"/>
        <v>0</v>
      </c>
      <c r="AP70" s="351">
        <f t="shared" si="6"/>
        <v>0</v>
      </c>
      <c r="AQ70" s="351">
        <f t="shared" si="6"/>
        <v>0</v>
      </c>
      <c r="AR70" s="351">
        <f>SUM(AR3:AR69)</f>
        <v>35</v>
      </c>
    </row>
    <row r="71" spans="1:44" ht="20.5" thickBot="1" x14ac:dyDescent="0.45">
      <c r="A71" s="839" t="s">
        <v>325</v>
      </c>
      <c r="B71" s="840"/>
      <c r="C71" s="840"/>
      <c r="D71" s="840"/>
      <c r="E71" s="840"/>
      <c r="F71" s="840"/>
      <c r="G71" s="840"/>
      <c r="H71" s="840"/>
      <c r="I71" s="840"/>
      <c r="J71" s="841"/>
      <c r="K71" s="659"/>
      <c r="L71" s="816">
        <v>44826</v>
      </c>
      <c r="M71" s="817"/>
      <c r="N71" s="817"/>
      <c r="O71" s="817"/>
      <c r="P71" s="817"/>
      <c r="Q71" s="817"/>
      <c r="R71" s="817"/>
      <c r="S71" s="817"/>
      <c r="T71" s="817"/>
      <c r="U71" s="817"/>
      <c r="V71" s="817"/>
      <c r="W71" s="817"/>
      <c r="X71" s="817"/>
      <c r="Y71" s="817"/>
      <c r="Z71" s="817"/>
      <c r="AA71" s="817"/>
      <c r="AB71" s="817"/>
      <c r="AC71" s="817"/>
      <c r="AD71" s="817"/>
      <c r="AE71" s="817"/>
      <c r="AF71" s="817"/>
      <c r="AG71" s="817"/>
      <c r="AH71" s="817"/>
      <c r="AI71" s="817"/>
      <c r="AJ71" s="817"/>
      <c r="AK71" s="817"/>
      <c r="AL71" s="817"/>
      <c r="AM71" s="817"/>
      <c r="AN71" s="817"/>
      <c r="AO71" s="817"/>
      <c r="AP71" s="817"/>
      <c r="AQ71" s="818"/>
      <c r="AR71" s="819"/>
    </row>
    <row r="72" spans="1:44" ht="93.65" customHeight="1" thickBot="1" x14ac:dyDescent="0.4">
      <c r="A72" s="341" t="s">
        <v>234</v>
      </c>
      <c r="B72" s="727" t="s">
        <v>181</v>
      </c>
      <c r="C72" s="342" t="s">
        <v>235</v>
      </c>
      <c r="D72" s="672" t="s">
        <v>326</v>
      </c>
      <c r="E72" s="673" t="s">
        <v>237</v>
      </c>
      <c r="F72" s="672" t="s">
        <v>238</v>
      </c>
      <c r="G72" s="341" t="s">
        <v>239</v>
      </c>
      <c r="H72" s="674" t="s">
        <v>240</v>
      </c>
      <c r="I72" s="343" t="s">
        <v>241</v>
      </c>
      <c r="J72" s="675" t="s">
        <v>242</v>
      </c>
      <c r="K72" s="659"/>
      <c r="L72" s="341" t="s">
        <v>243</v>
      </c>
      <c r="M72" s="676">
        <f>M2</f>
        <v>44805</v>
      </c>
      <c r="N72" s="676">
        <f t="shared" ref="N72:AQ72" si="7">N2</f>
        <v>44806</v>
      </c>
      <c r="O72" s="676">
        <f t="shared" si="7"/>
        <v>44807</v>
      </c>
      <c r="P72" s="676">
        <f t="shared" si="7"/>
        <v>44808</v>
      </c>
      <c r="Q72" s="676">
        <f t="shared" si="7"/>
        <v>44809</v>
      </c>
      <c r="R72" s="676">
        <f t="shared" si="7"/>
        <v>44810</v>
      </c>
      <c r="S72" s="676">
        <f t="shared" si="7"/>
        <v>44811</v>
      </c>
      <c r="T72" s="676">
        <f t="shared" si="7"/>
        <v>44812</v>
      </c>
      <c r="U72" s="676">
        <f t="shared" si="7"/>
        <v>44813</v>
      </c>
      <c r="V72" s="676">
        <f t="shared" si="7"/>
        <v>44814</v>
      </c>
      <c r="W72" s="676">
        <f t="shared" si="7"/>
        <v>44815</v>
      </c>
      <c r="X72" s="676">
        <f t="shared" si="7"/>
        <v>44816</v>
      </c>
      <c r="Y72" s="676">
        <f t="shared" si="7"/>
        <v>44817</v>
      </c>
      <c r="Z72" s="676">
        <f t="shared" si="7"/>
        <v>44818</v>
      </c>
      <c r="AA72" s="676">
        <f t="shared" si="7"/>
        <v>44819</v>
      </c>
      <c r="AB72" s="676">
        <f t="shared" si="7"/>
        <v>44820</v>
      </c>
      <c r="AC72" s="676">
        <f t="shared" si="7"/>
        <v>44821</v>
      </c>
      <c r="AD72" s="676">
        <f t="shared" si="7"/>
        <v>44822</v>
      </c>
      <c r="AE72" s="676">
        <f t="shared" si="7"/>
        <v>44823</v>
      </c>
      <c r="AF72" s="676">
        <f t="shared" si="7"/>
        <v>44824</v>
      </c>
      <c r="AG72" s="676">
        <f t="shared" si="7"/>
        <v>44825</v>
      </c>
      <c r="AH72" s="676">
        <f t="shared" si="7"/>
        <v>44826</v>
      </c>
      <c r="AI72" s="676">
        <f t="shared" si="7"/>
        <v>44827</v>
      </c>
      <c r="AJ72" s="676">
        <f t="shared" si="7"/>
        <v>44828</v>
      </c>
      <c r="AK72" s="676">
        <f t="shared" si="7"/>
        <v>44829</v>
      </c>
      <c r="AL72" s="676">
        <f t="shared" si="7"/>
        <v>44830</v>
      </c>
      <c r="AM72" s="676">
        <f t="shared" si="7"/>
        <v>44831</v>
      </c>
      <c r="AN72" s="676">
        <f t="shared" si="7"/>
        <v>44832</v>
      </c>
      <c r="AO72" s="676">
        <f t="shared" si="7"/>
        <v>44833</v>
      </c>
      <c r="AP72" s="676">
        <f t="shared" si="7"/>
        <v>44834</v>
      </c>
      <c r="AQ72" s="676">
        <f t="shared" si="7"/>
        <v>44835</v>
      </c>
      <c r="AR72" s="675" t="s">
        <v>244</v>
      </c>
    </row>
    <row r="73" spans="1:44" ht="31.5" thickBot="1" x14ac:dyDescent="0.4">
      <c r="A73" s="850">
        <v>1</v>
      </c>
      <c r="B73" s="842" t="s">
        <v>327</v>
      </c>
      <c r="C73" s="677" t="s">
        <v>328</v>
      </c>
      <c r="D73" s="64">
        <v>9400</v>
      </c>
      <c r="E73" s="64">
        <v>9400</v>
      </c>
      <c r="F73" s="64">
        <f>D73-E73</f>
        <v>0</v>
      </c>
      <c r="G73" s="64">
        <v>9367</v>
      </c>
      <c r="H73" s="678">
        <f>G73+AR73</f>
        <v>9367</v>
      </c>
      <c r="I73" s="678">
        <f>D73-H73</f>
        <v>33</v>
      </c>
      <c r="J73" s="678">
        <f>H73/D73%</f>
        <v>99.648936170212764</v>
      </c>
      <c r="K73" s="670"/>
      <c r="L73" s="45"/>
      <c r="M73" s="64">
        <v>0</v>
      </c>
      <c r="N73" s="64">
        <v>0</v>
      </c>
      <c r="O73" s="64">
        <v>0</v>
      </c>
      <c r="P73" s="64">
        <v>0</v>
      </c>
      <c r="Q73" s="64">
        <v>0</v>
      </c>
      <c r="R73" s="148">
        <v>0</v>
      </c>
      <c r="S73" s="148">
        <v>0</v>
      </c>
      <c r="T73" s="148">
        <v>0</v>
      </c>
      <c r="U73" s="148">
        <v>0</v>
      </c>
      <c r="V73" s="148">
        <v>0</v>
      </c>
      <c r="W73" s="148">
        <v>0</v>
      </c>
      <c r="X73" s="148">
        <v>0</v>
      </c>
      <c r="Y73" s="148">
        <v>0</v>
      </c>
      <c r="Z73" s="148">
        <v>0</v>
      </c>
      <c r="AA73" s="148">
        <v>0</v>
      </c>
      <c r="AB73" s="148"/>
      <c r="AC73" s="148"/>
      <c r="AD73" s="148"/>
      <c r="AE73" s="148">
        <v>0</v>
      </c>
      <c r="AF73" s="45"/>
      <c r="AG73" s="45"/>
      <c r="AH73" s="688"/>
      <c r="AI73" s="688"/>
      <c r="AJ73" s="688"/>
      <c r="AK73" s="148"/>
      <c r="AL73" s="148"/>
      <c r="AM73" s="64"/>
      <c r="AN73" s="64"/>
      <c r="AO73" s="64"/>
      <c r="AP73" s="64"/>
      <c r="AQ73" s="347"/>
      <c r="AR73" s="348">
        <f>SUM(M73:AQ73)</f>
        <v>0</v>
      </c>
    </row>
    <row r="74" spans="1:44" ht="15.65" customHeight="1" thickBot="1" x14ac:dyDescent="0.4">
      <c r="A74" s="833"/>
      <c r="B74" s="826"/>
      <c r="C74" s="656" t="s">
        <v>329</v>
      </c>
      <c r="D74" s="148">
        <v>80</v>
      </c>
      <c r="E74" s="148">
        <v>80</v>
      </c>
      <c r="F74" s="148">
        <f t="shared" ref="F74:F155" si="8">D74-E74</f>
        <v>0</v>
      </c>
      <c r="G74" s="148">
        <v>75</v>
      </c>
      <c r="H74" s="162">
        <f t="shared" ref="H74:H138" si="9">G74+AR74</f>
        <v>75</v>
      </c>
      <c r="I74" s="162">
        <f t="shared" ref="I74:I154" si="10">D74-H74</f>
        <v>5</v>
      </c>
      <c r="J74" s="162">
        <f t="shared" ref="J74:J154" si="11">H74/D74%</f>
        <v>93.75</v>
      </c>
      <c r="K74" s="660"/>
      <c r="L74" s="45"/>
      <c r="M74" s="148">
        <v>0</v>
      </c>
      <c r="N74" s="148">
        <v>0</v>
      </c>
      <c r="O74" s="64">
        <v>0</v>
      </c>
      <c r="P74" s="64">
        <v>0</v>
      </c>
      <c r="Q74" s="148">
        <v>0</v>
      </c>
      <c r="R74" s="148">
        <v>0</v>
      </c>
      <c r="S74" s="148">
        <v>0</v>
      </c>
      <c r="T74" s="148">
        <v>0</v>
      </c>
      <c r="U74" s="148">
        <v>0</v>
      </c>
      <c r="V74" s="148">
        <v>0</v>
      </c>
      <c r="W74" s="148">
        <v>0</v>
      </c>
      <c r="X74" s="148">
        <v>0</v>
      </c>
      <c r="Y74" s="148">
        <v>0</v>
      </c>
      <c r="Z74" s="148">
        <v>0</v>
      </c>
      <c r="AA74" s="148">
        <v>0</v>
      </c>
      <c r="AB74" s="148">
        <v>0</v>
      </c>
      <c r="AC74" s="148">
        <v>0</v>
      </c>
      <c r="AD74" s="148">
        <v>0</v>
      </c>
      <c r="AE74" s="148">
        <v>0</v>
      </c>
      <c r="AF74" s="45"/>
      <c r="AG74" s="45"/>
      <c r="AH74" s="688"/>
      <c r="AI74" s="688"/>
      <c r="AJ74" s="688"/>
      <c r="AK74" s="148"/>
      <c r="AL74" s="148"/>
      <c r="AM74" s="148"/>
      <c r="AN74" s="148"/>
      <c r="AO74" s="148"/>
      <c r="AP74" s="148"/>
      <c r="AQ74" s="577"/>
      <c r="AR74" s="578">
        <f t="shared" ref="AR74:AR138" si="12">SUM(M74:AQ74)</f>
        <v>0</v>
      </c>
    </row>
    <row r="75" spans="1:44" ht="15.65" customHeight="1" thickBot="1" x14ac:dyDescent="0.4">
      <c r="A75" s="831">
        <v>2</v>
      </c>
      <c r="B75" s="824" t="s">
        <v>249</v>
      </c>
      <c r="C75" s="579" t="s">
        <v>330</v>
      </c>
      <c r="D75" s="45">
        <f>2850+335+275+23+6+21+5</f>
        <v>3515</v>
      </c>
      <c r="E75" s="45">
        <f>2850+335+275+23+6+21+5</f>
        <v>3515</v>
      </c>
      <c r="F75" s="148">
        <f t="shared" si="8"/>
        <v>0</v>
      </c>
      <c r="G75" s="45">
        <v>3515</v>
      </c>
      <c r="H75" s="162">
        <f t="shared" si="9"/>
        <v>3519</v>
      </c>
      <c r="I75" s="162">
        <f t="shared" si="10"/>
        <v>-4</v>
      </c>
      <c r="J75" s="162">
        <f t="shared" si="11"/>
        <v>100.11379800853486</v>
      </c>
      <c r="K75" s="660"/>
      <c r="L75" s="45"/>
      <c r="M75" s="148">
        <v>0</v>
      </c>
      <c r="N75" s="148">
        <v>0</v>
      </c>
      <c r="O75" s="64">
        <v>0</v>
      </c>
      <c r="P75" s="64">
        <v>0</v>
      </c>
      <c r="Q75" s="148">
        <v>0</v>
      </c>
      <c r="R75" s="148">
        <v>0</v>
      </c>
      <c r="S75" s="148">
        <v>0</v>
      </c>
      <c r="T75" s="148">
        <v>0</v>
      </c>
      <c r="U75" s="148">
        <v>0</v>
      </c>
      <c r="V75" s="148">
        <v>0</v>
      </c>
      <c r="W75" s="148">
        <v>0</v>
      </c>
      <c r="X75" s="148">
        <v>0</v>
      </c>
      <c r="Y75" s="148">
        <v>0</v>
      </c>
      <c r="Z75" s="148">
        <v>0</v>
      </c>
      <c r="AA75" s="148">
        <v>0</v>
      </c>
      <c r="AB75" s="148">
        <v>0</v>
      </c>
      <c r="AC75" s="148">
        <v>0</v>
      </c>
      <c r="AD75" s="148">
        <v>0</v>
      </c>
      <c r="AE75" s="148">
        <v>4</v>
      </c>
      <c r="AF75" s="45"/>
      <c r="AG75" s="45"/>
      <c r="AH75" s="688"/>
      <c r="AI75" s="688"/>
      <c r="AJ75" s="688"/>
      <c r="AK75" s="148"/>
      <c r="AL75" s="148"/>
      <c r="AM75" s="148"/>
      <c r="AN75" s="148"/>
      <c r="AO75" s="148"/>
      <c r="AP75" s="148"/>
      <c r="AQ75" s="577"/>
      <c r="AR75" s="578">
        <f t="shared" si="12"/>
        <v>4</v>
      </c>
    </row>
    <row r="76" spans="1:44" ht="15.75" customHeight="1" thickBot="1" x14ac:dyDescent="0.4">
      <c r="A76" s="832"/>
      <c r="B76" s="825"/>
      <c r="C76" s="579" t="s">
        <v>331</v>
      </c>
      <c r="D76" s="45">
        <v>17</v>
      </c>
      <c r="E76" s="45">
        <v>17</v>
      </c>
      <c r="F76" s="148">
        <f t="shared" si="8"/>
        <v>0</v>
      </c>
      <c r="G76" s="45">
        <v>17</v>
      </c>
      <c r="H76" s="162">
        <f t="shared" si="9"/>
        <v>17</v>
      </c>
      <c r="I76" s="162">
        <f t="shared" si="10"/>
        <v>0</v>
      </c>
      <c r="J76" s="162">
        <f t="shared" si="11"/>
        <v>99.999999999999986</v>
      </c>
      <c r="K76" s="660"/>
      <c r="L76" s="45"/>
      <c r="M76" s="148">
        <v>0</v>
      </c>
      <c r="N76" s="148">
        <v>0</v>
      </c>
      <c r="O76" s="64">
        <v>0</v>
      </c>
      <c r="P76" s="64">
        <v>0</v>
      </c>
      <c r="Q76" s="148">
        <v>0</v>
      </c>
      <c r="R76" s="148">
        <v>0</v>
      </c>
      <c r="S76" s="148">
        <v>0</v>
      </c>
      <c r="T76" s="148">
        <v>0</v>
      </c>
      <c r="U76" s="148">
        <v>0</v>
      </c>
      <c r="V76" s="148">
        <v>0</v>
      </c>
      <c r="W76" s="148">
        <v>0</v>
      </c>
      <c r="X76" s="148">
        <v>0</v>
      </c>
      <c r="Y76" s="148">
        <v>0</v>
      </c>
      <c r="Z76" s="148">
        <v>0</v>
      </c>
      <c r="AA76" s="148">
        <v>0</v>
      </c>
      <c r="AB76" s="148">
        <v>0</v>
      </c>
      <c r="AC76" s="148">
        <v>0</v>
      </c>
      <c r="AD76" s="148">
        <v>0</v>
      </c>
      <c r="AE76" s="148">
        <v>0</v>
      </c>
      <c r="AF76" s="45"/>
      <c r="AG76" s="45"/>
      <c r="AH76" s="688"/>
      <c r="AI76" s="688"/>
      <c r="AJ76" s="688"/>
      <c r="AK76" s="148"/>
      <c r="AL76" s="148"/>
      <c r="AM76" s="148"/>
      <c r="AN76" s="148"/>
      <c r="AO76" s="148"/>
      <c r="AP76" s="148"/>
      <c r="AQ76" s="577"/>
      <c r="AR76" s="578">
        <f t="shared" si="12"/>
        <v>0</v>
      </c>
    </row>
    <row r="77" spans="1:44" ht="15.65" customHeight="1" thickBot="1" x14ac:dyDescent="0.4">
      <c r="A77" s="832"/>
      <c r="B77" s="825"/>
      <c r="C77" s="579" t="s">
        <v>332</v>
      </c>
      <c r="D77" s="45">
        <v>254</v>
      </c>
      <c r="E77" s="45">
        <v>254</v>
      </c>
      <c r="F77" s="148">
        <f t="shared" si="8"/>
        <v>0</v>
      </c>
      <c r="G77" s="45">
        <v>225</v>
      </c>
      <c r="H77" s="162">
        <f t="shared" si="9"/>
        <v>225</v>
      </c>
      <c r="I77" s="162">
        <f t="shared" si="10"/>
        <v>29</v>
      </c>
      <c r="J77" s="162">
        <f t="shared" si="11"/>
        <v>88.582677165354326</v>
      </c>
      <c r="K77" s="660"/>
      <c r="L77" s="814">
        <v>120</v>
      </c>
      <c r="M77" s="148">
        <v>0</v>
      </c>
      <c r="N77" s="148">
        <v>0</v>
      </c>
      <c r="O77" s="64">
        <v>0</v>
      </c>
      <c r="P77" s="64">
        <v>0</v>
      </c>
      <c r="Q77" s="148">
        <v>0</v>
      </c>
      <c r="R77" s="148">
        <v>0</v>
      </c>
      <c r="S77" s="148">
        <v>0</v>
      </c>
      <c r="T77" s="148">
        <v>0</v>
      </c>
      <c r="U77" s="148">
        <v>0</v>
      </c>
      <c r="V77" s="148">
        <v>0</v>
      </c>
      <c r="W77" s="148">
        <v>0</v>
      </c>
      <c r="X77" s="148">
        <v>0</v>
      </c>
      <c r="Y77" s="148">
        <v>0</v>
      </c>
      <c r="Z77" s="148">
        <v>0</v>
      </c>
      <c r="AA77" s="148">
        <v>0</v>
      </c>
      <c r="AB77" s="148">
        <v>0</v>
      </c>
      <c r="AC77" s="148">
        <v>0</v>
      </c>
      <c r="AD77" s="148">
        <v>0</v>
      </c>
      <c r="AE77" s="148">
        <v>0</v>
      </c>
      <c r="AF77" s="45"/>
      <c r="AG77" s="45"/>
      <c r="AH77" s="688"/>
      <c r="AI77" s="688"/>
      <c r="AJ77" s="688"/>
      <c r="AK77" s="148"/>
      <c r="AL77" s="148"/>
      <c r="AM77" s="148"/>
      <c r="AN77" s="148"/>
      <c r="AO77" s="148"/>
      <c r="AP77" s="148"/>
      <c r="AQ77" s="577"/>
      <c r="AR77" s="578">
        <f t="shared" si="12"/>
        <v>0</v>
      </c>
    </row>
    <row r="78" spans="1:44" ht="15.65" customHeight="1" thickBot="1" x14ac:dyDescent="0.4">
      <c r="A78" s="832"/>
      <c r="B78" s="825"/>
      <c r="C78" s="579" t="s">
        <v>333</v>
      </c>
      <c r="D78" s="45">
        <v>254</v>
      </c>
      <c r="E78" s="45">
        <v>254</v>
      </c>
      <c r="F78" s="148">
        <f t="shared" si="8"/>
        <v>0</v>
      </c>
      <c r="G78" s="45">
        <v>192</v>
      </c>
      <c r="H78" s="162">
        <f t="shared" si="9"/>
        <v>192</v>
      </c>
      <c r="I78" s="162">
        <f t="shared" si="10"/>
        <v>62</v>
      </c>
      <c r="J78" s="162">
        <f t="shared" si="11"/>
        <v>75.590551181102356</v>
      </c>
      <c r="K78" s="660"/>
      <c r="L78" s="815"/>
      <c r="M78" s="148">
        <v>0</v>
      </c>
      <c r="N78" s="148">
        <v>0</v>
      </c>
      <c r="O78" s="64">
        <v>0</v>
      </c>
      <c r="P78" s="64">
        <v>0</v>
      </c>
      <c r="Q78" s="148">
        <v>0</v>
      </c>
      <c r="R78" s="148">
        <v>0</v>
      </c>
      <c r="S78" s="148">
        <v>0</v>
      </c>
      <c r="T78" s="148">
        <v>0</v>
      </c>
      <c r="U78" s="148">
        <v>0</v>
      </c>
      <c r="V78" s="148">
        <v>0</v>
      </c>
      <c r="W78" s="148">
        <v>0</v>
      </c>
      <c r="X78" s="148">
        <v>0</v>
      </c>
      <c r="Y78" s="148">
        <v>0</v>
      </c>
      <c r="Z78" s="148">
        <v>0</v>
      </c>
      <c r="AA78" s="148">
        <v>0</v>
      </c>
      <c r="AB78" s="148">
        <v>0</v>
      </c>
      <c r="AC78" s="148">
        <v>0</v>
      </c>
      <c r="AD78" s="148">
        <v>0</v>
      </c>
      <c r="AE78" s="148">
        <v>0</v>
      </c>
      <c r="AF78" s="45"/>
      <c r="AG78" s="45"/>
      <c r="AH78" s="688"/>
      <c r="AI78" s="688"/>
      <c r="AJ78" s="688"/>
      <c r="AK78" s="148"/>
      <c r="AL78" s="148"/>
      <c r="AM78" s="148"/>
      <c r="AN78" s="148"/>
      <c r="AO78" s="148"/>
      <c r="AP78" s="148"/>
      <c r="AQ78" s="577"/>
      <c r="AR78" s="578">
        <f t="shared" si="12"/>
        <v>0</v>
      </c>
    </row>
    <row r="79" spans="1:44" ht="15.65" customHeight="1" thickBot="1" x14ac:dyDescent="0.4">
      <c r="A79" s="832"/>
      <c r="B79" s="825"/>
      <c r="C79" s="579" t="s">
        <v>334</v>
      </c>
      <c r="D79" s="45">
        <v>254</v>
      </c>
      <c r="E79" s="45">
        <v>254</v>
      </c>
      <c r="F79" s="148">
        <f t="shared" si="8"/>
        <v>0</v>
      </c>
      <c r="G79" s="45">
        <v>0</v>
      </c>
      <c r="H79" s="162">
        <f t="shared" ref="H79" si="13">G79+AR79</f>
        <v>0</v>
      </c>
      <c r="I79" s="162">
        <f t="shared" ref="I79" si="14">D79-H79</f>
        <v>254</v>
      </c>
      <c r="J79" s="162">
        <f t="shared" ref="J79" si="15">H79/D79%</f>
        <v>0</v>
      </c>
      <c r="K79" s="660"/>
      <c r="L79" s="45"/>
      <c r="M79" s="148">
        <v>0</v>
      </c>
      <c r="N79" s="148">
        <v>0</v>
      </c>
      <c r="O79" s="64">
        <v>0</v>
      </c>
      <c r="P79" s="64">
        <v>0</v>
      </c>
      <c r="Q79" s="148">
        <v>0</v>
      </c>
      <c r="R79" s="148">
        <v>0</v>
      </c>
      <c r="S79" s="148">
        <v>0</v>
      </c>
      <c r="T79" s="148">
        <v>0</v>
      </c>
      <c r="U79" s="148">
        <v>0</v>
      </c>
      <c r="V79" s="148">
        <v>0</v>
      </c>
      <c r="W79" s="148">
        <v>0</v>
      </c>
      <c r="X79" s="148">
        <v>0</v>
      </c>
      <c r="Y79" s="148">
        <v>0</v>
      </c>
      <c r="Z79" s="148">
        <v>0</v>
      </c>
      <c r="AA79" s="148">
        <v>0</v>
      </c>
      <c r="AB79" s="148">
        <v>0</v>
      </c>
      <c r="AC79" s="148">
        <v>0</v>
      </c>
      <c r="AD79" s="148">
        <v>0</v>
      </c>
      <c r="AE79" s="148">
        <v>0</v>
      </c>
      <c r="AF79" s="45"/>
      <c r="AG79" s="45"/>
      <c r="AH79" s="688"/>
      <c r="AI79" s="688"/>
      <c r="AJ79" s="688"/>
      <c r="AK79" s="148"/>
      <c r="AL79" s="148"/>
      <c r="AM79" s="148"/>
      <c r="AN79" s="148"/>
      <c r="AO79" s="148"/>
      <c r="AP79" s="148"/>
      <c r="AQ79" s="577"/>
      <c r="AR79" s="578">
        <f t="shared" si="12"/>
        <v>0</v>
      </c>
    </row>
    <row r="80" spans="1:44" ht="15.65" customHeight="1" thickBot="1" x14ac:dyDescent="0.4">
      <c r="A80" s="832"/>
      <c r="B80" s="825"/>
      <c r="C80" s="579" t="s">
        <v>335</v>
      </c>
      <c r="D80" s="45">
        <f>30+45</f>
        <v>75</v>
      </c>
      <c r="E80" s="45">
        <f>30+45</f>
        <v>75</v>
      </c>
      <c r="F80" s="148">
        <f>D80-E80</f>
        <v>0</v>
      </c>
      <c r="G80" s="45">
        <v>40</v>
      </c>
      <c r="H80" s="162">
        <f t="shared" si="9"/>
        <v>40</v>
      </c>
      <c r="I80" s="162">
        <f>D80-H80</f>
        <v>35</v>
      </c>
      <c r="J80" s="162">
        <f>H80/D80%</f>
        <v>53.333333333333336</v>
      </c>
      <c r="K80" s="660"/>
      <c r="L80" s="45"/>
      <c r="M80" s="148">
        <v>0</v>
      </c>
      <c r="N80" s="148">
        <v>0</v>
      </c>
      <c r="O80" s="64">
        <v>0</v>
      </c>
      <c r="P80" s="64">
        <v>0</v>
      </c>
      <c r="Q80" s="148">
        <v>0</v>
      </c>
      <c r="R80" s="148">
        <v>0</v>
      </c>
      <c r="S80" s="148">
        <v>0</v>
      </c>
      <c r="T80" s="148">
        <v>0</v>
      </c>
      <c r="U80" s="148">
        <v>0</v>
      </c>
      <c r="V80" s="148">
        <v>0</v>
      </c>
      <c r="W80" s="148">
        <v>0</v>
      </c>
      <c r="X80" s="148">
        <v>0</v>
      </c>
      <c r="Y80" s="148">
        <v>0</v>
      </c>
      <c r="Z80" s="148">
        <v>0</v>
      </c>
      <c r="AA80" s="148">
        <v>0</v>
      </c>
      <c r="AB80" s="148">
        <v>0</v>
      </c>
      <c r="AC80" s="148">
        <v>0</v>
      </c>
      <c r="AD80" s="148">
        <v>0</v>
      </c>
      <c r="AE80" s="148">
        <v>0</v>
      </c>
      <c r="AF80" s="45"/>
      <c r="AG80" s="45"/>
      <c r="AH80" s="688"/>
      <c r="AI80" s="688"/>
      <c r="AJ80" s="688"/>
      <c r="AK80" s="148"/>
      <c r="AL80" s="148"/>
      <c r="AM80" s="148"/>
      <c r="AN80" s="148"/>
      <c r="AO80" s="148"/>
      <c r="AP80" s="148"/>
      <c r="AQ80" s="577"/>
      <c r="AR80" s="578">
        <f t="shared" si="12"/>
        <v>0</v>
      </c>
    </row>
    <row r="81" spans="1:44" ht="15.65" customHeight="1" thickBot="1" x14ac:dyDescent="0.4">
      <c r="A81" s="832"/>
      <c r="B81" s="825"/>
      <c r="C81" s="579" t="s">
        <v>336</v>
      </c>
      <c r="D81" s="45">
        <v>1200</v>
      </c>
      <c r="E81" s="45">
        <v>1200</v>
      </c>
      <c r="F81" s="148">
        <v>0</v>
      </c>
      <c r="G81" s="45">
        <v>0</v>
      </c>
      <c r="H81" s="162">
        <v>0</v>
      </c>
      <c r="I81" s="162">
        <v>0</v>
      </c>
      <c r="J81" s="162">
        <v>0</v>
      </c>
      <c r="K81" s="660"/>
      <c r="L81" s="45"/>
      <c r="M81" s="148">
        <v>0</v>
      </c>
      <c r="N81" s="148">
        <v>0</v>
      </c>
      <c r="O81" s="64">
        <v>0</v>
      </c>
      <c r="P81" s="64">
        <v>0</v>
      </c>
      <c r="Q81" s="148">
        <v>0</v>
      </c>
      <c r="R81" s="148">
        <v>0</v>
      </c>
      <c r="S81" s="148">
        <v>0</v>
      </c>
      <c r="T81" s="148">
        <v>0</v>
      </c>
      <c r="U81" s="148">
        <v>0</v>
      </c>
      <c r="V81" s="148">
        <v>0</v>
      </c>
      <c r="W81" s="148">
        <v>0</v>
      </c>
      <c r="X81" s="148">
        <v>0</v>
      </c>
      <c r="Y81" s="148">
        <v>0</v>
      </c>
      <c r="Z81" s="148">
        <v>0</v>
      </c>
      <c r="AA81" s="148">
        <v>0</v>
      </c>
      <c r="AB81" s="148">
        <v>0</v>
      </c>
      <c r="AC81" s="148">
        <v>0</v>
      </c>
      <c r="AD81" s="148">
        <v>0</v>
      </c>
      <c r="AE81" s="148">
        <v>0</v>
      </c>
      <c r="AF81" s="45"/>
      <c r="AG81" s="45"/>
      <c r="AH81" s="688"/>
      <c r="AI81" s="688"/>
      <c r="AJ81" s="688"/>
      <c r="AK81" s="148"/>
      <c r="AL81" s="148"/>
      <c r="AM81" s="148"/>
      <c r="AN81" s="148"/>
      <c r="AO81" s="148"/>
      <c r="AP81" s="148"/>
      <c r="AQ81" s="577"/>
      <c r="AR81" s="578">
        <f t="shared" si="12"/>
        <v>0</v>
      </c>
    </row>
    <row r="82" spans="1:44" ht="15.65" customHeight="1" thickBot="1" x14ac:dyDescent="0.4">
      <c r="A82" s="833"/>
      <c r="B82" s="826"/>
      <c r="C82" s="579" t="s">
        <v>337</v>
      </c>
      <c r="D82" s="45">
        <v>80</v>
      </c>
      <c r="E82" s="45">
        <v>80</v>
      </c>
      <c r="F82" s="148">
        <f t="shared" si="8"/>
        <v>0</v>
      </c>
      <c r="G82" s="45">
        <v>0</v>
      </c>
      <c r="H82" s="162">
        <f t="shared" si="9"/>
        <v>0</v>
      </c>
      <c r="I82" s="162">
        <f t="shared" si="10"/>
        <v>80</v>
      </c>
      <c r="J82" s="162">
        <f t="shared" si="11"/>
        <v>0</v>
      </c>
      <c r="K82" s="660"/>
      <c r="L82" s="45"/>
      <c r="M82" s="148">
        <v>0</v>
      </c>
      <c r="N82" s="148">
        <v>0</v>
      </c>
      <c r="O82" s="64">
        <v>0</v>
      </c>
      <c r="P82" s="64">
        <v>0</v>
      </c>
      <c r="Q82" s="148">
        <v>0</v>
      </c>
      <c r="R82" s="148">
        <v>0</v>
      </c>
      <c r="S82" s="148">
        <v>0</v>
      </c>
      <c r="T82" s="148">
        <v>0</v>
      </c>
      <c r="U82" s="148">
        <v>0</v>
      </c>
      <c r="V82" s="148">
        <v>0</v>
      </c>
      <c r="W82" s="148">
        <v>0</v>
      </c>
      <c r="X82" s="148">
        <v>0</v>
      </c>
      <c r="Y82" s="148">
        <v>0</v>
      </c>
      <c r="Z82" s="148">
        <v>0</v>
      </c>
      <c r="AA82" s="148">
        <v>0</v>
      </c>
      <c r="AB82" s="148">
        <v>0</v>
      </c>
      <c r="AC82" s="148">
        <v>0</v>
      </c>
      <c r="AD82" s="148">
        <v>0</v>
      </c>
      <c r="AE82" s="148">
        <v>0</v>
      </c>
      <c r="AF82" s="45"/>
      <c r="AG82" s="45"/>
      <c r="AH82" s="688"/>
      <c r="AI82" s="688"/>
      <c r="AJ82" s="688"/>
      <c r="AK82" s="148"/>
      <c r="AL82" s="148"/>
      <c r="AM82" s="148"/>
      <c r="AN82" s="148"/>
      <c r="AO82" s="148"/>
      <c r="AP82" s="148"/>
      <c r="AQ82" s="577"/>
      <c r="AR82" s="578">
        <f t="shared" si="12"/>
        <v>0</v>
      </c>
    </row>
    <row r="83" spans="1:44" ht="15.65" customHeight="1" thickBot="1" x14ac:dyDescent="0.4">
      <c r="A83" s="831">
        <v>3</v>
      </c>
      <c r="B83" s="824" t="s">
        <v>222</v>
      </c>
      <c r="C83" s="579" t="s">
        <v>338</v>
      </c>
      <c r="D83" s="45">
        <f>4690+260+128.5</f>
        <v>5078.5</v>
      </c>
      <c r="E83" s="45">
        <f>4690+260+128.5</f>
        <v>5078.5</v>
      </c>
      <c r="F83" s="148">
        <f t="shared" si="8"/>
        <v>0</v>
      </c>
      <c r="G83" s="45">
        <v>5078.5</v>
      </c>
      <c r="H83" s="162">
        <f t="shared" si="9"/>
        <v>5078.5</v>
      </c>
      <c r="I83" s="162">
        <f t="shared" si="10"/>
        <v>0</v>
      </c>
      <c r="J83" s="162">
        <f t="shared" si="11"/>
        <v>100</v>
      </c>
      <c r="K83" s="660"/>
      <c r="L83" s="45"/>
      <c r="M83" s="148">
        <v>0</v>
      </c>
      <c r="N83" s="148">
        <v>0</v>
      </c>
      <c r="O83" s="64">
        <v>0</v>
      </c>
      <c r="P83" s="64">
        <v>0</v>
      </c>
      <c r="Q83" s="148">
        <v>0</v>
      </c>
      <c r="R83" s="148">
        <v>0</v>
      </c>
      <c r="S83" s="148">
        <v>0</v>
      </c>
      <c r="T83" s="148">
        <v>0</v>
      </c>
      <c r="U83" s="148">
        <v>0</v>
      </c>
      <c r="V83" s="148">
        <v>0</v>
      </c>
      <c r="W83" s="148">
        <v>0</v>
      </c>
      <c r="X83" s="148">
        <v>0</v>
      </c>
      <c r="Y83" s="148">
        <v>0</v>
      </c>
      <c r="Z83" s="148">
        <v>0</v>
      </c>
      <c r="AA83" s="148">
        <v>0</v>
      </c>
      <c r="AB83" s="148">
        <v>0</v>
      </c>
      <c r="AC83" s="148">
        <v>0</v>
      </c>
      <c r="AD83" s="148">
        <v>0</v>
      </c>
      <c r="AE83" s="148">
        <v>0</v>
      </c>
      <c r="AF83" s="45"/>
      <c r="AG83" s="45"/>
      <c r="AH83" s="688"/>
      <c r="AI83" s="688"/>
      <c r="AJ83" s="688"/>
      <c r="AK83" s="148"/>
      <c r="AL83" s="148"/>
      <c r="AM83" s="148"/>
      <c r="AN83" s="148"/>
      <c r="AO83" s="148"/>
      <c r="AP83" s="148"/>
      <c r="AQ83" s="577"/>
      <c r="AR83" s="578">
        <f t="shared" si="12"/>
        <v>0</v>
      </c>
    </row>
    <row r="84" spans="1:44" ht="15.65" customHeight="1" thickBot="1" x14ac:dyDescent="0.4">
      <c r="A84" s="832"/>
      <c r="B84" s="825"/>
      <c r="C84" s="579" t="s">
        <v>339</v>
      </c>
      <c r="D84" s="45">
        <f>418</f>
        <v>418</v>
      </c>
      <c r="E84" s="45">
        <f>418</f>
        <v>418</v>
      </c>
      <c r="F84" s="148">
        <f t="shared" si="8"/>
        <v>0</v>
      </c>
      <c r="G84" s="110">
        <v>417.5</v>
      </c>
      <c r="H84" s="162">
        <f t="shared" si="9"/>
        <v>443.5</v>
      </c>
      <c r="I84" s="162">
        <f t="shared" si="10"/>
        <v>-25.5</v>
      </c>
      <c r="J84" s="162">
        <f t="shared" si="11"/>
        <v>106.10047846889952</v>
      </c>
      <c r="K84" s="660"/>
      <c r="L84" s="45"/>
      <c r="M84" s="148">
        <v>0</v>
      </c>
      <c r="N84" s="148">
        <v>0</v>
      </c>
      <c r="O84" s="64">
        <v>0</v>
      </c>
      <c r="P84" s="64">
        <v>0</v>
      </c>
      <c r="Q84" s="148">
        <v>0</v>
      </c>
      <c r="R84" s="148">
        <v>0</v>
      </c>
      <c r="S84" s="148">
        <v>0</v>
      </c>
      <c r="T84" s="148">
        <v>0</v>
      </c>
      <c r="U84" s="148">
        <v>0</v>
      </c>
      <c r="V84" s="148">
        <v>0</v>
      </c>
      <c r="W84" s="148">
        <v>0</v>
      </c>
      <c r="X84" s="148">
        <v>0</v>
      </c>
      <c r="Y84" s="148">
        <v>26</v>
      </c>
      <c r="Z84" s="148">
        <v>0</v>
      </c>
      <c r="AA84" s="148">
        <v>0</v>
      </c>
      <c r="AB84" s="148">
        <v>0</v>
      </c>
      <c r="AC84" s="148">
        <v>0</v>
      </c>
      <c r="AD84" s="148">
        <v>0</v>
      </c>
      <c r="AE84" s="148">
        <v>0</v>
      </c>
      <c r="AF84" s="45"/>
      <c r="AG84" s="45"/>
      <c r="AH84" s="688"/>
      <c r="AI84" s="688"/>
      <c r="AJ84" s="688"/>
      <c r="AK84" s="148"/>
      <c r="AL84" s="148"/>
      <c r="AM84" s="148"/>
      <c r="AN84" s="148"/>
      <c r="AO84" s="148"/>
      <c r="AP84" s="148"/>
      <c r="AQ84" s="577"/>
      <c r="AR84" s="578">
        <f t="shared" si="12"/>
        <v>26</v>
      </c>
    </row>
    <row r="85" spans="1:44" ht="15.75" customHeight="1" thickBot="1" x14ac:dyDescent="0.4">
      <c r="A85" s="832"/>
      <c r="B85" s="825"/>
      <c r="C85" s="579" t="s">
        <v>209</v>
      </c>
      <c r="D85" s="45">
        <v>363</v>
      </c>
      <c r="E85" s="45">
        <v>363</v>
      </c>
      <c r="F85" s="148">
        <f t="shared" si="8"/>
        <v>0</v>
      </c>
      <c r="G85" s="110">
        <v>362.5</v>
      </c>
      <c r="H85" s="162">
        <f t="shared" si="9"/>
        <v>362.5</v>
      </c>
      <c r="I85" s="162">
        <f t="shared" si="10"/>
        <v>0.5</v>
      </c>
      <c r="J85" s="162">
        <f t="shared" si="11"/>
        <v>99.862258953168052</v>
      </c>
      <c r="K85" s="660"/>
      <c r="L85" s="45"/>
      <c r="M85" s="148">
        <v>0</v>
      </c>
      <c r="N85" s="148">
        <v>0</v>
      </c>
      <c r="O85" s="64">
        <v>0</v>
      </c>
      <c r="P85" s="64">
        <v>0</v>
      </c>
      <c r="Q85" s="148">
        <v>0</v>
      </c>
      <c r="R85" s="148">
        <v>0</v>
      </c>
      <c r="S85" s="148">
        <v>0</v>
      </c>
      <c r="T85" s="148">
        <v>0</v>
      </c>
      <c r="U85" s="148">
        <v>0</v>
      </c>
      <c r="V85" s="148">
        <v>0</v>
      </c>
      <c r="W85" s="148">
        <v>0</v>
      </c>
      <c r="X85" s="148">
        <v>0</v>
      </c>
      <c r="Y85" s="148">
        <v>0</v>
      </c>
      <c r="Z85" s="148">
        <v>0</v>
      </c>
      <c r="AA85" s="148">
        <v>0</v>
      </c>
      <c r="AB85" s="148">
        <v>0</v>
      </c>
      <c r="AC85" s="148">
        <v>0</v>
      </c>
      <c r="AD85" s="148">
        <v>0</v>
      </c>
      <c r="AE85" s="148">
        <v>0</v>
      </c>
      <c r="AF85" s="45"/>
      <c r="AG85" s="45"/>
      <c r="AH85" s="688"/>
      <c r="AI85" s="688"/>
      <c r="AJ85" s="688"/>
      <c r="AK85" s="148"/>
      <c r="AL85" s="148"/>
      <c r="AM85" s="148"/>
      <c r="AN85" s="148"/>
      <c r="AO85" s="148"/>
      <c r="AP85" s="148"/>
      <c r="AQ85" s="577"/>
      <c r="AR85" s="578">
        <f t="shared" si="12"/>
        <v>0</v>
      </c>
    </row>
    <row r="86" spans="1:44" ht="15.75" customHeight="1" thickBot="1" x14ac:dyDescent="0.4">
      <c r="A86" s="832"/>
      <c r="B86" s="825"/>
      <c r="C86" s="579" t="s">
        <v>294</v>
      </c>
      <c r="D86" s="45">
        <v>360</v>
      </c>
      <c r="E86" s="45">
        <v>360</v>
      </c>
      <c r="F86" s="148">
        <f t="shared" si="8"/>
        <v>0</v>
      </c>
      <c r="G86" s="45">
        <v>431</v>
      </c>
      <c r="H86" s="162">
        <f t="shared" si="9"/>
        <v>437</v>
      </c>
      <c r="I86" s="162">
        <f t="shared" si="10"/>
        <v>-77</v>
      </c>
      <c r="J86" s="162">
        <f t="shared" si="11"/>
        <v>121.38888888888889</v>
      </c>
      <c r="K86" s="660"/>
      <c r="L86" s="45"/>
      <c r="M86" s="148">
        <v>0</v>
      </c>
      <c r="N86" s="148">
        <v>0</v>
      </c>
      <c r="O86" s="148">
        <v>2</v>
      </c>
      <c r="P86" s="64">
        <v>0</v>
      </c>
      <c r="Q86" s="148">
        <v>0</v>
      </c>
      <c r="R86" s="148">
        <v>0</v>
      </c>
      <c r="S86" s="148">
        <v>0</v>
      </c>
      <c r="T86" s="148">
        <v>2</v>
      </c>
      <c r="U86" s="148">
        <v>0</v>
      </c>
      <c r="V86" s="148">
        <v>2</v>
      </c>
      <c r="W86" s="148">
        <v>0</v>
      </c>
      <c r="X86" s="148">
        <v>0</v>
      </c>
      <c r="Y86" s="148">
        <v>0</v>
      </c>
      <c r="Z86" s="148">
        <v>0</v>
      </c>
      <c r="AA86" s="148">
        <v>0</v>
      </c>
      <c r="AB86" s="148">
        <v>0</v>
      </c>
      <c r="AC86" s="148">
        <v>0</v>
      </c>
      <c r="AD86" s="148">
        <v>0</v>
      </c>
      <c r="AE86" s="148">
        <v>0</v>
      </c>
      <c r="AF86" s="45"/>
      <c r="AG86" s="45"/>
      <c r="AH86" s="688"/>
      <c r="AI86" s="688"/>
      <c r="AJ86" s="688"/>
      <c r="AK86" s="148"/>
      <c r="AL86" s="148"/>
      <c r="AM86" s="148"/>
      <c r="AN86" s="148"/>
      <c r="AO86" s="148"/>
      <c r="AP86" s="148"/>
      <c r="AQ86" s="577"/>
      <c r="AR86" s="578">
        <f t="shared" si="12"/>
        <v>6</v>
      </c>
    </row>
    <row r="87" spans="1:44" ht="15.75" customHeight="1" thickBot="1" x14ac:dyDescent="0.4">
      <c r="A87" s="832"/>
      <c r="B87" s="825"/>
      <c r="C87" s="579" t="s">
        <v>296</v>
      </c>
      <c r="D87" s="45">
        <v>240</v>
      </c>
      <c r="E87" s="45">
        <v>240</v>
      </c>
      <c r="F87" s="148">
        <f t="shared" si="8"/>
        <v>0</v>
      </c>
      <c r="G87" s="45">
        <v>0</v>
      </c>
      <c r="H87" s="162">
        <f t="shared" si="9"/>
        <v>0</v>
      </c>
      <c r="I87" s="162">
        <f t="shared" si="10"/>
        <v>240</v>
      </c>
      <c r="J87" s="162">
        <f t="shared" si="11"/>
        <v>0</v>
      </c>
      <c r="K87" s="660"/>
      <c r="L87" s="555">
        <v>104</v>
      </c>
      <c r="M87" s="148">
        <v>0</v>
      </c>
      <c r="N87" s="148">
        <v>0</v>
      </c>
      <c r="O87" s="64">
        <v>0</v>
      </c>
      <c r="P87" s="64">
        <v>0</v>
      </c>
      <c r="Q87" s="148">
        <v>0</v>
      </c>
      <c r="R87" s="148">
        <v>0</v>
      </c>
      <c r="S87" s="148">
        <v>0</v>
      </c>
      <c r="T87" s="148">
        <v>0</v>
      </c>
      <c r="U87" s="148">
        <v>0</v>
      </c>
      <c r="V87" s="148">
        <v>0</v>
      </c>
      <c r="W87" s="148">
        <v>0</v>
      </c>
      <c r="X87" s="148">
        <v>0</v>
      </c>
      <c r="Y87" s="148">
        <v>0</v>
      </c>
      <c r="Z87" s="148">
        <v>0</v>
      </c>
      <c r="AA87" s="148">
        <v>0</v>
      </c>
      <c r="AB87" s="148">
        <v>0</v>
      </c>
      <c r="AC87" s="148">
        <v>0</v>
      </c>
      <c r="AD87" s="148">
        <v>0</v>
      </c>
      <c r="AE87" s="148">
        <v>0</v>
      </c>
      <c r="AF87" s="45"/>
      <c r="AG87" s="45"/>
      <c r="AH87" s="688"/>
      <c r="AI87" s="688"/>
      <c r="AJ87" s="688"/>
      <c r="AK87" s="148"/>
      <c r="AL87" s="148"/>
      <c r="AM87" s="148"/>
      <c r="AN87" s="148"/>
      <c r="AO87" s="148"/>
      <c r="AP87" s="148"/>
      <c r="AQ87" s="577"/>
      <c r="AR87" s="578">
        <f t="shared" si="12"/>
        <v>0</v>
      </c>
    </row>
    <row r="88" spans="1:44" ht="15.75" customHeight="1" thickBot="1" x14ac:dyDescent="0.4">
      <c r="A88" s="832"/>
      <c r="B88" s="825"/>
      <c r="C88" s="579" t="s">
        <v>295</v>
      </c>
      <c r="D88" s="45">
        <f>120+135</f>
        <v>255</v>
      </c>
      <c r="E88" s="45">
        <f>120+135</f>
        <v>255</v>
      </c>
      <c r="F88" s="148">
        <f t="shared" si="8"/>
        <v>0</v>
      </c>
      <c r="G88" s="45">
        <v>33</v>
      </c>
      <c r="H88" s="162">
        <f t="shared" si="9"/>
        <v>35</v>
      </c>
      <c r="I88" s="162">
        <f t="shared" si="10"/>
        <v>220</v>
      </c>
      <c r="J88" s="162">
        <f t="shared" si="11"/>
        <v>13.725490196078432</v>
      </c>
      <c r="K88" s="660"/>
      <c r="L88" s="555">
        <v>108</v>
      </c>
      <c r="M88" s="148">
        <v>0</v>
      </c>
      <c r="N88" s="148">
        <v>0</v>
      </c>
      <c r="O88" s="64">
        <v>0</v>
      </c>
      <c r="P88" s="64">
        <v>0</v>
      </c>
      <c r="Q88" s="148">
        <v>0</v>
      </c>
      <c r="R88" s="148">
        <v>0</v>
      </c>
      <c r="S88" s="148">
        <v>0</v>
      </c>
      <c r="T88" s="148">
        <v>0</v>
      </c>
      <c r="U88" s="148">
        <v>0</v>
      </c>
      <c r="V88" s="148">
        <v>0</v>
      </c>
      <c r="W88" s="148">
        <v>0</v>
      </c>
      <c r="X88" s="148">
        <v>0</v>
      </c>
      <c r="Y88" s="148">
        <v>0</v>
      </c>
      <c r="Z88" s="148">
        <v>2</v>
      </c>
      <c r="AA88" s="148">
        <v>0</v>
      </c>
      <c r="AB88" s="148">
        <v>0</v>
      </c>
      <c r="AC88" s="148">
        <v>0</v>
      </c>
      <c r="AD88" s="148">
        <v>0</v>
      </c>
      <c r="AE88" s="148">
        <v>0</v>
      </c>
      <c r="AF88" s="45"/>
      <c r="AG88" s="45"/>
      <c r="AH88" s="688"/>
      <c r="AI88" s="688"/>
      <c r="AJ88" s="688"/>
      <c r="AK88" s="148"/>
      <c r="AL88" s="148"/>
      <c r="AM88" s="148"/>
      <c r="AN88" s="148"/>
      <c r="AO88" s="148"/>
      <c r="AP88" s="148"/>
      <c r="AQ88" s="577"/>
      <c r="AR88" s="578">
        <f t="shared" si="12"/>
        <v>2</v>
      </c>
    </row>
    <row r="89" spans="1:44" ht="15.75" customHeight="1" thickBot="1" x14ac:dyDescent="0.4">
      <c r="A89" s="832"/>
      <c r="B89" s="825"/>
      <c r="C89" s="579" t="s">
        <v>340</v>
      </c>
      <c r="D89" s="45">
        <v>300</v>
      </c>
      <c r="E89" s="45">
        <v>0</v>
      </c>
      <c r="F89" s="148">
        <f t="shared" si="8"/>
        <v>300</v>
      </c>
      <c r="G89" s="45">
        <v>0</v>
      </c>
      <c r="H89" s="162">
        <f t="shared" si="9"/>
        <v>0</v>
      </c>
      <c r="I89" s="162">
        <f t="shared" si="10"/>
        <v>300</v>
      </c>
      <c r="J89" s="162">
        <f t="shared" si="11"/>
        <v>0</v>
      </c>
      <c r="K89" s="660"/>
      <c r="L89" s="45"/>
      <c r="M89" s="148">
        <v>0</v>
      </c>
      <c r="N89" s="148">
        <v>0</v>
      </c>
      <c r="O89" s="64">
        <v>0</v>
      </c>
      <c r="P89" s="64">
        <v>0</v>
      </c>
      <c r="Q89" s="148">
        <v>0</v>
      </c>
      <c r="R89" s="148">
        <v>0</v>
      </c>
      <c r="S89" s="148">
        <v>0</v>
      </c>
      <c r="T89" s="148">
        <v>0</v>
      </c>
      <c r="U89" s="148">
        <v>0</v>
      </c>
      <c r="V89" s="148">
        <v>0</v>
      </c>
      <c r="W89" s="148">
        <v>0</v>
      </c>
      <c r="X89" s="148">
        <v>0</v>
      </c>
      <c r="Y89" s="148">
        <v>0</v>
      </c>
      <c r="Z89" s="148">
        <v>0</v>
      </c>
      <c r="AA89" s="148">
        <v>0</v>
      </c>
      <c r="AB89" s="148">
        <v>0</v>
      </c>
      <c r="AC89" s="148">
        <v>0</v>
      </c>
      <c r="AD89" s="148">
        <v>0</v>
      </c>
      <c r="AE89" s="148">
        <v>0</v>
      </c>
      <c r="AF89" s="45"/>
      <c r="AG89" s="45"/>
      <c r="AH89" s="688"/>
      <c r="AI89" s="688"/>
      <c r="AJ89" s="688"/>
      <c r="AK89" s="148"/>
      <c r="AL89" s="148"/>
      <c r="AM89" s="148"/>
      <c r="AN89" s="148"/>
      <c r="AO89" s="148"/>
      <c r="AP89" s="148"/>
      <c r="AQ89" s="577"/>
      <c r="AR89" s="578">
        <f t="shared" si="12"/>
        <v>0</v>
      </c>
    </row>
    <row r="90" spans="1:44" ht="15.75" customHeight="1" thickBot="1" x14ac:dyDescent="0.4">
      <c r="A90" s="832"/>
      <c r="B90" s="825"/>
      <c r="C90" s="579" t="s">
        <v>341</v>
      </c>
      <c r="D90" s="45">
        <v>750</v>
      </c>
      <c r="E90" s="45">
        <v>0</v>
      </c>
      <c r="F90" s="148">
        <f t="shared" si="8"/>
        <v>750</v>
      </c>
      <c r="G90" s="45">
        <v>0</v>
      </c>
      <c r="H90" s="162">
        <f t="shared" si="9"/>
        <v>0</v>
      </c>
      <c r="I90" s="162">
        <f t="shared" si="10"/>
        <v>750</v>
      </c>
      <c r="J90" s="162">
        <f t="shared" si="11"/>
        <v>0</v>
      </c>
      <c r="K90" s="660"/>
      <c r="L90" s="45"/>
      <c r="M90" s="148">
        <v>0</v>
      </c>
      <c r="N90" s="148">
        <v>0</v>
      </c>
      <c r="O90" s="64">
        <v>0</v>
      </c>
      <c r="P90" s="64">
        <v>0</v>
      </c>
      <c r="Q90" s="148">
        <v>0</v>
      </c>
      <c r="R90" s="148">
        <v>0</v>
      </c>
      <c r="S90" s="148">
        <v>0</v>
      </c>
      <c r="T90" s="148">
        <v>0</v>
      </c>
      <c r="U90" s="148">
        <v>0</v>
      </c>
      <c r="V90" s="148">
        <v>0</v>
      </c>
      <c r="W90" s="148">
        <v>0</v>
      </c>
      <c r="X90" s="148">
        <v>0</v>
      </c>
      <c r="Y90" s="148">
        <v>0</v>
      </c>
      <c r="Z90" s="148">
        <v>0</v>
      </c>
      <c r="AA90" s="148">
        <v>0</v>
      </c>
      <c r="AB90" s="148">
        <v>0</v>
      </c>
      <c r="AC90" s="148">
        <v>0</v>
      </c>
      <c r="AD90" s="148">
        <v>0</v>
      </c>
      <c r="AE90" s="148">
        <v>0</v>
      </c>
      <c r="AF90" s="45"/>
      <c r="AG90" s="45"/>
      <c r="AH90" s="688"/>
      <c r="AI90" s="688"/>
      <c r="AJ90" s="688"/>
      <c r="AK90" s="148"/>
      <c r="AL90" s="148"/>
      <c r="AM90" s="148"/>
      <c r="AN90" s="148"/>
      <c r="AO90" s="148"/>
      <c r="AP90" s="148"/>
      <c r="AQ90" s="577"/>
      <c r="AR90" s="578">
        <f t="shared" si="12"/>
        <v>0</v>
      </c>
    </row>
    <row r="91" spans="1:44" ht="15.75" customHeight="1" thickBot="1" x14ac:dyDescent="0.4">
      <c r="A91" s="833"/>
      <c r="B91" s="826"/>
      <c r="C91" s="579" t="s">
        <v>342</v>
      </c>
      <c r="D91" s="45">
        <v>40</v>
      </c>
      <c r="E91" s="45">
        <v>0</v>
      </c>
      <c r="F91" s="148">
        <f t="shared" si="8"/>
        <v>40</v>
      </c>
      <c r="G91" s="45">
        <v>3</v>
      </c>
      <c r="H91" s="162">
        <f t="shared" si="9"/>
        <v>3</v>
      </c>
      <c r="I91" s="162">
        <f t="shared" ref="I91" si="16">D91-H91</f>
        <v>37</v>
      </c>
      <c r="J91" s="162">
        <f t="shared" ref="J91" si="17">H91/D91%</f>
        <v>7.5</v>
      </c>
      <c r="K91" s="660"/>
      <c r="L91" s="45"/>
      <c r="M91" s="148">
        <v>0</v>
      </c>
      <c r="N91" s="148">
        <v>0</v>
      </c>
      <c r="O91" s="64">
        <v>0</v>
      </c>
      <c r="P91" s="64">
        <v>0</v>
      </c>
      <c r="Q91" s="148">
        <v>0</v>
      </c>
      <c r="R91" s="148">
        <v>0</v>
      </c>
      <c r="S91" s="148">
        <v>0</v>
      </c>
      <c r="T91" s="148">
        <v>0</v>
      </c>
      <c r="U91" s="148">
        <v>0</v>
      </c>
      <c r="V91" s="148">
        <v>0</v>
      </c>
      <c r="W91" s="148">
        <v>0</v>
      </c>
      <c r="X91" s="148">
        <v>0</v>
      </c>
      <c r="Y91" s="148">
        <v>0</v>
      </c>
      <c r="Z91" s="148">
        <v>0</v>
      </c>
      <c r="AA91" s="148">
        <v>0</v>
      </c>
      <c r="AB91" s="148">
        <v>0</v>
      </c>
      <c r="AC91" s="148">
        <v>0</v>
      </c>
      <c r="AD91" s="148">
        <v>0</v>
      </c>
      <c r="AE91" s="148">
        <v>0</v>
      </c>
      <c r="AF91" s="45"/>
      <c r="AG91" s="45"/>
      <c r="AH91" s="688"/>
      <c r="AI91" s="688"/>
      <c r="AJ91" s="688"/>
      <c r="AK91" s="148"/>
      <c r="AL91" s="148"/>
      <c r="AM91" s="148"/>
      <c r="AN91" s="148"/>
      <c r="AO91" s="148"/>
      <c r="AP91" s="148"/>
      <c r="AQ91" s="577"/>
      <c r="AR91" s="578">
        <f t="shared" si="12"/>
        <v>0</v>
      </c>
    </row>
    <row r="92" spans="1:44" ht="15.75" customHeight="1" thickBot="1" x14ac:dyDescent="0.4">
      <c r="A92" s="831">
        <v>4</v>
      </c>
      <c r="B92" s="824" t="s">
        <v>343</v>
      </c>
      <c r="C92" s="579" t="s">
        <v>270</v>
      </c>
      <c r="D92" s="45">
        <f>390+1</f>
        <v>391</v>
      </c>
      <c r="E92" s="45">
        <f>390+1</f>
        <v>391</v>
      </c>
      <c r="F92" s="148">
        <f t="shared" si="8"/>
        <v>0</v>
      </c>
      <c r="G92" s="45">
        <v>391</v>
      </c>
      <c r="H92" s="162">
        <f t="shared" si="9"/>
        <v>391</v>
      </c>
      <c r="I92" s="162">
        <f t="shared" si="10"/>
        <v>0</v>
      </c>
      <c r="J92" s="162">
        <f t="shared" si="11"/>
        <v>100</v>
      </c>
      <c r="K92" s="660"/>
      <c r="L92" s="45"/>
      <c r="M92" s="148">
        <v>0</v>
      </c>
      <c r="N92" s="148">
        <v>0</v>
      </c>
      <c r="O92" s="64">
        <v>0</v>
      </c>
      <c r="P92" s="64">
        <v>0</v>
      </c>
      <c r="Q92" s="148">
        <v>0</v>
      </c>
      <c r="R92" s="148">
        <v>0</v>
      </c>
      <c r="S92" s="148">
        <v>0</v>
      </c>
      <c r="T92" s="148">
        <v>0</v>
      </c>
      <c r="U92" s="148">
        <v>0</v>
      </c>
      <c r="V92" s="148">
        <v>0</v>
      </c>
      <c r="W92" s="148">
        <v>0</v>
      </c>
      <c r="X92" s="148">
        <v>0</v>
      </c>
      <c r="Y92" s="148">
        <v>0</v>
      </c>
      <c r="Z92" s="148">
        <v>0</v>
      </c>
      <c r="AA92" s="148">
        <v>0</v>
      </c>
      <c r="AB92" s="148">
        <v>0</v>
      </c>
      <c r="AC92" s="148">
        <v>0</v>
      </c>
      <c r="AD92" s="148">
        <v>0</v>
      </c>
      <c r="AE92" s="148">
        <v>0</v>
      </c>
      <c r="AF92" s="45"/>
      <c r="AG92" s="45"/>
      <c r="AH92" s="688"/>
      <c r="AI92" s="688"/>
      <c r="AJ92" s="688"/>
      <c r="AK92" s="148"/>
      <c r="AL92" s="148"/>
      <c r="AM92" s="148"/>
      <c r="AN92" s="148"/>
      <c r="AO92" s="148"/>
      <c r="AP92" s="148"/>
      <c r="AQ92" s="577"/>
      <c r="AR92" s="578">
        <f t="shared" si="12"/>
        <v>0</v>
      </c>
    </row>
    <row r="93" spans="1:44" ht="15.65" customHeight="1" thickBot="1" x14ac:dyDescent="0.4">
      <c r="A93" s="832"/>
      <c r="B93" s="825"/>
      <c r="C93" s="579" t="s">
        <v>344</v>
      </c>
      <c r="D93" s="45">
        <v>490</v>
      </c>
      <c r="E93" s="45">
        <v>490</v>
      </c>
      <c r="F93" s="148">
        <f t="shared" si="8"/>
        <v>0</v>
      </c>
      <c r="G93" s="45">
        <v>374</v>
      </c>
      <c r="H93" s="162">
        <f t="shared" si="9"/>
        <v>374</v>
      </c>
      <c r="I93" s="162">
        <f t="shared" si="10"/>
        <v>116</v>
      </c>
      <c r="J93" s="162">
        <f t="shared" si="11"/>
        <v>76.326530612244895</v>
      </c>
      <c r="K93" s="660"/>
      <c r="L93" s="45"/>
      <c r="M93" s="148">
        <v>0</v>
      </c>
      <c r="N93" s="148">
        <v>0</v>
      </c>
      <c r="O93" s="64">
        <v>0</v>
      </c>
      <c r="P93" s="64">
        <v>0</v>
      </c>
      <c r="Q93" s="148">
        <v>0</v>
      </c>
      <c r="R93" s="148">
        <v>0</v>
      </c>
      <c r="S93" s="148">
        <v>0</v>
      </c>
      <c r="T93" s="148">
        <v>0</v>
      </c>
      <c r="U93" s="148">
        <v>0</v>
      </c>
      <c r="V93" s="148">
        <v>0</v>
      </c>
      <c r="W93" s="148">
        <v>0</v>
      </c>
      <c r="X93" s="148">
        <v>0</v>
      </c>
      <c r="Y93" s="148">
        <v>0</v>
      </c>
      <c r="Z93" s="148">
        <v>0</v>
      </c>
      <c r="AA93" s="148">
        <v>0</v>
      </c>
      <c r="AB93" s="148">
        <v>0</v>
      </c>
      <c r="AC93" s="148">
        <v>0</v>
      </c>
      <c r="AD93" s="148">
        <v>0</v>
      </c>
      <c r="AE93" s="148">
        <v>0</v>
      </c>
      <c r="AF93" s="45"/>
      <c r="AG93" s="45"/>
      <c r="AH93" s="688"/>
      <c r="AI93" s="688"/>
      <c r="AJ93" s="688"/>
      <c r="AK93" s="148"/>
      <c r="AL93" s="148"/>
      <c r="AM93" s="148"/>
      <c r="AN93" s="148"/>
      <c r="AO93" s="148"/>
      <c r="AP93" s="148"/>
      <c r="AQ93" s="577"/>
      <c r="AR93" s="578">
        <f t="shared" si="12"/>
        <v>0</v>
      </c>
    </row>
    <row r="94" spans="1:44" ht="15.65" customHeight="1" thickBot="1" x14ac:dyDescent="0.4">
      <c r="A94" s="832"/>
      <c r="B94" s="825"/>
      <c r="C94" s="579" t="s">
        <v>345</v>
      </c>
      <c r="D94" s="45">
        <f>142+88</f>
        <v>230</v>
      </c>
      <c r="E94" s="45">
        <f>142+88</f>
        <v>230</v>
      </c>
      <c r="F94" s="148">
        <f t="shared" si="8"/>
        <v>0</v>
      </c>
      <c r="G94" s="45">
        <v>230</v>
      </c>
      <c r="H94" s="162">
        <f t="shared" si="9"/>
        <v>230</v>
      </c>
      <c r="I94" s="162">
        <f t="shared" si="10"/>
        <v>0</v>
      </c>
      <c r="J94" s="162">
        <f t="shared" si="11"/>
        <v>100.00000000000001</v>
      </c>
      <c r="K94" s="660"/>
      <c r="L94" s="45"/>
      <c r="M94" s="148">
        <v>0</v>
      </c>
      <c r="N94" s="148">
        <v>0</v>
      </c>
      <c r="O94" s="64">
        <v>0</v>
      </c>
      <c r="P94" s="64">
        <v>0</v>
      </c>
      <c r="Q94" s="148">
        <v>0</v>
      </c>
      <c r="R94" s="148">
        <v>0</v>
      </c>
      <c r="S94" s="148">
        <v>0</v>
      </c>
      <c r="T94" s="148">
        <v>0</v>
      </c>
      <c r="U94" s="148">
        <v>0</v>
      </c>
      <c r="V94" s="148">
        <v>0</v>
      </c>
      <c r="W94" s="148">
        <v>0</v>
      </c>
      <c r="X94" s="148">
        <v>0</v>
      </c>
      <c r="Y94" s="148">
        <v>0</v>
      </c>
      <c r="Z94" s="148">
        <v>0</v>
      </c>
      <c r="AA94" s="148">
        <v>0</v>
      </c>
      <c r="AB94" s="148">
        <v>0</v>
      </c>
      <c r="AC94" s="148">
        <v>0</v>
      </c>
      <c r="AD94" s="148">
        <v>0</v>
      </c>
      <c r="AE94" s="148">
        <v>0</v>
      </c>
      <c r="AF94" s="45"/>
      <c r="AG94" s="45"/>
      <c r="AH94" s="688"/>
      <c r="AI94" s="688"/>
      <c r="AJ94" s="688"/>
      <c r="AK94" s="148"/>
      <c r="AL94" s="148"/>
      <c r="AM94" s="148"/>
      <c r="AN94" s="148"/>
      <c r="AO94" s="148"/>
      <c r="AP94" s="148"/>
      <c r="AQ94" s="577"/>
      <c r="AR94" s="578">
        <f t="shared" si="12"/>
        <v>0</v>
      </c>
    </row>
    <row r="95" spans="1:44" ht="15.65" customHeight="1" thickBot="1" x14ac:dyDescent="0.4">
      <c r="A95" s="833"/>
      <c r="B95" s="826"/>
      <c r="C95" s="579" t="s">
        <v>346</v>
      </c>
      <c r="D95" s="45">
        <v>50</v>
      </c>
      <c r="E95" s="45">
        <v>0</v>
      </c>
      <c r="F95" s="148">
        <f t="shared" ref="F95" si="18">D95-E95</f>
        <v>50</v>
      </c>
      <c r="G95" s="45">
        <v>0</v>
      </c>
      <c r="H95" s="162">
        <f t="shared" si="9"/>
        <v>0</v>
      </c>
      <c r="I95" s="162">
        <f t="shared" ref="I95" si="19">D95-H95</f>
        <v>50</v>
      </c>
      <c r="J95" s="162">
        <f t="shared" ref="J95" si="20">H95/D95%</f>
        <v>0</v>
      </c>
      <c r="K95" s="660"/>
      <c r="L95" s="45"/>
      <c r="M95" s="148">
        <v>0</v>
      </c>
      <c r="N95" s="148">
        <v>0</v>
      </c>
      <c r="O95" s="64">
        <v>0</v>
      </c>
      <c r="P95" s="64">
        <v>0</v>
      </c>
      <c r="Q95" s="148">
        <v>0</v>
      </c>
      <c r="R95" s="148">
        <v>0</v>
      </c>
      <c r="S95" s="148">
        <v>0</v>
      </c>
      <c r="T95" s="148">
        <v>0</v>
      </c>
      <c r="U95" s="148">
        <v>0</v>
      </c>
      <c r="V95" s="148">
        <v>0</v>
      </c>
      <c r="W95" s="148">
        <v>0</v>
      </c>
      <c r="X95" s="148">
        <v>0</v>
      </c>
      <c r="Y95" s="148">
        <v>0</v>
      </c>
      <c r="Z95" s="148">
        <v>0</v>
      </c>
      <c r="AA95" s="148">
        <v>0</v>
      </c>
      <c r="AB95" s="148">
        <v>0</v>
      </c>
      <c r="AC95" s="148">
        <v>0</v>
      </c>
      <c r="AD95" s="148">
        <v>0</v>
      </c>
      <c r="AE95" s="148">
        <v>0</v>
      </c>
      <c r="AF95" s="45"/>
      <c r="AG95" s="45"/>
      <c r="AH95" s="688"/>
      <c r="AI95" s="688"/>
      <c r="AJ95" s="688"/>
      <c r="AK95" s="148"/>
      <c r="AL95" s="148"/>
      <c r="AM95" s="148"/>
      <c r="AN95" s="148"/>
      <c r="AO95" s="148"/>
      <c r="AP95" s="148"/>
      <c r="AQ95" s="577"/>
      <c r="AR95" s="578">
        <f t="shared" si="12"/>
        <v>0</v>
      </c>
    </row>
    <row r="96" spans="1:44" ht="15.65" customHeight="1" thickBot="1" x14ac:dyDescent="0.4">
      <c r="A96" s="831">
        <v>5</v>
      </c>
      <c r="B96" s="824" t="s">
        <v>347</v>
      </c>
      <c r="C96" s="579" t="s">
        <v>265</v>
      </c>
      <c r="D96" s="45">
        <f>3255+14.5</f>
        <v>3269.5</v>
      </c>
      <c r="E96" s="45">
        <f>3255+14.5</f>
        <v>3269.5</v>
      </c>
      <c r="F96" s="148">
        <f t="shared" si="8"/>
        <v>0</v>
      </c>
      <c r="G96" s="45">
        <v>3269.5</v>
      </c>
      <c r="H96" s="162">
        <f t="shared" si="9"/>
        <v>3269.5</v>
      </c>
      <c r="I96" s="162">
        <f t="shared" si="10"/>
        <v>0</v>
      </c>
      <c r="J96" s="162">
        <f t="shared" si="11"/>
        <v>100</v>
      </c>
      <c r="K96" s="660"/>
      <c r="L96" s="45"/>
      <c r="M96" s="148">
        <v>0</v>
      </c>
      <c r="N96" s="148">
        <v>0</v>
      </c>
      <c r="O96" s="64">
        <v>0</v>
      </c>
      <c r="P96" s="64">
        <v>0</v>
      </c>
      <c r="Q96" s="148">
        <v>0</v>
      </c>
      <c r="R96" s="148">
        <v>0</v>
      </c>
      <c r="S96" s="148">
        <v>0</v>
      </c>
      <c r="T96" s="148">
        <v>0</v>
      </c>
      <c r="U96" s="148">
        <v>0</v>
      </c>
      <c r="V96" s="148">
        <v>0</v>
      </c>
      <c r="W96" s="148">
        <v>0</v>
      </c>
      <c r="X96" s="148">
        <v>0</v>
      </c>
      <c r="Y96" s="148">
        <v>0</v>
      </c>
      <c r="Z96" s="148">
        <v>0</v>
      </c>
      <c r="AA96" s="148">
        <v>0</v>
      </c>
      <c r="AB96" s="148">
        <v>0</v>
      </c>
      <c r="AC96" s="148">
        <v>0</v>
      </c>
      <c r="AD96" s="148">
        <v>0</v>
      </c>
      <c r="AE96" s="148">
        <v>0</v>
      </c>
      <c r="AF96" s="45"/>
      <c r="AG96" s="45"/>
      <c r="AH96" s="688"/>
      <c r="AI96" s="688"/>
      <c r="AJ96" s="688"/>
      <c r="AK96" s="148"/>
      <c r="AL96" s="148"/>
      <c r="AM96" s="148"/>
      <c r="AN96" s="148"/>
      <c r="AO96" s="148"/>
      <c r="AP96" s="148"/>
      <c r="AQ96" s="577"/>
      <c r="AR96" s="578">
        <f t="shared" si="12"/>
        <v>0</v>
      </c>
    </row>
    <row r="97" spans="1:44" ht="15.75" customHeight="1" thickBot="1" x14ac:dyDescent="0.4">
      <c r="A97" s="832"/>
      <c r="B97" s="825"/>
      <c r="C97" s="579" t="s">
        <v>207</v>
      </c>
      <c r="D97" s="45">
        <f>1390+28+30</f>
        <v>1448</v>
      </c>
      <c r="E97" s="45">
        <f>1390+28+30</f>
        <v>1448</v>
      </c>
      <c r="F97" s="148">
        <f t="shared" si="8"/>
        <v>0</v>
      </c>
      <c r="G97" s="45">
        <v>1357</v>
      </c>
      <c r="H97" s="162">
        <f t="shared" si="9"/>
        <v>1357</v>
      </c>
      <c r="I97" s="162">
        <f t="shared" si="10"/>
        <v>91</v>
      </c>
      <c r="J97" s="162">
        <f t="shared" si="11"/>
        <v>93.715469613259671</v>
      </c>
      <c r="K97" s="660"/>
      <c r="L97" s="45"/>
      <c r="M97" s="148">
        <v>0</v>
      </c>
      <c r="N97" s="148">
        <v>0</v>
      </c>
      <c r="O97" s="64">
        <v>0</v>
      </c>
      <c r="P97" s="64">
        <v>0</v>
      </c>
      <c r="Q97" s="148">
        <v>0</v>
      </c>
      <c r="R97" s="148">
        <v>0</v>
      </c>
      <c r="S97" s="148">
        <v>0</v>
      </c>
      <c r="T97" s="148">
        <v>0</v>
      </c>
      <c r="U97" s="148">
        <v>0</v>
      </c>
      <c r="V97" s="148">
        <v>0</v>
      </c>
      <c r="W97" s="148">
        <v>0</v>
      </c>
      <c r="X97" s="148">
        <v>0</v>
      </c>
      <c r="Y97" s="148">
        <v>0</v>
      </c>
      <c r="Z97" s="148">
        <v>0</v>
      </c>
      <c r="AA97" s="148">
        <v>0</v>
      </c>
      <c r="AB97" s="148">
        <v>0</v>
      </c>
      <c r="AC97" s="148">
        <v>0</v>
      </c>
      <c r="AD97" s="148">
        <v>0</v>
      </c>
      <c r="AE97" s="148">
        <v>0</v>
      </c>
      <c r="AF97" s="45"/>
      <c r="AG97" s="45"/>
      <c r="AH97" s="688"/>
      <c r="AI97" s="688"/>
      <c r="AJ97" s="688"/>
      <c r="AK97" s="148"/>
      <c r="AL97" s="148"/>
      <c r="AM97" s="148"/>
      <c r="AN97" s="148"/>
      <c r="AO97" s="148"/>
      <c r="AP97" s="148"/>
      <c r="AQ97" s="577"/>
      <c r="AR97" s="578">
        <f t="shared" si="12"/>
        <v>0</v>
      </c>
    </row>
    <row r="98" spans="1:44" ht="15.75" customHeight="1" thickBot="1" x14ac:dyDescent="0.4">
      <c r="A98" s="832"/>
      <c r="B98" s="825"/>
      <c r="C98" s="579" t="s">
        <v>266</v>
      </c>
      <c r="D98" s="45">
        <f>380+4</f>
        <v>384</v>
      </c>
      <c r="E98" s="45">
        <f>380+4</f>
        <v>384</v>
      </c>
      <c r="F98" s="148">
        <f t="shared" si="8"/>
        <v>0</v>
      </c>
      <c r="G98" s="45">
        <v>384</v>
      </c>
      <c r="H98" s="162">
        <f t="shared" si="9"/>
        <v>384</v>
      </c>
      <c r="I98" s="162">
        <f t="shared" si="10"/>
        <v>0</v>
      </c>
      <c r="J98" s="162">
        <f t="shared" si="11"/>
        <v>100</v>
      </c>
      <c r="K98" s="660"/>
      <c r="L98" s="45"/>
      <c r="M98" s="148">
        <v>0</v>
      </c>
      <c r="N98" s="148">
        <v>0</v>
      </c>
      <c r="O98" s="64">
        <v>0</v>
      </c>
      <c r="P98" s="64">
        <v>0</v>
      </c>
      <c r="Q98" s="148">
        <v>0</v>
      </c>
      <c r="R98" s="148">
        <v>0</v>
      </c>
      <c r="S98" s="148">
        <v>0</v>
      </c>
      <c r="T98" s="148">
        <v>0</v>
      </c>
      <c r="U98" s="148">
        <v>0</v>
      </c>
      <c r="V98" s="148">
        <v>0</v>
      </c>
      <c r="W98" s="148">
        <v>0</v>
      </c>
      <c r="X98" s="148">
        <v>0</v>
      </c>
      <c r="Y98" s="148">
        <v>0</v>
      </c>
      <c r="Z98" s="148">
        <v>0</v>
      </c>
      <c r="AA98" s="148">
        <v>0</v>
      </c>
      <c r="AB98" s="148">
        <v>0</v>
      </c>
      <c r="AC98" s="148">
        <v>0</v>
      </c>
      <c r="AD98" s="148">
        <v>0</v>
      </c>
      <c r="AE98" s="148">
        <v>0</v>
      </c>
      <c r="AF98" s="45"/>
      <c r="AG98" s="45"/>
      <c r="AH98" s="688"/>
      <c r="AI98" s="688"/>
      <c r="AJ98" s="688"/>
      <c r="AK98" s="148"/>
      <c r="AL98" s="148"/>
      <c r="AM98" s="148"/>
      <c r="AN98" s="148"/>
      <c r="AO98" s="148"/>
      <c r="AP98" s="148"/>
      <c r="AQ98" s="577"/>
      <c r="AR98" s="578">
        <f t="shared" si="12"/>
        <v>0</v>
      </c>
    </row>
    <row r="99" spans="1:44" ht="15.65" customHeight="1" thickBot="1" x14ac:dyDescent="0.4">
      <c r="A99" s="832"/>
      <c r="B99" s="825"/>
      <c r="C99" s="579" t="s">
        <v>348</v>
      </c>
      <c r="D99" s="45">
        <v>50</v>
      </c>
      <c r="E99" s="45">
        <v>50</v>
      </c>
      <c r="F99" s="148">
        <f t="shared" si="8"/>
        <v>0</v>
      </c>
      <c r="G99" s="45">
        <v>40</v>
      </c>
      <c r="H99" s="162">
        <f t="shared" si="9"/>
        <v>42</v>
      </c>
      <c r="I99" s="162">
        <f t="shared" si="10"/>
        <v>8</v>
      </c>
      <c r="J99" s="162">
        <f t="shared" si="11"/>
        <v>84</v>
      </c>
      <c r="K99" s="660"/>
      <c r="L99" s="45"/>
      <c r="M99" s="148">
        <v>0</v>
      </c>
      <c r="N99" s="148">
        <v>0</v>
      </c>
      <c r="O99" s="148">
        <v>2</v>
      </c>
      <c r="P99" s="64">
        <v>0</v>
      </c>
      <c r="Q99" s="148">
        <v>0</v>
      </c>
      <c r="R99" s="148">
        <v>0</v>
      </c>
      <c r="S99" s="148">
        <v>0</v>
      </c>
      <c r="T99" s="148">
        <v>0</v>
      </c>
      <c r="U99" s="148">
        <v>0</v>
      </c>
      <c r="V99" s="148">
        <v>0</v>
      </c>
      <c r="W99" s="148">
        <v>0</v>
      </c>
      <c r="X99" s="148">
        <v>0</v>
      </c>
      <c r="Y99" s="148">
        <v>0</v>
      </c>
      <c r="Z99" s="148">
        <v>0</v>
      </c>
      <c r="AA99" s="148">
        <v>0</v>
      </c>
      <c r="AB99" s="148">
        <v>0</v>
      </c>
      <c r="AC99" s="148">
        <v>0</v>
      </c>
      <c r="AD99" s="148">
        <v>0</v>
      </c>
      <c r="AE99" s="148">
        <v>0</v>
      </c>
      <c r="AF99" s="45"/>
      <c r="AG99" s="45"/>
      <c r="AH99" s="688"/>
      <c r="AI99" s="688"/>
      <c r="AJ99" s="688"/>
      <c r="AK99" s="148"/>
      <c r="AL99" s="148"/>
      <c r="AM99" s="148"/>
      <c r="AN99" s="148"/>
      <c r="AO99" s="148"/>
      <c r="AP99" s="148"/>
      <c r="AQ99" s="577"/>
      <c r="AR99" s="578">
        <f t="shared" si="12"/>
        <v>2</v>
      </c>
    </row>
    <row r="100" spans="1:44" ht="15.75" customHeight="1" thickBot="1" x14ac:dyDescent="0.4">
      <c r="A100" s="832"/>
      <c r="B100" s="825"/>
      <c r="C100" s="579" t="s">
        <v>267</v>
      </c>
      <c r="D100" s="45">
        <v>1450</v>
      </c>
      <c r="E100" s="45">
        <v>1450</v>
      </c>
      <c r="F100" s="148">
        <f t="shared" si="8"/>
        <v>0</v>
      </c>
      <c r="G100" s="45">
        <v>1215</v>
      </c>
      <c r="H100" s="162">
        <f t="shared" si="9"/>
        <v>1479</v>
      </c>
      <c r="I100" s="162">
        <f t="shared" si="10"/>
        <v>-29</v>
      </c>
      <c r="J100" s="162">
        <f t="shared" si="11"/>
        <v>102</v>
      </c>
      <c r="K100" s="660"/>
      <c r="L100" s="555">
        <v>155</v>
      </c>
      <c r="M100" s="148">
        <v>6</v>
      </c>
      <c r="N100" s="148">
        <v>0</v>
      </c>
      <c r="O100" s="148">
        <v>46</v>
      </c>
      <c r="P100" s="64">
        <v>0</v>
      </c>
      <c r="Q100" s="148">
        <v>0</v>
      </c>
      <c r="R100" s="148">
        <v>0</v>
      </c>
      <c r="S100" s="148">
        <v>0</v>
      </c>
      <c r="T100" s="148">
        <v>40</v>
      </c>
      <c r="U100" s="148">
        <v>13</v>
      </c>
      <c r="V100" s="148">
        <v>5</v>
      </c>
      <c r="W100" s="148">
        <v>0</v>
      </c>
      <c r="X100" s="148">
        <v>0</v>
      </c>
      <c r="Y100" s="148">
        <v>58</v>
      </c>
      <c r="Z100" s="148">
        <v>24</v>
      </c>
      <c r="AA100" s="148">
        <v>6</v>
      </c>
      <c r="AB100" s="148">
        <v>66</v>
      </c>
      <c r="AC100" s="148">
        <v>0</v>
      </c>
      <c r="AD100" s="148">
        <v>0</v>
      </c>
      <c r="AE100" s="148">
        <v>0</v>
      </c>
      <c r="AF100" s="45"/>
      <c r="AG100" s="45"/>
      <c r="AH100" s="688"/>
      <c r="AI100" s="148"/>
      <c r="AJ100" s="148"/>
      <c r="AK100" s="148"/>
      <c r="AL100" s="148"/>
      <c r="AM100" s="148"/>
      <c r="AN100" s="148"/>
      <c r="AO100" s="148"/>
      <c r="AP100" s="148"/>
      <c r="AQ100" s="577"/>
      <c r="AR100" s="578">
        <f t="shared" si="12"/>
        <v>264</v>
      </c>
    </row>
    <row r="101" spans="1:44" ht="15.75" customHeight="1" thickBot="1" x14ac:dyDescent="0.4">
      <c r="A101" s="832"/>
      <c r="B101" s="825"/>
      <c r="C101" s="579" t="s">
        <v>268</v>
      </c>
      <c r="D101" s="45">
        <v>240</v>
      </c>
      <c r="E101" s="45">
        <v>240</v>
      </c>
      <c r="F101" s="148">
        <f t="shared" si="8"/>
        <v>0</v>
      </c>
      <c r="G101" s="45">
        <v>4</v>
      </c>
      <c r="H101" s="162">
        <f t="shared" si="9"/>
        <v>4</v>
      </c>
      <c r="I101" s="162">
        <f t="shared" si="10"/>
        <v>236</v>
      </c>
      <c r="J101" s="162">
        <f t="shared" si="11"/>
        <v>1.6666666666666667</v>
      </c>
      <c r="K101" s="660"/>
      <c r="L101" s="555">
        <v>138</v>
      </c>
      <c r="M101" s="148">
        <v>0</v>
      </c>
      <c r="N101" s="148">
        <v>0</v>
      </c>
      <c r="O101" s="64">
        <v>0</v>
      </c>
      <c r="P101" s="64">
        <v>0</v>
      </c>
      <c r="Q101" s="148">
        <v>0</v>
      </c>
      <c r="R101" s="148">
        <v>0</v>
      </c>
      <c r="S101" s="148">
        <v>0</v>
      </c>
      <c r="T101" s="148">
        <v>0</v>
      </c>
      <c r="U101" s="148">
        <v>0</v>
      </c>
      <c r="V101" s="148">
        <v>0</v>
      </c>
      <c r="W101" s="148">
        <v>0</v>
      </c>
      <c r="X101" s="148">
        <v>0</v>
      </c>
      <c r="Y101" s="148">
        <v>0</v>
      </c>
      <c r="Z101" s="148">
        <v>0</v>
      </c>
      <c r="AA101" s="148">
        <v>0</v>
      </c>
      <c r="AB101" s="148">
        <v>0</v>
      </c>
      <c r="AC101" s="148">
        <v>0</v>
      </c>
      <c r="AD101" s="148">
        <v>0</v>
      </c>
      <c r="AE101" s="148">
        <v>0</v>
      </c>
      <c r="AF101" s="45"/>
      <c r="AG101" s="45"/>
      <c r="AH101" s="688"/>
      <c r="AI101" s="688"/>
      <c r="AJ101" s="688"/>
      <c r="AK101" s="148"/>
      <c r="AL101" s="148"/>
      <c r="AM101" s="148"/>
      <c r="AN101" s="148"/>
      <c r="AO101" s="148"/>
      <c r="AP101" s="148"/>
      <c r="AQ101" s="577"/>
      <c r="AR101" s="578">
        <f t="shared" si="12"/>
        <v>0</v>
      </c>
    </row>
    <row r="102" spans="1:44" ht="15.75" customHeight="1" thickBot="1" x14ac:dyDescent="0.4">
      <c r="A102" s="831">
        <v>6</v>
      </c>
      <c r="B102" s="824" t="s">
        <v>349</v>
      </c>
      <c r="C102" s="579" t="s">
        <v>287</v>
      </c>
      <c r="D102" s="45">
        <v>1779</v>
      </c>
      <c r="E102" s="732">
        <v>1779</v>
      </c>
      <c r="F102" s="148">
        <f t="shared" si="8"/>
        <v>0</v>
      </c>
      <c r="G102" s="45">
        <v>947</v>
      </c>
      <c r="H102" s="162">
        <f t="shared" si="9"/>
        <v>961</v>
      </c>
      <c r="I102" s="162">
        <f t="shared" si="10"/>
        <v>818</v>
      </c>
      <c r="J102" s="162">
        <f t="shared" si="11"/>
        <v>54.019111860595842</v>
      </c>
      <c r="K102" s="660"/>
      <c r="L102" s="45"/>
      <c r="M102" s="148">
        <v>0</v>
      </c>
      <c r="N102" s="148">
        <v>7</v>
      </c>
      <c r="O102" s="64">
        <v>0</v>
      </c>
      <c r="P102" s="148">
        <v>7</v>
      </c>
      <c r="Q102" s="148">
        <v>0</v>
      </c>
      <c r="R102" s="148">
        <v>0</v>
      </c>
      <c r="S102" s="148">
        <v>0</v>
      </c>
      <c r="T102" s="148">
        <v>0</v>
      </c>
      <c r="U102" s="148">
        <v>0</v>
      </c>
      <c r="V102" s="148">
        <v>0</v>
      </c>
      <c r="W102" s="148">
        <v>0</v>
      </c>
      <c r="X102" s="148">
        <v>0</v>
      </c>
      <c r="Y102" s="148">
        <v>0</v>
      </c>
      <c r="Z102" s="148">
        <v>0</v>
      </c>
      <c r="AA102" s="148">
        <v>0</v>
      </c>
      <c r="AB102" s="148">
        <v>0</v>
      </c>
      <c r="AC102" s="148">
        <v>0</v>
      </c>
      <c r="AD102" s="148">
        <v>0</v>
      </c>
      <c r="AE102" s="148">
        <v>0</v>
      </c>
      <c r="AF102" s="45"/>
      <c r="AG102" s="45"/>
      <c r="AH102" s="688"/>
      <c r="AI102" s="148"/>
      <c r="AJ102" s="688"/>
      <c r="AK102" s="148"/>
      <c r="AL102" s="148"/>
      <c r="AM102" s="148"/>
      <c r="AN102" s="148"/>
      <c r="AO102" s="148"/>
      <c r="AP102" s="148"/>
      <c r="AQ102" s="577"/>
      <c r="AR102" s="578">
        <f t="shared" si="12"/>
        <v>14</v>
      </c>
    </row>
    <row r="103" spans="1:44" ht="15.65" customHeight="1" thickBot="1" x14ac:dyDescent="0.4">
      <c r="A103" s="832"/>
      <c r="B103" s="825"/>
      <c r="C103" s="579" t="s">
        <v>350</v>
      </c>
      <c r="D103" s="110">
        <v>3273</v>
      </c>
      <c r="E103" s="428">
        <v>3273</v>
      </c>
      <c r="F103" s="148">
        <f t="shared" si="8"/>
        <v>0</v>
      </c>
      <c r="G103" s="45">
        <v>3230.41</v>
      </c>
      <c r="H103" s="162">
        <f t="shared" si="9"/>
        <v>3236.41</v>
      </c>
      <c r="I103" s="162">
        <f t="shared" si="10"/>
        <v>36.590000000000146</v>
      </c>
      <c r="J103" s="162">
        <f t="shared" si="11"/>
        <v>98.882065383440278</v>
      </c>
      <c r="K103" s="660"/>
      <c r="L103" s="249"/>
      <c r="M103" s="148">
        <v>0</v>
      </c>
      <c r="N103" s="148">
        <v>0</v>
      </c>
      <c r="O103" s="64">
        <v>0</v>
      </c>
      <c r="P103" s="64">
        <v>0</v>
      </c>
      <c r="Q103" s="148">
        <v>0</v>
      </c>
      <c r="R103" s="148">
        <v>0</v>
      </c>
      <c r="S103" s="148">
        <v>0</v>
      </c>
      <c r="T103" s="148">
        <v>0</v>
      </c>
      <c r="U103" s="148">
        <v>5</v>
      </c>
      <c r="V103" s="148">
        <v>0</v>
      </c>
      <c r="W103" s="148">
        <v>0</v>
      </c>
      <c r="X103" s="148">
        <v>0</v>
      </c>
      <c r="Y103" s="148">
        <v>0</v>
      </c>
      <c r="Z103" s="148">
        <v>0</v>
      </c>
      <c r="AA103" s="148">
        <v>0</v>
      </c>
      <c r="AB103" s="148">
        <v>0</v>
      </c>
      <c r="AC103" s="148">
        <v>0</v>
      </c>
      <c r="AD103" s="148">
        <v>0</v>
      </c>
      <c r="AE103" s="148">
        <v>1</v>
      </c>
      <c r="AF103" s="45"/>
      <c r="AG103" s="45"/>
      <c r="AH103" s="688"/>
      <c r="AI103" s="688"/>
      <c r="AJ103" s="688"/>
      <c r="AK103" s="148"/>
      <c r="AL103" s="148"/>
      <c r="AM103" s="148"/>
      <c r="AN103" s="148"/>
      <c r="AO103" s="148"/>
      <c r="AP103" s="148"/>
      <c r="AQ103" s="577"/>
      <c r="AR103" s="578">
        <f t="shared" si="12"/>
        <v>6</v>
      </c>
    </row>
    <row r="104" spans="1:44" ht="16.5" customHeight="1" thickBot="1" x14ac:dyDescent="0.4">
      <c r="A104" s="832"/>
      <c r="B104" s="825"/>
      <c r="C104" s="579" t="s">
        <v>351</v>
      </c>
      <c r="D104" s="45">
        <v>1595</v>
      </c>
      <c r="E104" s="427">
        <v>1595</v>
      </c>
      <c r="F104" s="148">
        <f t="shared" si="8"/>
        <v>0</v>
      </c>
      <c r="G104" s="45">
        <v>1656.5</v>
      </c>
      <c r="H104" s="162">
        <f t="shared" si="9"/>
        <v>1656.5</v>
      </c>
      <c r="I104" s="162">
        <f t="shared" si="10"/>
        <v>-61.5</v>
      </c>
      <c r="J104" s="162">
        <f t="shared" si="11"/>
        <v>103.85579937304075</v>
      </c>
      <c r="K104" s="660"/>
      <c r="L104" s="249"/>
      <c r="M104" s="148">
        <v>0</v>
      </c>
      <c r="N104" s="148">
        <v>0</v>
      </c>
      <c r="O104" s="64">
        <v>0</v>
      </c>
      <c r="P104" s="64">
        <v>0</v>
      </c>
      <c r="Q104" s="148">
        <v>0</v>
      </c>
      <c r="R104" s="148">
        <v>0</v>
      </c>
      <c r="S104" s="148">
        <v>0</v>
      </c>
      <c r="T104" s="148">
        <v>0</v>
      </c>
      <c r="U104" s="148">
        <v>0</v>
      </c>
      <c r="V104" s="148">
        <v>0</v>
      </c>
      <c r="W104" s="148">
        <v>0</v>
      </c>
      <c r="X104" s="148">
        <v>0</v>
      </c>
      <c r="Y104" s="148">
        <v>0</v>
      </c>
      <c r="Z104" s="148">
        <v>0</v>
      </c>
      <c r="AA104" s="148">
        <v>0</v>
      </c>
      <c r="AB104" s="148">
        <v>0</v>
      </c>
      <c r="AC104" s="148">
        <v>0</v>
      </c>
      <c r="AD104" s="148">
        <v>0</v>
      </c>
      <c r="AE104" s="148">
        <v>0</v>
      </c>
      <c r="AF104" s="45"/>
      <c r="AG104" s="45"/>
      <c r="AH104" s="688"/>
      <c r="AI104" s="688"/>
      <c r="AJ104" s="688"/>
      <c r="AK104" s="148"/>
      <c r="AL104" s="148"/>
      <c r="AM104" s="148"/>
      <c r="AN104" s="148"/>
      <c r="AO104" s="148"/>
      <c r="AP104" s="148"/>
      <c r="AQ104" s="577"/>
      <c r="AR104" s="578">
        <f t="shared" si="12"/>
        <v>0</v>
      </c>
    </row>
    <row r="105" spans="1:44" ht="16.5" customHeight="1" thickBot="1" x14ac:dyDescent="0.4">
      <c r="A105" s="832"/>
      <c r="B105" s="825"/>
      <c r="C105" s="579" t="s">
        <v>352</v>
      </c>
      <c r="D105" s="45">
        <v>143</v>
      </c>
      <c r="E105" s="427">
        <v>143</v>
      </c>
      <c r="F105" s="148">
        <f t="shared" si="8"/>
        <v>0</v>
      </c>
      <c r="G105" s="45">
        <v>59</v>
      </c>
      <c r="H105" s="162">
        <f t="shared" si="9"/>
        <v>83</v>
      </c>
      <c r="I105" s="162">
        <f t="shared" si="10"/>
        <v>60</v>
      </c>
      <c r="J105" s="162">
        <f t="shared" si="11"/>
        <v>58.041958041958047</v>
      </c>
      <c r="K105" s="660"/>
      <c r="L105" s="555">
        <v>75</v>
      </c>
      <c r="M105" s="148">
        <v>3</v>
      </c>
      <c r="N105" s="148">
        <v>0</v>
      </c>
      <c r="O105" s="64">
        <v>0</v>
      </c>
      <c r="P105" s="64">
        <v>0</v>
      </c>
      <c r="Q105" s="148">
        <v>0</v>
      </c>
      <c r="R105" s="148">
        <v>0</v>
      </c>
      <c r="S105" s="148">
        <v>0</v>
      </c>
      <c r="T105" s="148">
        <v>3</v>
      </c>
      <c r="U105" s="148">
        <v>0</v>
      </c>
      <c r="V105" s="148">
        <v>0</v>
      </c>
      <c r="W105" s="148">
        <v>0</v>
      </c>
      <c r="X105" s="148">
        <v>0</v>
      </c>
      <c r="Y105" s="148">
        <v>0</v>
      </c>
      <c r="Z105" s="148">
        <v>0</v>
      </c>
      <c r="AA105" s="148">
        <v>0</v>
      </c>
      <c r="AB105" s="148">
        <v>0</v>
      </c>
      <c r="AC105" s="148">
        <v>0</v>
      </c>
      <c r="AD105" s="148">
        <v>0</v>
      </c>
      <c r="AE105" s="148">
        <v>18</v>
      </c>
      <c r="AF105" s="45"/>
      <c r="AG105" s="45"/>
      <c r="AH105" s="688"/>
      <c r="AI105" s="688"/>
      <c r="AJ105" s="688"/>
      <c r="AK105" s="148"/>
      <c r="AL105" s="148"/>
      <c r="AM105" s="148"/>
      <c r="AN105" s="148"/>
      <c r="AO105" s="148"/>
      <c r="AP105" s="148"/>
      <c r="AQ105" s="577"/>
      <c r="AR105" s="578">
        <f t="shared" si="12"/>
        <v>24</v>
      </c>
    </row>
    <row r="106" spans="1:44" ht="31.5" thickBot="1" x14ac:dyDescent="0.4">
      <c r="A106" s="832"/>
      <c r="B106" s="825"/>
      <c r="C106" s="580" t="s">
        <v>353</v>
      </c>
      <c r="D106" s="45">
        <f>160+500+142+75+165+30+40+70+60+55+125</f>
        <v>1422</v>
      </c>
      <c r="E106" s="45">
        <f>160+500+142+75+165+30+40+70+60+55+125</f>
        <v>1422</v>
      </c>
      <c r="F106" s="148">
        <f t="shared" si="8"/>
        <v>0</v>
      </c>
      <c r="G106" s="45">
        <v>575</v>
      </c>
      <c r="H106" s="162">
        <f t="shared" si="9"/>
        <v>582</v>
      </c>
      <c r="I106" s="162">
        <f t="shared" si="10"/>
        <v>840</v>
      </c>
      <c r="J106" s="162">
        <f t="shared" si="11"/>
        <v>40.928270042194093</v>
      </c>
      <c r="K106" s="660"/>
      <c r="L106" s="45"/>
      <c r="M106" s="148">
        <v>0</v>
      </c>
      <c r="N106" s="148">
        <v>0</v>
      </c>
      <c r="O106" s="64">
        <v>0</v>
      </c>
      <c r="P106" s="64">
        <v>0</v>
      </c>
      <c r="Q106" s="148">
        <v>0</v>
      </c>
      <c r="R106" s="148">
        <v>0</v>
      </c>
      <c r="S106" s="148">
        <v>0</v>
      </c>
      <c r="T106" s="148">
        <v>0</v>
      </c>
      <c r="U106" s="148">
        <v>6</v>
      </c>
      <c r="V106" s="148">
        <v>0</v>
      </c>
      <c r="W106" s="148">
        <v>0</v>
      </c>
      <c r="X106" s="148">
        <v>0</v>
      </c>
      <c r="Y106" s="148">
        <v>0</v>
      </c>
      <c r="Z106" s="148">
        <v>0</v>
      </c>
      <c r="AA106" s="148">
        <v>1</v>
      </c>
      <c r="AB106" s="148">
        <v>0</v>
      </c>
      <c r="AC106" s="148">
        <v>0</v>
      </c>
      <c r="AD106" s="148">
        <v>0</v>
      </c>
      <c r="AE106" s="148">
        <v>0</v>
      </c>
      <c r="AF106" s="45"/>
      <c r="AG106" s="45"/>
      <c r="AH106" s="688"/>
      <c r="AI106" s="148"/>
      <c r="AJ106" s="688"/>
      <c r="AK106" s="148"/>
      <c r="AL106" s="148"/>
      <c r="AM106" s="148"/>
      <c r="AN106" s="148"/>
      <c r="AO106" s="148"/>
      <c r="AP106" s="148"/>
      <c r="AQ106" s="577"/>
      <c r="AR106" s="578">
        <f t="shared" si="12"/>
        <v>7</v>
      </c>
    </row>
    <row r="107" spans="1:44" ht="15.65" customHeight="1" thickBot="1" x14ac:dyDescent="0.4">
      <c r="A107" s="832"/>
      <c r="B107" s="825"/>
      <c r="C107" s="579" t="s">
        <v>291</v>
      </c>
      <c r="D107" s="45">
        <v>1200</v>
      </c>
      <c r="E107" s="45">
        <v>1200</v>
      </c>
      <c r="F107" s="148">
        <f t="shared" si="8"/>
        <v>0</v>
      </c>
      <c r="G107" s="45">
        <v>29</v>
      </c>
      <c r="H107" s="162">
        <f t="shared" si="9"/>
        <v>65</v>
      </c>
      <c r="I107" s="162">
        <f t="shared" si="10"/>
        <v>1135</v>
      </c>
      <c r="J107" s="162">
        <f t="shared" si="11"/>
        <v>5.416666666666667</v>
      </c>
      <c r="K107" s="660"/>
      <c r="L107" s="555">
        <v>161</v>
      </c>
      <c r="M107" s="148">
        <v>0</v>
      </c>
      <c r="N107" s="148">
        <v>0</v>
      </c>
      <c r="O107" s="64">
        <v>0</v>
      </c>
      <c r="P107" s="64">
        <v>0</v>
      </c>
      <c r="Q107" s="148">
        <v>0</v>
      </c>
      <c r="R107" s="148">
        <v>0</v>
      </c>
      <c r="S107" s="148">
        <v>36</v>
      </c>
      <c r="T107" s="148">
        <v>0</v>
      </c>
      <c r="U107" s="148">
        <v>0</v>
      </c>
      <c r="V107" s="148">
        <v>0</v>
      </c>
      <c r="W107" s="148">
        <v>0</v>
      </c>
      <c r="X107" s="148">
        <v>0</v>
      </c>
      <c r="Y107" s="148">
        <v>0</v>
      </c>
      <c r="Z107" s="148">
        <v>0</v>
      </c>
      <c r="AA107" s="148">
        <v>0</v>
      </c>
      <c r="AB107" s="148">
        <v>0</v>
      </c>
      <c r="AC107" s="148">
        <v>0</v>
      </c>
      <c r="AD107" s="148">
        <v>0</v>
      </c>
      <c r="AE107" s="148">
        <v>0</v>
      </c>
      <c r="AF107" s="45"/>
      <c r="AG107" s="45"/>
      <c r="AH107" s="688"/>
      <c r="AI107" s="688"/>
      <c r="AJ107" s="148"/>
      <c r="AK107" s="148"/>
      <c r="AL107" s="148"/>
      <c r="AM107" s="148"/>
      <c r="AN107" s="148"/>
      <c r="AO107" s="148"/>
      <c r="AP107" s="148"/>
      <c r="AQ107" s="577"/>
      <c r="AR107" s="578">
        <f t="shared" si="12"/>
        <v>36</v>
      </c>
    </row>
    <row r="108" spans="1:44" ht="15.65" customHeight="1" thickBot="1" x14ac:dyDescent="0.4">
      <c r="A108" s="832"/>
      <c r="B108" s="825"/>
      <c r="C108" s="579" t="s">
        <v>354</v>
      </c>
      <c r="D108" s="45">
        <v>102</v>
      </c>
      <c r="E108" s="45">
        <v>102</v>
      </c>
      <c r="F108" s="148">
        <f t="shared" si="8"/>
        <v>0</v>
      </c>
      <c r="G108" s="45">
        <v>0</v>
      </c>
      <c r="H108" s="162">
        <f t="shared" ref="H108:H109" si="21">G108+AR108</f>
        <v>0</v>
      </c>
      <c r="I108" s="162">
        <f t="shared" ref="I108:I109" si="22">D108-H108</f>
        <v>102</v>
      </c>
      <c r="J108" s="162">
        <f t="shared" ref="J108:J109" si="23">H108/D108%</f>
        <v>0</v>
      </c>
      <c r="K108" s="660"/>
      <c r="L108" s="45"/>
      <c r="M108" s="148">
        <v>0</v>
      </c>
      <c r="N108" s="148">
        <v>0</v>
      </c>
      <c r="O108" s="64">
        <v>0</v>
      </c>
      <c r="P108" s="64">
        <v>0</v>
      </c>
      <c r="Q108" s="148">
        <v>0</v>
      </c>
      <c r="R108" s="148">
        <v>0</v>
      </c>
      <c r="S108" s="148">
        <v>0</v>
      </c>
      <c r="T108" s="148">
        <v>0</v>
      </c>
      <c r="U108" s="148">
        <v>0</v>
      </c>
      <c r="V108" s="148">
        <v>0</v>
      </c>
      <c r="W108" s="148">
        <v>0</v>
      </c>
      <c r="X108" s="148">
        <v>0</v>
      </c>
      <c r="Y108" s="148">
        <v>0</v>
      </c>
      <c r="Z108" s="148">
        <v>0</v>
      </c>
      <c r="AA108" s="148">
        <v>0</v>
      </c>
      <c r="AB108" s="148">
        <v>0</v>
      </c>
      <c r="AC108" s="148">
        <v>0</v>
      </c>
      <c r="AD108" s="148">
        <v>0</v>
      </c>
      <c r="AE108" s="148">
        <v>0</v>
      </c>
      <c r="AF108" s="45"/>
      <c r="AG108" s="45"/>
      <c r="AH108" s="688"/>
      <c r="AI108" s="688"/>
      <c r="AJ108" s="688"/>
      <c r="AK108" s="148"/>
      <c r="AL108" s="148"/>
      <c r="AM108" s="148"/>
      <c r="AN108" s="148"/>
      <c r="AO108" s="148"/>
      <c r="AP108" s="148"/>
      <c r="AQ108" s="577"/>
      <c r="AR108" s="578">
        <f t="shared" si="12"/>
        <v>0</v>
      </c>
    </row>
    <row r="109" spans="1:44" ht="15.65" customHeight="1" thickBot="1" x14ac:dyDescent="0.4">
      <c r="A109" s="832"/>
      <c r="B109" s="825"/>
      <c r="C109" s="579" t="s">
        <v>355</v>
      </c>
      <c r="D109" s="45">
        <v>250</v>
      </c>
      <c r="E109" s="45">
        <v>0</v>
      </c>
      <c r="F109" s="148">
        <f t="shared" si="8"/>
        <v>250</v>
      </c>
      <c r="G109" s="45">
        <v>0</v>
      </c>
      <c r="H109" s="162">
        <f t="shared" si="21"/>
        <v>0</v>
      </c>
      <c r="I109" s="162">
        <f t="shared" si="22"/>
        <v>250</v>
      </c>
      <c r="J109" s="162">
        <f t="shared" si="23"/>
        <v>0</v>
      </c>
      <c r="K109" s="660"/>
      <c r="L109" s="45"/>
      <c r="M109" s="148">
        <v>0</v>
      </c>
      <c r="N109" s="148">
        <v>0</v>
      </c>
      <c r="O109" s="64">
        <v>0</v>
      </c>
      <c r="P109" s="64">
        <v>0</v>
      </c>
      <c r="Q109" s="148">
        <v>0</v>
      </c>
      <c r="R109" s="148">
        <v>0</v>
      </c>
      <c r="S109" s="148">
        <v>0</v>
      </c>
      <c r="T109" s="148">
        <v>0</v>
      </c>
      <c r="U109" s="148">
        <v>0</v>
      </c>
      <c r="V109" s="148">
        <v>0</v>
      </c>
      <c r="W109" s="148">
        <v>0</v>
      </c>
      <c r="X109" s="148">
        <v>0</v>
      </c>
      <c r="Y109" s="148">
        <v>0</v>
      </c>
      <c r="Z109" s="148">
        <v>0</v>
      </c>
      <c r="AA109" s="148">
        <v>0</v>
      </c>
      <c r="AB109" s="148">
        <v>0</v>
      </c>
      <c r="AC109" s="148">
        <v>0</v>
      </c>
      <c r="AD109" s="148">
        <v>0</v>
      </c>
      <c r="AE109" s="148">
        <v>0</v>
      </c>
      <c r="AF109" s="45"/>
      <c r="AG109" s="45"/>
      <c r="AH109" s="688"/>
      <c r="AI109" s="688"/>
      <c r="AJ109" s="688"/>
      <c r="AK109" s="148"/>
      <c r="AL109" s="148"/>
      <c r="AM109" s="148"/>
      <c r="AN109" s="148"/>
      <c r="AO109" s="148"/>
      <c r="AP109" s="148"/>
      <c r="AQ109" s="577"/>
      <c r="AR109" s="578">
        <f t="shared" si="12"/>
        <v>0</v>
      </c>
    </row>
    <row r="110" spans="1:44" ht="15.65" customHeight="1" thickBot="1" x14ac:dyDescent="0.4">
      <c r="A110" s="832"/>
      <c r="B110" s="825"/>
      <c r="C110" s="579" t="s">
        <v>356</v>
      </c>
      <c r="D110" s="427">
        <f>1886+40</f>
        <v>1926</v>
      </c>
      <c r="E110" s="427">
        <f>1886+40</f>
        <v>1926</v>
      </c>
      <c r="F110" s="148">
        <f t="shared" si="8"/>
        <v>0</v>
      </c>
      <c r="G110" s="45">
        <v>1655.5</v>
      </c>
      <c r="H110" s="162">
        <f t="shared" si="9"/>
        <v>1716.5</v>
      </c>
      <c r="I110" s="162">
        <f t="shared" si="10"/>
        <v>209.5</v>
      </c>
      <c r="J110" s="162">
        <f t="shared" si="11"/>
        <v>89.122533748701969</v>
      </c>
      <c r="K110" s="660"/>
      <c r="L110" s="555">
        <v>48</v>
      </c>
      <c r="M110" s="148">
        <v>3</v>
      </c>
      <c r="N110" s="148">
        <v>0</v>
      </c>
      <c r="O110" s="148">
        <v>28</v>
      </c>
      <c r="P110" s="64">
        <v>0</v>
      </c>
      <c r="Q110" s="148">
        <v>0</v>
      </c>
      <c r="R110" s="148">
        <v>0</v>
      </c>
      <c r="S110" s="148">
        <v>0</v>
      </c>
      <c r="T110" s="148">
        <v>0</v>
      </c>
      <c r="U110" s="148">
        <v>0</v>
      </c>
      <c r="V110" s="148">
        <v>0</v>
      </c>
      <c r="W110" s="148">
        <v>0</v>
      </c>
      <c r="X110" s="148">
        <v>0</v>
      </c>
      <c r="Y110" s="148">
        <v>0</v>
      </c>
      <c r="Z110" s="148">
        <v>0</v>
      </c>
      <c r="AA110" s="148">
        <v>0</v>
      </c>
      <c r="AB110" s="148">
        <v>0</v>
      </c>
      <c r="AC110" s="148">
        <v>0</v>
      </c>
      <c r="AD110" s="148">
        <v>0</v>
      </c>
      <c r="AE110" s="148">
        <v>30</v>
      </c>
      <c r="AF110" s="45"/>
      <c r="AG110" s="45"/>
      <c r="AH110" s="688"/>
      <c r="AI110" s="688"/>
      <c r="AJ110" s="688"/>
      <c r="AK110" s="148"/>
      <c r="AL110" s="148"/>
      <c r="AM110" s="148"/>
      <c r="AN110" s="148"/>
      <c r="AO110" s="148"/>
      <c r="AP110" s="148"/>
      <c r="AQ110" s="577"/>
      <c r="AR110" s="578">
        <f t="shared" si="12"/>
        <v>61</v>
      </c>
    </row>
    <row r="111" spans="1:44" ht="15.65" customHeight="1" thickBot="1" x14ac:dyDescent="0.4">
      <c r="A111" s="832"/>
      <c r="B111" s="825"/>
      <c r="C111" s="579" t="s">
        <v>357</v>
      </c>
      <c r="D111" s="733">
        <v>1420</v>
      </c>
      <c r="E111" s="427">
        <f>940+480</f>
        <v>1420</v>
      </c>
      <c r="F111" s="148">
        <f t="shared" si="8"/>
        <v>0</v>
      </c>
      <c r="G111" s="45">
        <v>30</v>
      </c>
      <c r="H111" s="162">
        <f t="shared" si="9"/>
        <v>93</v>
      </c>
      <c r="I111" s="162">
        <f t="shared" si="10"/>
        <v>1327</v>
      </c>
      <c r="J111" s="162">
        <f t="shared" si="11"/>
        <v>6.5492957746478879</v>
      </c>
      <c r="K111" s="660"/>
      <c r="L111" s="555">
        <v>88</v>
      </c>
      <c r="M111" s="148">
        <v>10</v>
      </c>
      <c r="N111" s="148">
        <v>2</v>
      </c>
      <c r="O111" s="148">
        <v>10</v>
      </c>
      <c r="P111" s="64">
        <v>0</v>
      </c>
      <c r="Q111" s="148">
        <v>0</v>
      </c>
      <c r="R111" s="148">
        <v>0</v>
      </c>
      <c r="S111" s="148">
        <v>4</v>
      </c>
      <c r="T111" s="148">
        <v>9</v>
      </c>
      <c r="U111" s="148">
        <v>0</v>
      </c>
      <c r="V111" s="148">
        <v>26</v>
      </c>
      <c r="W111" s="148">
        <v>0</v>
      </c>
      <c r="X111" s="148">
        <v>0</v>
      </c>
      <c r="Y111" s="148">
        <v>2</v>
      </c>
      <c r="Z111" s="148">
        <v>0</v>
      </c>
      <c r="AA111" s="148">
        <v>0</v>
      </c>
      <c r="AB111" s="148">
        <v>0</v>
      </c>
      <c r="AC111" s="148">
        <v>0</v>
      </c>
      <c r="AD111" s="148">
        <v>0</v>
      </c>
      <c r="AE111" s="148">
        <v>0</v>
      </c>
      <c r="AF111" s="45"/>
      <c r="AG111" s="45"/>
      <c r="AH111" s="688"/>
      <c r="AI111" s="688"/>
      <c r="AJ111" s="688"/>
      <c r="AK111" s="148"/>
      <c r="AL111" s="148"/>
      <c r="AM111" s="148"/>
      <c r="AN111" s="148"/>
      <c r="AO111" s="148"/>
      <c r="AP111" s="148"/>
      <c r="AQ111" s="577"/>
      <c r="AR111" s="578">
        <f t="shared" si="12"/>
        <v>63</v>
      </c>
    </row>
    <row r="112" spans="1:44" ht="15.65" customHeight="1" thickBot="1" x14ac:dyDescent="0.4">
      <c r="A112" s="833"/>
      <c r="B112" s="826"/>
      <c r="C112" s="579" t="s">
        <v>358</v>
      </c>
      <c r="D112" s="45">
        <v>200</v>
      </c>
      <c r="E112" s="427">
        <v>200</v>
      </c>
      <c r="F112" s="148">
        <f t="shared" si="8"/>
        <v>0</v>
      </c>
      <c r="G112" s="45">
        <v>108</v>
      </c>
      <c r="H112" s="162">
        <f t="shared" si="9"/>
        <v>108</v>
      </c>
      <c r="I112" s="162">
        <f t="shared" si="10"/>
        <v>92</v>
      </c>
      <c r="J112" s="162">
        <f t="shared" si="11"/>
        <v>54</v>
      </c>
      <c r="K112" s="660"/>
      <c r="L112" s="555">
        <v>40</v>
      </c>
      <c r="M112" s="148">
        <v>0</v>
      </c>
      <c r="N112" s="148">
        <v>0</v>
      </c>
      <c r="O112" s="64">
        <v>0</v>
      </c>
      <c r="P112" s="64">
        <v>0</v>
      </c>
      <c r="Q112" s="148">
        <v>0</v>
      </c>
      <c r="R112" s="148">
        <v>0</v>
      </c>
      <c r="S112" s="148">
        <v>0</v>
      </c>
      <c r="T112" s="148">
        <v>0</v>
      </c>
      <c r="U112" s="148">
        <v>0</v>
      </c>
      <c r="V112" s="148">
        <v>0</v>
      </c>
      <c r="W112" s="148">
        <v>0</v>
      </c>
      <c r="X112" s="148">
        <v>0</v>
      </c>
      <c r="Y112" s="148">
        <v>0</v>
      </c>
      <c r="Z112" s="148">
        <v>0</v>
      </c>
      <c r="AA112" s="148">
        <v>0</v>
      </c>
      <c r="AB112" s="148">
        <v>0</v>
      </c>
      <c r="AC112" s="148">
        <v>0</v>
      </c>
      <c r="AD112" s="148">
        <v>0</v>
      </c>
      <c r="AE112" s="148">
        <v>0</v>
      </c>
      <c r="AF112" s="45"/>
      <c r="AG112" s="45"/>
      <c r="AH112" s="688"/>
      <c r="AI112" s="688"/>
      <c r="AJ112" s="688"/>
      <c r="AK112" s="148"/>
      <c r="AL112" s="148"/>
      <c r="AM112" s="148"/>
      <c r="AN112" s="148"/>
      <c r="AO112" s="148"/>
      <c r="AP112" s="148"/>
      <c r="AQ112" s="577"/>
      <c r="AR112" s="578">
        <f t="shared" si="12"/>
        <v>0</v>
      </c>
    </row>
    <row r="113" spans="1:44" ht="15.65" customHeight="1" thickBot="1" x14ac:dyDescent="0.4">
      <c r="A113" s="831">
        <v>7</v>
      </c>
      <c r="B113" s="824" t="s">
        <v>273</v>
      </c>
      <c r="C113" s="579" t="s">
        <v>359</v>
      </c>
      <c r="D113" s="45">
        <v>1755</v>
      </c>
      <c r="E113" s="45">
        <v>1755</v>
      </c>
      <c r="F113" s="148">
        <f t="shared" si="8"/>
        <v>0</v>
      </c>
      <c r="G113" s="45">
        <v>1801.5</v>
      </c>
      <c r="H113" s="162">
        <f t="shared" si="9"/>
        <v>1801.5</v>
      </c>
      <c r="I113" s="162">
        <f t="shared" si="10"/>
        <v>-46.5</v>
      </c>
      <c r="J113" s="162">
        <f t="shared" si="11"/>
        <v>102.64957264957265</v>
      </c>
      <c r="K113" s="660"/>
      <c r="L113" s="249"/>
      <c r="M113" s="148">
        <v>0</v>
      </c>
      <c r="N113" s="148">
        <v>0</v>
      </c>
      <c r="O113" s="64">
        <v>0</v>
      </c>
      <c r="P113" s="64">
        <v>0</v>
      </c>
      <c r="Q113" s="148">
        <v>0</v>
      </c>
      <c r="R113" s="148">
        <v>0</v>
      </c>
      <c r="S113" s="148">
        <v>0</v>
      </c>
      <c r="T113" s="148">
        <v>0</v>
      </c>
      <c r="U113" s="148">
        <v>0</v>
      </c>
      <c r="V113" s="148">
        <v>0</v>
      </c>
      <c r="W113" s="148">
        <v>0</v>
      </c>
      <c r="X113" s="148">
        <v>0</v>
      </c>
      <c r="Y113" s="148">
        <v>0</v>
      </c>
      <c r="Z113" s="148">
        <v>0</v>
      </c>
      <c r="AA113" s="148">
        <v>0</v>
      </c>
      <c r="AB113" s="148">
        <v>0</v>
      </c>
      <c r="AC113" s="148">
        <v>0</v>
      </c>
      <c r="AD113" s="148">
        <v>0</v>
      </c>
      <c r="AE113" s="148">
        <v>0</v>
      </c>
      <c r="AF113" s="45"/>
      <c r="AG113" s="45"/>
      <c r="AH113" s="688"/>
      <c r="AI113" s="688"/>
      <c r="AJ113" s="688"/>
      <c r="AK113" s="148"/>
      <c r="AL113" s="148"/>
      <c r="AM113" s="148"/>
      <c r="AN113" s="148"/>
      <c r="AO113" s="148"/>
      <c r="AP113" s="148"/>
      <c r="AQ113" s="577"/>
      <c r="AR113" s="578">
        <f t="shared" si="12"/>
        <v>0</v>
      </c>
    </row>
    <row r="114" spans="1:44" ht="15.65" customHeight="1" thickBot="1" x14ac:dyDescent="0.4">
      <c r="A114" s="832"/>
      <c r="B114" s="825"/>
      <c r="C114" s="579" t="s">
        <v>360</v>
      </c>
      <c r="D114" s="45">
        <v>1755</v>
      </c>
      <c r="E114" s="45">
        <v>1755</v>
      </c>
      <c r="F114" s="148">
        <f t="shared" si="8"/>
        <v>0</v>
      </c>
      <c r="G114" s="45">
        <v>2074</v>
      </c>
      <c r="H114" s="162">
        <f t="shared" si="9"/>
        <v>2113</v>
      </c>
      <c r="I114" s="162">
        <f t="shared" si="10"/>
        <v>-358</v>
      </c>
      <c r="J114" s="162">
        <f t="shared" si="11"/>
        <v>120.39886039886039</v>
      </c>
      <c r="K114" s="660"/>
      <c r="L114" s="555">
        <v>14</v>
      </c>
      <c r="M114" s="148">
        <v>0</v>
      </c>
      <c r="N114" s="148">
        <v>0</v>
      </c>
      <c r="O114" s="64">
        <v>0</v>
      </c>
      <c r="P114" s="64">
        <v>0</v>
      </c>
      <c r="Q114" s="148">
        <v>0</v>
      </c>
      <c r="R114" s="148">
        <v>26</v>
      </c>
      <c r="S114" s="148">
        <v>0</v>
      </c>
      <c r="T114" s="148">
        <v>0</v>
      </c>
      <c r="U114" s="148">
        <v>0</v>
      </c>
      <c r="V114" s="148">
        <v>0</v>
      </c>
      <c r="W114" s="148">
        <v>0</v>
      </c>
      <c r="X114" s="148">
        <v>5</v>
      </c>
      <c r="Y114" s="148">
        <v>0</v>
      </c>
      <c r="Z114" s="148">
        <v>0</v>
      </c>
      <c r="AA114" s="148">
        <v>0</v>
      </c>
      <c r="AB114" s="148">
        <v>0</v>
      </c>
      <c r="AC114" s="148">
        <v>0</v>
      </c>
      <c r="AD114" s="148">
        <v>0</v>
      </c>
      <c r="AE114" s="148">
        <v>8</v>
      </c>
      <c r="AF114" s="45"/>
      <c r="AG114" s="45"/>
      <c r="AH114" s="688"/>
      <c r="AI114" s="688"/>
      <c r="AJ114" s="688"/>
      <c r="AK114" s="148"/>
      <c r="AL114" s="148"/>
      <c r="AM114" s="148"/>
      <c r="AN114" s="148"/>
      <c r="AO114" s="148"/>
      <c r="AP114" s="148"/>
      <c r="AQ114" s="577"/>
      <c r="AR114" s="578">
        <f t="shared" si="12"/>
        <v>39</v>
      </c>
    </row>
    <row r="115" spans="1:44" ht="15.75" customHeight="1" thickBot="1" x14ac:dyDescent="0.4">
      <c r="A115" s="832"/>
      <c r="B115" s="825"/>
      <c r="C115" s="579" t="s">
        <v>361</v>
      </c>
      <c r="D115" s="45">
        <f>668+1290</f>
        <v>1958</v>
      </c>
      <c r="E115" s="45">
        <f>668+1290</f>
        <v>1958</v>
      </c>
      <c r="F115" s="148">
        <f t="shared" si="8"/>
        <v>0</v>
      </c>
      <c r="G115" s="45">
        <v>888</v>
      </c>
      <c r="H115" s="162">
        <f t="shared" si="9"/>
        <v>888</v>
      </c>
      <c r="I115" s="162">
        <f t="shared" si="10"/>
        <v>1070</v>
      </c>
      <c r="J115" s="162">
        <f t="shared" si="11"/>
        <v>45.352400408580188</v>
      </c>
      <c r="K115" s="660"/>
      <c r="L115" s="249"/>
      <c r="M115" s="148">
        <v>0</v>
      </c>
      <c r="N115" s="148">
        <v>0</v>
      </c>
      <c r="O115" s="64">
        <v>0</v>
      </c>
      <c r="P115" s="64">
        <v>0</v>
      </c>
      <c r="Q115" s="148">
        <v>0</v>
      </c>
      <c r="R115" s="148">
        <v>0</v>
      </c>
      <c r="S115" s="148">
        <v>0</v>
      </c>
      <c r="T115" s="148">
        <v>0</v>
      </c>
      <c r="U115" s="148">
        <v>0</v>
      </c>
      <c r="V115" s="148">
        <v>0</v>
      </c>
      <c r="W115" s="148">
        <v>0</v>
      </c>
      <c r="X115" s="148">
        <v>0</v>
      </c>
      <c r="Y115" s="148">
        <v>0</v>
      </c>
      <c r="Z115" s="148">
        <v>0</v>
      </c>
      <c r="AA115" s="148">
        <v>0</v>
      </c>
      <c r="AB115" s="148">
        <v>0</v>
      </c>
      <c r="AC115" s="148">
        <v>0</v>
      </c>
      <c r="AD115" s="148">
        <v>0</v>
      </c>
      <c r="AE115" s="148">
        <v>0</v>
      </c>
      <c r="AF115" s="45"/>
      <c r="AG115" s="45"/>
      <c r="AH115" s="688"/>
      <c r="AI115" s="688"/>
      <c r="AJ115" s="148"/>
      <c r="AK115" s="148"/>
      <c r="AL115" s="148"/>
      <c r="AM115" s="148"/>
      <c r="AN115" s="148"/>
      <c r="AO115" s="148"/>
      <c r="AP115" s="148"/>
      <c r="AQ115" s="577"/>
      <c r="AR115" s="578">
        <f t="shared" si="12"/>
        <v>0</v>
      </c>
    </row>
    <row r="116" spans="1:44" ht="15.75" customHeight="1" thickBot="1" x14ac:dyDescent="0.4">
      <c r="A116" s="832"/>
      <c r="B116" s="825"/>
      <c r="C116" s="579" t="s">
        <v>362</v>
      </c>
      <c r="D116" s="45">
        <f>668+1290</f>
        <v>1958</v>
      </c>
      <c r="E116" s="45">
        <f>668+1290</f>
        <v>1958</v>
      </c>
      <c r="F116" s="148">
        <f t="shared" si="8"/>
        <v>0</v>
      </c>
      <c r="G116" s="45">
        <v>818</v>
      </c>
      <c r="H116" s="162">
        <f t="shared" si="9"/>
        <v>818</v>
      </c>
      <c r="I116" s="162">
        <f t="shared" si="10"/>
        <v>1140</v>
      </c>
      <c r="J116" s="162">
        <f t="shared" si="11"/>
        <v>41.777323799795717</v>
      </c>
      <c r="K116" s="660"/>
      <c r="L116" s="249"/>
      <c r="M116" s="148">
        <v>0</v>
      </c>
      <c r="N116" s="148">
        <v>0</v>
      </c>
      <c r="O116" s="64">
        <v>0</v>
      </c>
      <c r="P116" s="64">
        <v>0</v>
      </c>
      <c r="Q116" s="148">
        <v>0</v>
      </c>
      <c r="R116" s="148">
        <v>0</v>
      </c>
      <c r="S116" s="148">
        <v>0</v>
      </c>
      <c r="T116" s="148">
        <v>0</v>
      </c>
      <c r="U116" s="148">
        <v>0</v>
      </c>
      <c r="V116" s="148">
        <v>0</v>
      </c>
      <c r="W116" s="148">
        <v>0</v>
      </c>
      <c r="X116" s="148">
        <v>0</v>
      </c>
      <c r="Y116" s="148">
        <v>0</v>
      </c>
      <c r="Z116" s="148">
        <v>0</v>
      </c>
      <c r="AA116" s="148">
        <v>0</v>
      </c>
      <c r="AB116" s="148">
        <v>0</v>
      </c>
      <c r="AC116" s="148">
        <v>0</v>
      </c>
      <c r="AD116" s="148">
        <v>0</v>
      </c>
      <c r="AE116" s="148">
        <v>0</v>
      </c>
      <c r="AF116" s="45"/>
      <c r="AG116" s="45"/>
      <c r="AH116" s="688"/>
      <c r="AI116" s="688"/>
      <c r="AJ116" s="688"/>
      <c r="AK116" s="148"/>
      <c r="AL116" s="148"/>
      <c r="AM116" s="148"/>
      <c r="AN116" s="148"/>
      <c r="AO116" s="148"/>
      <c r="AP116" s="148"/>
      <c r="AQ116" s="577"/>
      <c r="AR116" s="578">
        <f t="shared" si="12"/>
        <v>0</v>
      </c>
    </row>
    <row r="117" spans="1:44" ht="15.75" customHeight="1" thickBot="1" x14ac:dyDescent="0.4">
      <c r="A117" s="832"/>
      <c r="B117" s="825"/>
      <c r="C117" s="579" t="s">
        <v>363</v>
      </c>
      <c r="D117" s="45">
        <v>230</v>
      </c>
      <c r="E117" s="45">
        <v>230</v>
      </c>
      <c r="F117" s="148">
        <f t="shared" si="8"/>
        <v>0</v>
      </c>
      <c r="G117" s="45">
        <v>259</v>
      </c>
      <c r="H117" s="162">
        <f t="shared" si="9"/>
        <v>259</v>
      </c>
      <c r="I117" s="162">
        <f t="shared" si="10"/>
        <v>-29</v>
      </c>
      <c r="J117" s="162">
        <f t="shared" si="11"/>
        <v>112.60869565217392</v>
      </c>
      <c r="K117" s="660"/>
      <c r="L117" s="814">
        <v>158</v>
      </c>
      <c r="M117" s="148">
        <v>0</v>
      </c>
      <c r="N117" s="148">
        <v>0</v>
      </c>
      <c r="O117" s="64">
        <v>0</v>
      </c>
      <c r="P117" s="64">
        <v>0</v>
      </c>
      <c r="Q117" s="148">
        <v>0</v>
      </c>
      <c r="R117" s="148">
        <v>0</v>
      </c>
      <c r="S117" s="148">
        <v>0</v>
      </c>
      <c r="T117" s="148">
        <v>0</v>
      </c>
      <c r="U117" s="148">
        <v>0</v>
      </c>
      <c r="V117" s="148">
        <v>0</v>
      </c>
      <c r="W117" s="148">
        <v>0</v>
      </c>
      <c r="X117" s="148">
        <v>0</v>
      </c>
      <c r="Y117" s="148">
        <v>0</v>
      </c>
      <c r="Z117" s="148">
        <v>0</v>
      </c>
      <c r="AA117" s="148">
        <v>0</v>
      </c>
      <c r="AB117" s="148">
        <v>0</v>
      </c>
      <c r="AC117" s="148">
        <v>0</v>
      </c>
      <c r="AD117" s="148">
        <v>0</v>
      </c>
      <c r="AE117" s="148">
        <v>0</v>
      </c>
      <c r="AF117" s="45"/>
      <c r="AG117" s="45"/>
      <c r="AH117" s="688"/>
      <c r="AI117" s="688"/>
      <c r="AJ117" s="688"/>
      <c r="AK117" s="148"/>
      <c r="AL117" s="148"/>
      <c r="AM117" s="148"/>
      <c r="AN117" s="148"/>
      <c r="AO117" s="148"/>
      <c r="AP117" s="148"/>
      <c r="AQ117" s="577"/>
      <c r="AR117" s="578">
        <f t="shared" si="12"/>
        <v>0</v>
      </c>
    </row>
    <row r="118" spans="1:44" ht="15.65" customHeight="1" thickBot="1" x14ac:dyDescent="0.4">
      <c r="A118" s="832"/>
      <c r="B118" s="825"/>
      <c r="C118" s="579" t="s">
        <v>364</v>
      </c>
      <c r="D118" s="45">
        <v>244</v>
      </c>
      <c r="E118" s="45">
        <v>244</v>
      </c>
      <c r="F118" s="148">
        <f t="shared" si="8"/>
        <v>0</v>
      </c>
      <c r="G118" s="45">
        <v>253</v>
      </c>
      <c r="H118" s="162">
        <f t="shared" si="9"/>
        <v>253</v>
      </c>
      <c r="I118" s="162">
        <f t="shared" si="10"/>
        <v>-9</v>
      </c>
      <c r="J118" s="162">
        <f t="shared" si="11"/>
        <v>103.68852459016394</v>
      </c>
      <c r="K118" s="660"/>
      <c r="L118" s="815"/>
      <c r="M118" s="148">
        <v>0</v>
      </c>
      <c r="N118" s="148">
        <v>0</v>
      </c>
      <c r="O118" s="64">
        <v>0</v>
      </c>
      <c r="P118" s="64">
        <v>0</v>
      </c>
      <c r="Q118" s="148">
        <v>0</v>
      </c>
      <c r="R118" s="148">
        <v>0</v>
      </c>
      <c r="S118" s="148">
        <v>0</v>
      </c>
      <c r="T118" s="148">
        <v>0</v>
      </c>
      <c r="U118" s="148">
        <v>0</v>
      </c>
      <c r="V118" s="148">
        <v>0</v>
      </c>
      <c r="W118" s="148">
        <v>0</v>
      </c>
      <c r="X118" s="148">
        <v>0</v>
      </c>
      <c r="Y118" s="148">
        <v>0</v>
      </c>
      <c r="Z118" s="148">
        <v>0</v>
      </c>
      <c r="AA118" s="148">
        <v>0</v>
      </c>
      <c r="AB118" s="148">
        <v>0</v>
      </c>
      <c r="AC118" s="148">
        <v>0</v>
      </c>
      <c r="AD118" s="148">
        <v>0</v>
      </c>
      <c r="AE118" s="148">
        <v>0</v>
      </c>
      <c r="AF118" s="45"/>
      <c r="AG118" s="45"/>
      <c r="AH118" s="688"/>
      <c r="AI118" s="688"/>
      <c r="AJ118" s="688"/>
      <c r="AK118" s="148"/>
      <c r="AL118" s="148"/>
      <c r="AM118" s="148"/>
      <c r="AN118" s="148"/>
      <c r="AO118" s="148"/>
      <c r="AP118" s="148"/>
      <c r="AQ118" s="577"/>
      <c r="AR118" s="578">
        <f t="shared" si="12"/>
        <v>0</v>
      </c>
    </row>
    <row r="119" spans="1:44" ht="15.75" customHeight="1" thickBot="1" x14ac:dyDescent="0.4">
      <c r="A119" s="832"/>
      <c r="B119" s="825"/>
      <c r="C119" s="579" t="s">
        <v>365</v>
      </c>
      <c r="D119" s="45">
        <v>3100</v>
      </c>
      <c r="E119" s="45">
        <v>3100</v>
      </c>
      <c r="F119" s="148">
        <f t="shared" si="8"/>
        <v>0</v>
      </c>
      <c r="G119" s="45">
        <v>2178</v>
      </c>
      <c r="H119" s="162">
        <f t="shared" si="9"/>
        <v>2373</v>
      </c>
      <c r="I119" s="162">
        <f t="shared" si="10"/>
        <v>727</v>
      </c>
      <c r="J119" s="162">
        <f t="shared" si="11"/>
        <v>76.548387096774192</v>
      </c>
      <c r="K119" s="660"/>
      <c r="L119" s="814">
        <v>352</v>
      </c>
      <c r="M119" s="148">
        <v>0</v>
      </c>
      <c r="N119" s="148">
        <v>49</v>
      </c>
      <c r="O119" s="64">
        <v>0</v>
      </c>
      <c r="P119" s="64">
        <v>0</v>
      </c>
      <c r="Q119" s="148">
        <v>4</v>
      </c>
      <c r="R119" s="148">
        <v>0</v>
      </c>
      <c r="S119" s="148">
        <v>0</v>
      </c>
      <c r="T119" s="148">
        <v>0</v>
      </c>
      <c r="U119" s="148">
        <v>0</v>
      </c>
      <c r="V119" s="148">
        <v>0</v>
      </c>
      <c r="W119" s="148">
        <v>0</v>
      </c>
      <c r="X119" s="148">
        <v>0</v>
      </c>
      <c r="Y119" s="148">
        <v>0</v>
      </c>
      <c r="Z119" s="148">
        <v>0</v>
      </c>
      <c r="AA119" s="148">
        <v>24</v>
      </c>
      <c r="AB119" s="148">
        <v>100</v>
      </c>
      <c r="AC119" s="148">
        <v>0</v>
      </c>
      <c r="AD119" s="148">
        <v>0</v>
      </c>
      <c r="AE119" s="148">
        <v>18</v>
      </c>
      <c r="AF119" s="45"/>
      <c r="AG119" s="45"/>
      <c r="AH119" s="688"/>
      <c r="AI119" s="688"/>
      <c r="AJ119" s="688"/>
      <c r="AK119" s="148"/>
      <c r="AL119" s="148"/>
      <c r="AM119" s="148"/>
      <c r="AN119" s="148"/>
      <c r="AO119" s="148"/>
      <c r="AP119" s="148"/>
      <c r="AQ119" s="577"/>
      <c r="AR119" s="578">
        <f t="shared" si="12"/>
        <v>195</v>
      </c>
    </row>
    <row r="120" spans="1:44" ht="15.75" customHeight="1" thickBot="1" x14ac:dyDescent="0.4">
      <c r="A120" s="832"/>
      <c r="B120" s="825"/>
      <c r="C120" s="579" t="s">
        <v>366</v>
      </c>
      <c r="D120" s="45">
        <v>3100</v>
      </c>
      <c r="E120" s="45">
        <v>3100</v>
      </c>
      <c r="F120" s="148">
        <f t="shared" si="8"/>
        <v>0</v>
      </c>
      <c r="G120" s="45">
        <v>2070</v>
      </c>
      <c r="H120" s="162">
        <f t="shared" si="9"/>
        <v>2204</v>
      </c>
      <c r="I120" s="162">
        <f t="shared" si="10"/>
        <v>896</v>
      </c>
      <c r="J120" s="162">
        <f t="shared" si="11"/>
        <v>71.096774193548384</v>
      </c>
      <c r="K120" s="660"/>
      <c r="L120" s="815"/>
      <c r="M120" s="148">
        <v>68</v>
      </c>
      <c r="N120" s="148">
        <v>0</v>
      </c>
      <c r="O120" s="64">
        <v>0</v>
      </c>
      <c r="P120" s="64">
        <v>0</v>
      </c>
      <c r="Q120" s="148">
        <v>0</v>
      </c>
      <c r="R120" s="148">
        <v>0</v>
      </c>
      <c r="S120" s="148">
        <v>0</v>
      </c>
      <c r="T120" s="148">
        <v>0</v>
      </c>
      <c r="U120" s="148">
        <v>0</v>
      </c>
      <c r="V120" s="148">
        <v>0</v>
      </c>
      <c r="W120" s="148">
        <v>0</v>
      </c>
      <c r="X120" s="148">
        <v>0</v>
      </c>
      <c r="Y120" s="148">
        <v>0</v>
      </c>
      <c r="Z120" s="148">
        <v>0</v>
      </c>
      <c r="AA120" s="148">
        <v>18</v>
      </c>
      <c r="AB120" s="148">
        <v>0</v>
      </c>
      <c r="AC120" s="148">
        <v>0</v>
      </c>
      <c r="AD120" s="148">
        <v>42</v>
      </c>
      <c r="AE120" s="148">
        <v>6</v>
      </c>
      <c r="AF120" s="45"/>
      <c r="AG120" s="45"/>
      <c r="AH120" s="688"/>
      <c r="AI120" s="688"/>
      <c r="AJ120" s="688"/>
      <c r="AK120" s="148"/>
      <c r="AL120" s="148"/>
      <c r="AM120" s="148"/>
      <c r="AN120" s="148"/>
      <c r="AO120" s="148"/>
      <c r="AP120" s="148"/>
      <c r="AQ120" s="577"/>
      <c r="AR120" s="578">
        <f t="shared" si="12"/>
        <v>134</v>
      </c>
    </row>
    <row r="121" spans="1:44" ht="15.75" customHeight="1" thickBot="1" x14ac:dyDescent="0.4">
      <c r="A121" s="832"/>
      <c r="B121" s="825"/>
      <c r="C121" s="579" t="s">
        <v>367</v>
      </c>
      <c r="D121" s="45">
        <v>900</v>
      </c>
      <c r="E121" s="45">
        <v>900</v>
      </c>
      <c r="F121" s="148">
        <f t="shared" si="8"/>
        <v>0</v>
      </c>
      <c r="G121" s="45">
        <v>852</v>
      </c>
      <c r="H121" s="162">
        <f t="shared" si="9"/>
        <v>852</v>
      </c>
      <c r="I121" s="162">
        <f t="shared" si="10"/>
        <v>48</v>
      </c>
      <c r="J121" s="162">
        <f t="shared" si="11"/>
        <v>94.666666666666671</v>
      </c>
      <c r="K121" s="660"/>
      <c r="L121" s="249"/>
      <c r="M121" s="148">
        <v>0</v>
      </c>
      <c r="N121" s="148">
        <v>0</v>
      </c>
      <c r="O121" s="64">
        <v>0</v>
      </c>
      <c r="P121" s="64">
        <v>0</v>
      </c>
      <c r="Q121" s="148">
        <v>0</v>
      </c>
      <c r="R121" s="148">
        <v>0</v>
      </c>
      <c r="S121" s="148">
        <v>0</v>
      </c>
      <c r="T121" s="148">
        <v>0</v>
      </c>
      <c r="U121" s="148">
        <v>0</v>
      </c>
      <c r="V121" s="148">
        <v>0</v>
      </c>
      <c r="W121" s="148">
        <v>0</v>
      </c>
      <c r="X121" s="148">
        <v>0</v>
      </c>
      <c r="Y121" s="148">
        <v>0</v>
      </c>
      <c r="Z121" s="148">
        <v>0</v>
      </c>
      <c r="AA121" s="148">
        <v>0</v>
      </c>
      <c r="AB121" s="148">
        <v>0</v>
      </c>
      <c r="AC121" s="148">
        <v>0</v>
      </c>
      <c r="AD121" s="148">
        <v>0</v>
      </c>
      <c r="AE121" s="148">
        <v>0</v>
      </c>
      <c r="AF121" s="45"/>
      <c r="AG121" s="45"/>
      <c r="AH121" s="688"/>
      <c r="AI121" s="688"/>
      <c r="AJ121" s="688"/>
      <c r="AK121" s="148"/>
      <c r="AL121" s="148"/>
      <c r="AM121" s="148"/>
      <c r="AN121" s="148"/>
      <c r="AO121" s="148"/>
      <c r="AP121" s="148"/>
      <c r="AQ121" s="577"/>
      <c r="AR121" s="578">
        <f t="shared" si="12"/>
        <v>0</v>
      </c>
    </row>
    <row r="122" spans="1:44" ht="15.65" customHeight="1" thickBot="1" x14ac:dyDescent="0.4">
      <c r="A122" s="832"/>
      <c r="B122" s="825"/>
      <c r="C122" s="579" t="s">
        <v>368</v>
      </c>
      <c r="D122" s="45">
        <v>830</v>
      </c>
      <c r="E122" s="45">
        <v>830</v>
      </c>
      <c r="F122" s="148">
        <f t="shared" si="8"/>
        <v>0</v>
      </c>
      <c r="G122" s="45">
        <v>760</v>
      </c>
      <c r="H122" s="162">
        <f t="shared" si="9"/>
        <v>760</v>
      </c>
      <c r="I122" s="162">
        <f t="shared" si="10"/>
        <v>70</v>
      </c>
      <c r="J122" s="162">
        <f t="shared" si="11"/>
        <v>91.566265060240951</v>
      </c>
      <c r="K122" s="660"/>
      <c r="L122" s="249"/>
      <c r="M122" s="148">
        <v>0</v>
      </c>
      <c r="N122" s="148">
        <v>0</v>
      </c>
      <c r="O122" s="64">
        <v>0</v>
      </c>
      <c r="P122" s="64">
        <v>0</v>
      </c>
      <c r="Q122" s="148">
        <v>0</v>
      </c>
      <c r="R122" s="148">
        <v>0</v>
      </c>
      <c r="S122" s="148">
        <v>0</v>
      </c>
      <c r="T122" s="148">
        <v>0</v>
      </c>
      <c r="U122" s="148">
        <v>0</v>
      </c>
      <c r="V122" s="148">
        <v>0</v>
      </c>
      <c r="W122" s="148">
        <v>0</v>
      </c>
      <c r="X122" s="148">
        <v>0</v>
      </c>
      <c r="Y122" s="148">
        <v>0</v>
      </c>
      <c r="Z122" s="148">
        <v>0</v>
      </c>
      <c r="AA122" s="148">
        <v>0</v>
      </c>
      <c r="AB122" s="148">
        <v>0</v>
      </c>
      <c r="AC122" s="148">
        <v>0</v>
      </c>
      <c r="AD122" s="148">
        <v>0</v>
      </c>
      <c r="AE122" s="148">
        <v>0</v>
      </c>
      <c r="AF122" s="45"/>
      <c r="AG122" s="45"/>
      <c r="AH122" s="688"/>
      <c r="AI122" s="688"/>
      <c r="AJ122" s="688"/>
      <c r="AK122" s="148"/>
      <c r="AL122" s="148"/>
      <c r="AM122" s="148"/>
      <c r="AN122" s="148"/>
      <c r="AO122" s="148"/>
      <c r="AP122" s="148"/>
      <c r="AQ122" s="577"/>
      <c r="AR122" s="578">
        <f t="shared" si="12"/>
        <v>0</v>
      </c>
    </row>
    <row r="123" spans="1:44" ht="15.65" customHeight="1" thickBot="1" x14ac:dyDescent="0.4">
      <c r="A123" s="832"/>
      <c r="B123" s="825"/>
      <c r="C123" s="579" t="s">
        <v>369</v>
      </c>
      <c r="D123" s="45">
        <v>295</v>
      </c>
      <c r="E123" s="45">
        <v>295</v>
      </c>
      <c r="F123" s="148">
        <f t="shared" si="8"/>
        <v>0</v>
      </c>
      <c r="G123" s="45">
        <v>146</v>
      </c>
      <c r="H123" s="162">
        <f t="shared" si="9"/>
        <v>176</v>
      </c>
      <c r="I123" s="162">
        <f t="shared" si="10"/>
        <v>119</v>
      </c>
      <c r="J123" s="162">
        <f t="shared" si="11"/>
        <v>59.66101694915254</v>
      </c>
      <c r="K123" s="660"/>
      <c r="L123" s="814">
        <v>15</v>
      </c>
      <c r="M123" s="148">
        <v>0</v>
      </c>
      <c r="N123" s="148">
        <v>0</v>
      </c>
      <c r="O123" s="64">
        <v>0</v>
      </c>
      <c r="P123" s="148">
        <v>30</v>
      </c>
      <c r="Q123" s="148">
        <v>0</v>
      </c>
      <c r="R123" s="148">
        <v>0</v>
      </c>
      <c r="S123" s="148">
        <v>0</v>
      </c>
      <c r="T123" s="148">
        <v>0</v>
      </c>
      <c r="U123" s="148">
        <v>0</v>
      </c>
      <c r="V123" s="148">
        <v>0</v>
      </c>
      <c r="W123" s="148">
        <v>0</v>
      </c>
      <c r="X123" s="148">
        <v>0</v>
      </c>
      <c r="Y123" s="148">
        <v>0</v>
      </c>
      <c r="Z123" s="148">
        <v>0</v>
      </c>
      <c r="AA123" s="148">
        <v>0</v>
      </c>
      <c r="AB123" s="148">
        <v>0</v>
      </c>
      <c r="AC123" s="148">
        <v>0</v>
      </c>
      <c r="AD123" s="148">
        <v>0</v>
      </c>
      <c r="AE123" s="148">
        <v>0</v>
      </c>
      <c r="AF123" s="45"/>
      <c r="AG123" s="45"/>
      <c r="AH123" s="688"/>
      <c r="AI123" s="688"/>
      <c r="AJ123" s="688"/>
      <c r="AK123" s="148"/>
      <c r="AL123" s="148"/>
      <c r="AM123" s="148"/>
      <c r="AN123" s="148"/>
      <c r="AO123" s="148"/>
      <c r="AP123" s="148"/>
      <c r="AQ123" s="577"/>
      <c r="AR123" s="578">
        <f t="shared" si="12"/>
        <v>30</v>
      </c>
    </row>
    <row r="124" spans="1:44" ht="15.65" customHeight="1" thickBot="1" x14ac:dyDescent="0.4">
      <c r="A124" s="832"/>
      <c r="B124" s="825"/>
      <c r="C124" s="579" t="s">
        <v>370</v>
      </c>
      <c r="D124" s="45">
        <v>295</v>
      </c>
      <c r="E124" s="45">
        <v>295</v>
      </c>
      <c r="F124" s="148">
        <f t="shared" si="8"/>
        <v>0</v>
      </c>
      <c r="G124" s="45">
        <v>53</v>
      </c>
      <c r="H124" s="162">
        <f t="shared" si="9"/>
        <v>53</v>
      </c>
      <c r="I124" s="162">
        <f t="shared" si="10"/>
        <v>242</v>
      </c>
      <c r="J124" s="162">
        <f t="shared" si="11"/>
        <v>17.966101694915253</v>
      </c>
      <c r="K124" s="660"/>
      <c r="L124" s="815"/>
      <c r="M124" s="148">
        <v>0</v>
      </c>
      <c r="N124" s="148">
        <v>0</v>
      </c>
      <c r="O124" s="64">
        <v>0</v>
      </c>
      <c r="P124" s="64">
        <v>0</v>
      </c>
      <c r="Q124" s="148">
        <v>0</v>
      </c>
      <c r="R124" s="148">
        <v>0</v>
      </c>
      <c r="S124" s="148">
        <v>0</v>
      </c>
      <c r="T124" s="148">
        <v>0</v>
      </c>
      <c r="U124" s="148">
        <v>0</v>
      </c>
      <c r="V124" s="148">
        <v>0</v>
      </c>
      <c r="W124" s="148">
        <v>0</v>
      </c>
      <c r="X124" s="148">
        <v>0</v>
      </c>
      <c r="Y124" s="148">
        <v>0</v>
      </c>
      <c r="Z124" s="148">
        <v>0</v>
      </c>
      <c r="AA124" s="148">
        <v>0</v>
      </c>
      <c r="AB124" s="148">
        <v>0</v>
      </c>
      <c r="AC124" s="148">
        <v>0</v>
      </c>
      <c r="AD124" s="148">
        <v>0</v>
      </c>
      <c r="AE124" s="148">
        <v>0</v>
      </c>
      <c r="AF124" s="45"/>
      <c r="AG124" s="45"/>
      <c r="AH124" s="688"/>
      <c r="AI124" s="688"/>
      <c r="AJ124" s="688"/>
      <c r="AK124" s="148"/>
      <c r="AL124" s="148"/>
      <c r="AM124" s="148"/>
      <c r="AN124" s="148"/>
      <c r="AO124" s="148"/>
      <c r="AP124" s="148"/>
      <c r="AQ124" s="577"/>
      <c r="AR124" s="578">
        <f t="shared" si="12"/>
        <v>0</v>
      </c>
    </row>
    <row r="125" spans="1:44" ht="15.65" customHeight="1" thickBot="1" x14ac:dyDescent="0.4">
      <c r="A125" s="832"/>
      <c r="B125" s="825"/>
      <c r="C125" s="579" t="s">
        <v>371</v>
      </c>
      <c r="D125" s="45">
        <v>380</v>
      </c>
      <c r="E125" s="45">
        <v>380</v>
      </c>
      <c r="F125" s="148">
        <f t="shared" si="8"/>
        <v>0</v>
      </c>
      <c r="G125" s="45">
        <v>90</v>
      </c>
      <c r="H125" s="162">
        <f t="shared" si="9"/>
        <v>90</v>
      </c>
      <c r="I125" s="162">
        <f>D125-H125</f>
        <v>290</v>
      </c>
      <c r="J125" s="162">
        <f>H125/D125%</f>
        <v>23.684210526315791</v>
      </c>
      <c r="K125" s="660"/>
      <c r="L125" s="814">
        <v>215</v>
      </c>
      <c r="M125" s="148">
        <v>0</v>
      </c>
      <c r="N125" s="148">
        <v>0</v>
      </c>
      <c r="O125" s="64">
        <v>0</v>
      </c>
      <c r="P125" s="64">
        <v>0</v>
      </c>
      <c r="Q125" s="148">
        <v>0</v>
      </c>
      <c r="R125" s="148">
        <v>0</v>
      </c>
      <c r="S125" s="148">
        <v>0</v>
      </c>
      <c r="T125" s="148">
        <v>0</v>
      </c>
      <c r="U125" s="148">
        <v>0</v>
      </c>
      <c r="V125" s="148">
        <v>0</v>
      </c>
      <c r="W125" s="148">
        <v>0</v>
      </c>
      <c r="X125" s="148">
        <v>0</v>
      </c>
      <c r="Y125" s="148">
        <v>0</v>
      </c>
      <c r="Z125" s="148">
        <v>0</v>
      </c>
      <c r="AA125" s="148">
        <v>0</v>
      </c>
      <c r="AB125" s="148">
        <v>0</v>
      </c>
      <c r="AC125" s="148">
        <v>0</v>
      </c>
      <c r="AD125" s="148">
        <v>0</v>
      </c>
      <c r="AE125" s="148">
        <v>0</v>
      </c>
      <c r="AF125" s="45"/>
      <c r="AG125" s="45"/>
      <c r="AH125" s="688"/>
      <c r="AI125" s="148"/>
      <c r="AJ125" s="688"/>
      <c r="AK125" s="148"/>
      <c r="AL125" s="148"/>
      <c r="AM125" s="148"/>
      <c r="AN125" s="148"/>
      <c r="AO125" s="148"/>
      <c r="AP125" s="148"/>
      <c r="AQ125" s="577"/>
      <c r="AR125" s="578">
        <f t="shared" si="12"/>
        <v>0</v>
      </c>
    </row>
    <row r="126" spans="1:44" ht="15.65" customHeight="1" thickBot="1" x14ac:dyDescent="0.4">
      <c r="A126" s="833"/>
      <c r="B126" s="826"/>
      <c r="C126" s="579" t="s">
        <v>372</v>
      </c>
      <c r="D126" s="45">
        <v>390</v>
      </c>
      <c r="E126" s="45">
        <v>390</v>
      </c>
      <c r="F126" s="148">
        <f t="shared" si="8"/>
        <v>0</v>
      </c>
      <c r="G126" s="45">
        <v>122</v>
      </c>
      <c r="H126" s="162">
        <f t="shared" si="9"/>
        <v>168</v>
      </c>
      <c r="I126" s="162">
        <f>D126-H126</f>
        <v>222</v>
      </c>
      <c r="J126" s="162">
        <f>H126/D126%</f>
        <v>43.07692307692308</v>
      </c>
      <c r="K126" s="660"/>
      <c r="L126" s="815"/>
      <c r="M126" s="148">
        <v>0</v>
      </c>
      <c r="N126" s="148">
        <v>36</v>
      </c>
      <c r="O126" s="64">
        <v>0</v>
      </c>
      <c r="P126" s="64">
        <v>0</v>
      </c>
      <c r="Q126" s="148">
        <v>0</v>
      </c>
      <c r="R126" s="148">
        <v>0</v>
      </c>
      <c r="S126" s="148">
        <v>0</v>
      </c>
      <c r="T126" s="148">
        <v>3</v>
      </c>
      <c r="U126" s="148">
        <v>0</v>
      </c>
      <c r="V126" s="148">
        <v>4</v>
      </c>
      <c r="W126" s="148">
        <v>0</v>
      </c>
      <c r="X126" s="148">
        <v>0</v>
      </c>
      <c r="Y126" s="148">
        <v>0</v>
      </c>
      <c r="Z126" s="148">
        <v>3</v>
      </c>
      <c r="AA126" s="148">
        <v>0</v>
      </c>
      <c r="AB126" s="148">
        <v>0</v>
      </c>
      <c r="AC126" s="148">
        <v>0</v>
      </c>
      <c r="AD126" s="148">
        <v>0</v>
      </c>
      <c r="AE126" s="148">
        <v>0</v>
      </c>
      <c r="AF126" s="45"/>
      <c r="AG126" s="45"/>
      <c r="AH126" s="688"/>
      <c r="AI126" s="688"/>
      <c r="AJ126" s="688"/>
      <c r="AK126" s="148"/>
      <c r="AL126" s="148"/>
      <c r="AM126" s="148"/>
      <c r="AN126" s="148"/>
      <c r="AO126" s="148"/>
      <c r="AP126" s="148"/>
      <c r="AQ126" s="577"/>
      <c r="AR126" s="578">
        <f t="shared" si="12"/>
        <v>46</v>
      </c>
    </row>
    <row r="127" spans="1:44" ht="15.65" customHeight="1" thickBot="1" x14ac:dyDescent="0.4">
      <c r="A127" s="831">
        <v>8</v>
      </c>
      <c r="B127" s="824" t="s">
        <v>299</v>
      </c>
      <c r="C127" s="579" t="s">
        <v>200</v>
      </c>
      <c r="D127" s="45">
        <f>1197+1100</f>
        <v>2297</v>
      </c>
      <c r="E127" s="45">
        <v>2297</v>
      </c>
      <c r="F127" s="148">
        <f t="shared" si="8"/>
        <v>0</v>
      </c>
      <c r="G127" s="45">
        <v>1234.5</v>
      </c>
      <c r="H127" s="162">
        <f t="shared" si="9"/>
        <v>1234.5</v>
      </c>
      <c r="I127" s="162">
        <f t="shared" si="10"/>
        <v>1062.5</v>
      </c>
      <c r="J127" s="162">
        <f t="shared" si="11"/>
        <v>53.744013931214631</v>
      </c>
      <c r="K127" s="660"/>
      <c r="L127" s="555">
        <v>224</v>
      </c>
      <c r="M127" s="148">
        <v>0</v>
      </c>
      <c r="N127" s="148">
        <v>0</v>
      </c>
      <c r="O127" s="64">
        <v>0</v>
      </c>
      <c r="P127" s="64">
        <v>0</v>
      </c>
      <c r="Q127" s="148">
        <v>0</v>
      </c>
      <c r="R127" s="148">
        <v>0</v>
      </c>
      <c r="S127" s="148">
        <v>0</v>
      </c>
      <c r="T127" s="148">
        <v>0</v>
      </c>
      <c r="U127" s="148">
        <v>0</v>
      </c>
      <c r="V127" s="148">
        <v>0</v>
      </c>
      <c r="W127" s="148">
        <v>0</v>
      </c>
      <c r="X127" s="148">
        <v>0</v>
      </c>
      <c r="Y127" s="148">
        <v>0</v>
      </c>
      <c r="Z127" s="148">
        <v>0</v>
      </c>
      <c r="AA127" s="148">
        <v>0</v>
      </c>
      <c r="AB127" s="148">
        <v>0</v>
      </c>
      <c r="AC127" s="148">
        <v>0</v>
      </c>
      <c r="AD127" s="148">
        <v>0</v>
      </c>
      <c r="AE127" s="148">
        <v>0</v>
      </c>
      <c r="AF127" s="45"/>
      <c r="AG127" s="45"/>
      <c r="AH127" s="688"/>
      <c r="AI127" s="148"/>
      <c r="AJ127" s="688"/>
      <c r="AK127" s="148"/>
      <c r="AL127" s="148"/>
      <c r="AM127" s="148"/>
      <c r="AN127" s="148"/>
      <c r="AO127" s="148"/>
      <c r="AP127" s="148"/>
      <c r="AQ127" s="577"/>
      <c r="AR127" s="578">
        <f t="shared" si="12"/>
        <v>0</v>
      </c>
    </row>
    <row r="128" spans="1:44" ht="15.75" customHeight="1" thickBot="1" x14ac:dyDescent="0.4">
      <c r="A128" s="832"/>
      <c r="B128" s="825"/>
      <c r="C128" s="579" t="s">
        <v>373</v>
      </c>
      <c r="D128" s="45">
        <f>1124+170</f>
        <v>1294</v>
      </c>
      <c r="E128" s="45">
        <f>1124+170</f>
        <v>1294</v>
      </c>
      <c r="F128" s="148">
        <f t="shared" si="8"/>
        <v>0</v>
      </c>
      <c r="G128" s="45">
        <v>356</v>
      </c>
      <c r="H128" s="162">
        <f t="shared" si="9"/>
        <v>366</v>
      </c>
      <c r="I128" s="162">
        <f t="shared" si="10"/>
        <v>928</v>
      </c>
      <c r="J128" s="162">
        <f t="shared" si="11"/>
        <v>28.284389489953632</v>
      </c>
      <c r="K128" s="660"/>
      <c r="L128" s="555">
        <v>140</v>
      </c>
      <c r="M128" s="148">
        <v>0</v>
      </c>
      <c r="N128" s="148">
        <v>0</v>
      </c>
      <c r="O128" s="64">
        <v>0</v>
      </c>
      <c r="P128" s="64">
        <v>0</v>
      </c>
      <c r="Q128" s="148">
        <v>0</v>
      </c>
      <c r="R128" s="148">
        <v>0</v>
      </c>
      <c r="S128" s="148">
        <v>0</v>
      </c>
      <c r="T128" s="148">
        <v>2</v>
      </c>
      <c r="U128" s="148">
        <v>0</v>
      </c>
      <c r="V128" s="148">
        <v>0</v>
      </c>
      <c r="W128" s="148">
        <v>3</v>
      </c>
      <c r="X128" s="148">
        <v>0</v>
      </c>
      <c r="Y128" s="148">
        <v>0</v>
      </c>
      <c r="Z128" s="148">
        <v>0</v>
      </c>
      <c r="AA128" s="148">
        <v>0</v>
      </c>
      <c r="AB128" s="148">
        <v>0</v>
      </c>
      <c r="AC128" s="148">
        <v>0</v>
      </c>
      <c r="AD128" s="148">
        <v>0</v>
      </c>
      <c r="AE128" s="148">
        <v>5</v>
      </c>
      <c r="AF128" s="45"/>
      <c r="AG128" s="45"/>
      <c r="AH128" s="688"/>
      <c r="AI128" s="688"/>
      <c r="AJ128" s="148"/>
      <c r="AK128" s="148"/>
      <c r="AL128" s="148"/>
      <c r="AM128" s="148"/>
      <c r="AN128" s="148"/>
      <c r="AO128" s="148"/>
      <c r="AP128" s="148"/>
      <c r="AQ128" s="577"/>
      <c r="AR128" s="578">
        <f t="shared" si="12"/>
        <v>10</v>
      </c>
    </row>
    <row r="129" spans="1:44" ht="15.75" customHeight="1" thickBot="1" x14ac:dyDescent="0.4">
      <c r="A129" s="832"/>
      <c r="B129" s="825"/>
      <c r="C129" s="579" t="s">
        <v>374</v>
      </c>
      <c r="D129" s="45">
        <f>666+34</f>
        <v>700</v>
      </c>
      <c r="E129" s="45">
        <v>700</v>
      </c>
      <c r="F129" s="148">
        <f t="shared" si="8"/>
        <v>0</v>
      </c>
      <c r="G129" s="45">
        <v>687</v>
      </c>
      <c r="H129" s="162">
        <f t="shared" si="9"/>
        <v>687</v>
      </c>
      <c r="I129" s="162">
        <f t="shared" si="10"/>
        <v>13</v>
      </c>
      <c r="J129" s="162">
        <f t="shared" si="11"/>
        <v>98.142857142857139</v>
      </c>
      <c r="K129" s="660"/>
      <c r="L129" s="555">
        <v>38</v>
      </c>
      <c r="M129" s="148">
        <v>0</v>
      </c>
      <c r="N129" s="148">
        <v>0</v>
      </c>
      <c r="O129" s="64">
        <v>0</v>
      </c>
      <c r="P129" s="64">
        <v>0</v>
      </c>
      <c r="Q129" s="148">
        <v>0</v>
      </c>
      <c r="R129" s="148">
        <v>0</v>
      </c>
      <c r="S129" s="148">
        <v>0</v>
      </c>
      <c r="T129" s="148">
        <v>0</v>
      </c>
      <c r="U129" s="148">
        <v>0</v>
      </c>
      <c r="V129" s="148">
        <v>0</v>
      </c>
      <c r="W129" s="148">
        <v>0</v>
      </c>
      <c r="X129" s="148">
        <v>0</v>
      </c>
      <c r="Y129" s="148">
        <v>0</v>
      </c>
      <c r="Z129" s="148">
        <v>0</v>
      </c>
      <c r="AA129" s="148">
        <v>0</v>
      </c>
      <c r="AB129" s="148">
        <v>0</v>
      </c>
      <c r="AC129" s="148">
        <v>0</v>
      </c>
      <c r="AD129" s="148">
        <v>0</v>
      </c>
      <c r="AE129" s="148">
        <v>0</v>
      </c>
      <c r="AF129" s="45"/>
      <c r="AG129" s="45"/>
      <c r="AH129" s="688"/>
      <c r="AI129" s="688"/>
      <c r="AJ129" s="688"/>
      <c r="AK129" s="148"/>
      <c r="AL129" s="148"/>
      <c r="AM129" s="148"/>
      <c r="AN129" s="148"/>
      <c r="AO129" s="148"/>
      <c r="AP129" s="148"/>
      <c r="AQ129" s="577"/>
      <c r="AR129" s="578">
        <f t="shared" si="12"/>
        <v>0</v>
      </c>
    </row>
    <row r="130" spans="1:44" ht="15.75" customHeight="1" thickBot="1" x14ac:dyDescent="0.4">
      <c r="A130" s="832"/>
      <c r="B130" s="825"/>
      <c r="C130" s="579" t="s">
        <v>375</v>
      </c>
      <c r="D130" s="45">
        <v>1141</v>
      </c>
      <c r="E130" s="45">
        <v>1141</v>
      </c>
      <c r="F130" s="148">
        <f t="shared" si="8"/>
        <v>0</v>
      </c>
      <c r="G130" s="45">
        <v>759.5</v>
      </c>
      <c r="H130" s="162">
        <f t="shared" si="9"/>
        <v>768.5</v>
      </c>
      <c r="I130" s="162">
        <f t="shared" si="10"/>
        <v>372.5</v>
      </c>
      <c r="J130" s="162">
        <f t="shared" si="11"/>
        <v>67.353198948290967</v>
      </c>
      <c r="K130" s="660"/>
      <c r="L130" s="555">
        <v>170</v>
      </c>
      <c r="M130" s="148">
        <v>0</v>
      </c>
      <c r="N130" s="148">
        <v>0</v>
      </c>
      <c r="O130" s="148">
        <v>2</v>
      </c>
      <c r="P130" s="64">
        <v>0</v>
      </c>
      <c r="Q130" s="148">
        <v>0</v>
      </c>
      <c r="R130" s="148">
        <v>0</v>
      </c>
      <c r="S130" s="148">
        <v>0</v>
      </c>
      <c r="T130" s="148">
        <v>0</v>
      </c>
      <c r="U130" s="148">
        <v>7</v>
      </c>
      <c r="V130" s="148">
        <v>0</v>
      </c>
      <c r="W130" s="148">
        <v>0</v>
      </c>
      <c r="X130" s="148">
        <v>0</v>
      </c>
      <c r="Y130" s="148">
        <v>0</v>
      </c>
      <c r="Z130" s="148">
        <v>0</v>
      </c>
      <c r="AA130" s="148">
        <v>0</v>
      </c>
      <c r="AB130" s="148">
        <v>0</v>
      </c>
      <c r="AC130" s="148">
        <v>0</v>
      </c>
      <c r="AD130" s="148">
        <v>0</v>
      </c>
      <c r="AE130" s="148">
        <v>0</v>
      </c>
      <c r="AF130" s="45"/>
      <c r="AG130" s="45"/>
      <c r="AH130" s="688"/>
      <c r="AI130" s="148"/>
      <c r="AJ130" s="688"/>
      <c r="AK130" s="148"/>
      <c r="AL130" s="148"/>
      <c r="AM130" s="148"/>
      <c r="AN130" s="148"/>
      <c r="AO130" s="148"/>
      <c r="AP130" s="148"/>
      <c r="AQ130" s="577"/>
      <c r="AR130" s="578">
        <f t="shared" si="12"/>
        <v>9</v>
      </c>
    </row>
    <row r="131" spans="1:44" ht="15.75" customHeight="1" thickBot="1" x14ac:dyDescent="0.4">
      <c r="A131" s="832"/>
      <c r="B131" s="825"/>
      <c r="C131" s="579" t="s">
        <v>376</v>
      </c>
      <c r="D131" s="45">
        <f>875+150</f>
        <v>1025</v>
      </c>
      <c r="E131" s="45">
        <f>875+150</f>
        <v>1025</v>
      </c>
      <c r="F131" s="148">
        <f t="shared" si="8"/>
        <v>0</v>
      </c>
      <c r="G131" s="45">
        <v>335.5</v>
      </c>
      <c r="H131" s="162">
        <f t="shared" si="9"/>
        <v>348.5</v>
      </c>
      <c r="I131" s="162">
        <f t="shared" si="10"/>
        <v>676.5</v>
      </c>
      <c r="J131" s="162">
        <f t="shared" si="11"/>
        <v>34</v>
      </c>
      <c r="K131" s="660"/>
      <c r="L131" s="555">
        <v>220</v>
      </c>
      <c r="M131" s="148">
        <v>0</v>
      </c>
      <c r="N131" s="148">
        <v>0</v>
      </c>
      <c r="O131" s="64">
        <v>0</v>
      </c>
      <c r="P131" s="64">
        <v>0</v>
      </c>
      <c r="Q131" s="148">
        <v>0</v>
      </c>
      <c r="R131" s="148">
        <v>2</v>
      </c>
      <c r="S131" s="148">
        <v>0</v>
      </c>
      <c r="T131" s="148">
        <v>6</v>
      </c>
      <c r="U131" s="148">
        <v>0</v>
      </c>
      <c r="V131" s="148">
        <v>0</v>
      </c>
      <c r="W131" s="148">
        <v>0</v>
      </c>
      <c r="X131" s="148">
        <v>5</v>
      </c>
      <c r="Y131" s="148">
        <v>0</v>
      </c>
      <c r="Z131" s="148">
        <v>0</v>
      </c>
      <c r="AA131" s="148">
        <v>0</v>
      </c>
      <c r="AB131" s="148">
        <v>0</v>
      </c>
      <c r="AC131" s="148">
        <v>0</v>
      </c>
      <c r="AD131" s="148">
        <v>0</v>
      </c>
      <c r="AE131" s="148">
        <v>0</v>
      </c>
      <c r="AF131" s="45"/>
      <c r="AG131" s="45"/>
      <c r="AH131" s="688"/>
      <c r="AI131" s="688"/>
      <c r="AJ131" s="688"/>
      <c r="AK131" s="148"/>
      <c r="AL131" s="148"/>
      <c r="AM131" s="148"/>
      <c r="AN131" s="148"/>
      <c r="AO131" s="148"/>
      <c r="AP131" s="148"/>
      <c r="AQ131" s="577"/>
      <c r="AR131" s="578">
        <f t="shared" si="12"/>
        <v>13</v>
      </c>
    </row>
    <row r="132" spans="1:44" ht="15.75" customHeight="1" thickBot="1" x14ac:dyDescent="0.4">
      <c r="A132" s="832"/>
      <c r="B132" s="825"/>
      <c r="C132" s="579" t="s">
        <v>377</v>
      </c>
      <c r="D132" s="45">
        <v>330</v>
      </c>
      <c r="E132" s="45">
        <v>330</v>
      </c>
      <c r="F132" s="148">
        <f t="shared" si="8"/>
        <v>0</v>
      </c>
      <c r="G132" s="45">
        <v>335.5</v>
      </c>
      <c r="H132" s="162">
        <f t="shared" si="9"/>
        <v>335.5</v>
      </c>
      <c r="I132" s="162">
        <f t="shared" si="10"/>
        <v>-5.5</v>
      </c>
      <c r="J132" s="162">
        <f t="shared" si="11"/>
        <v>101.66666666666667</v>
      </c>
      <c r="K132" s="660"/>
      <c r="L132" s="45"/>
      <c r="M132" s="148">
        <v>0</v>
      </c>
      <c r="N132" s="148">
        <v>0</v>
      </c>
      <c r="O132" s="64">
        <v>0</v>
      </c>
      <c r="P132" s="64">
        <v>0</v>
      </c>
      <c r="Q132" s="148">
        <v>0</v>
      </c>
      <c r="R132" s="148">
        <v>0</v>
      </c>
      <c r="S132" s="148">
        <v>0</v>
      </c>
      <c r="T132" s="148">
        <v>0</v>
      </c>
      <c r="U132" s="148">
        <v>0</v>
      </c>
      <c r="V132" s="148">
        <v>0</v>
      </c>
      <c r="W132" s="148">
        <v>0</v>
      </c>
      <c r="X132" s="148">
        <v>0</v>
      </c>
      <c r="Y132" s="148">
        <v>0</v>
      </c>
      <c r="Z132" s="148">
        <v>0</v>
      </c>
      <c r="AA132" s="148">
        <v>0</v>
      </c>
      <c r="AB132" s="148">
        <v>0</v>
      </c>
      <c r="AC132" s="148">
        <v>0</v>
      </c>
      <c r="AD132" s="148">
        <v>0</v>
      </c>
      <c r="AE132" s="148">
        <v>0</v>
      </c>
      <c r="AF132" s="45"/>
      <c r="AG132" s="45"/>
      <c r="AH132" s="688"/>
      <c r="AI132" s="688"/>
      <c r="AJ132" s="148"/>
      <c r="AK132" s="148"/>
      <c r="AL132" s="148"/>
      <c r="AM132" s="148"/>
      <c r="AN132" s="148"/>
      <c r="AO132" s="148"/>
      <c r="AP132" s="148"/>
      <c r="AQ132" s="577"/>
      <c r="AR132" s="578">
        <f t="shared" si="12"/>
        <v>0</v>
      </c>
    </row>
    <row r="133" spans="1:44" ht="15.65" customHeight="1" thickBot="1" x14ac:dyDescent="0.4">
      <c r="A133" s="832"/>
      <c r="B133" s="825"/>
      <c r="C133" s="579" t="s">
        <v>306</v>
      </c>
      <c r="D133" s="45">
        <v>175</v>
      </c>
      <c r="E133" s="45">
        <v>175</v>
      </c>
      <c r="F133" s="148">
        <f t="shared" si="8"/>
        <v>0</v>
      </c>
      <c r="G133" s="45">
        <v>114.5</v>
      </c>
      <c r="H133" s="162">
        <f t="shared" si="9"/>
        <v>114.5</v>
      </c>
      <c r="I133" s="162">
        <f t="shared" si="10"/>
        <v>60.5</v>
      </c>
      <c r="J133" s="162">
        <f t="shared" si="11"/>
        <v>65.428571428571431</v>
      </c>
      <c r="K133" s="660"/>
      <c r="L133" s="45"/>
      <c r="M133" s="148">
        <v>0</v>
      </c>
      <c r="N133" s="148">
        <v>0</v>
      </c>
      <c r="O133" s="64">
        <v>0</v>
      </c>
      <c r="P133" s="64">
        <v>0</v>
      </c>
      <c r="Q133" s="148">
        <v>0</v>
      </c>
      <c r="R133" s="148">
        <v>0</v>
      </c>
      <c r="S133" s="148">
        <v>0</v>
      </c>
      <c r="T133" s="148">
        <v>0</v>
      </c>
      <c r="U133" s="148">
        <v>0</v>
      </c>
      <c r="V133" s="148">
        <v>0</v>
      </c>
      <c r="W133" s="148">
        <v>0</v>
      </c>
      <c r="X133" s="148">
        <v>0</v>
      </c>
      <c r="Y133" s="148">
        <v>0</v>
      </c>
      <c r="Z133" s="148">
        <v>0</v>
      </c>
      <c r="AA133" s="148">
        <v>0</v>
      </c>
      <c r="AB133" s="148">
        <v>0</v>
      </c>
      <c r="AC133" s="148">
        <v>0</v>
      </c>
      <c r="AD133" s="148">
        <v>0</v>
      </c>
      <c r="AE133" s="148">
        <v>0</v>
      </c>
      <c r="AF133" s="45"/>
      <c r="AG133" s="45"/>
      <c r="AH133" s="688"/>
      <c r="AI133" s="688"/>
      <c r="AJ133" s="688"/>
      <c r="AK133" s="148"/>
      <c r="AL133" s="148"/>
      <c r="AM133" s="148"/>
      <c r="AN133" s="148"/>
      <c r="AO133" s="148"/>
      <c r="AP133" s="148"/>
      <c r="AQ133" s="577"/>
      <c r="AR133" s="578">
        <f t="shared" si="12"/>
        <v>0</v>
      </c>
    </row>
    <row r="134" spans="1:44" ht="31.5" thickBot="1" x14ac:dyDescent="0.4">
      <c r="A134" s="832"/>
      <c r="B134" s="825"/>
      <c r="C134" s="580" t="s">
        <v>378</v>
      </c>
      <c r="D134" s="45">
        <v>500</v>
      </c>
      <c r="E134" s="45">
        <v>0</v>
      </c>
      <c r="F134" s="148">
        <f t="shared" si="8"/>
        <v>500</v>
      </c>
      <c r="G134" s="45">
        <v>0</v>
      </c>
      <c r="H134" s="162">
        <f t="shared" si="9"/>
        <v>0</v>
      </c>
      <c r="I134" s="162">
        <f t="shared" si="10"/>
        <v>500</v>
      </c>
      <c r="J134" s="162">
        <f t="shared" si="11"/>
        <v>0</v>
      </c>
      <c r="K134" s="660"/>
      <c r="L134" s="45"/>
      <c r="M134" s="148">
        <v>0</v>
      </c>
      <c r="N134" s="148">
        <v>0</v>
      </c>
      <c r="O134" s="64">
        <v>0</v>
      </c>
      <c r="P134" s="64">
        <v>0</v>
      </c>
      <c r="Q134" s="148">
        <v>0</v>
      </c>
      <c r="R134" s="148">
        <v>0</v>
      </c>
      <c r="S134" s="148">
        <v>0</v>
      </c>
      <c r="T134" s="148">
        <v>0</v>
      </c>
      <c r="U134" s="148">
        <v>0</v>
      </c>
      <c r="V134" s="148">
        <v>0</v>
      </c>
      <c r="W134" s="148">
        <v>0</v>
      </c>
      <c r="X134" s="148">
        <v>0</v>
      </c>
      <c r="Y134" s="148">
        <v>0</v>
      </c>
      <c r="Z134" s="148">
        <v>0</v>
      </c>
      <c r="AA134" s="148">
        <v>0</v>
      </c>
      <c r="AB134" s="148">
        <v>0</v>
      </c>
      <c r="AC134" s="148">
        <v>0</v>
      </c>
      <c r="AD134" s="148">
        <v>0</v>
      </c>
      <c r="AE134" s="148">
        <v>0</v>
      </c>
      <c r="AF134" s="45"/>
      <c r="AG134" s="45"/>
      <c r="AH134" s="688"/>
      <c r="AI134" s="688"/>
      <c r="AJ134" s="688"/>
      <c r="AK134" s="148"/>
      <c r="AL134" s="148"/>
      <c r="AM134" s="148"/>
      <c r="AN134" s="148"/>
      <c r="AO134" s="148"/>
      <c r="AP134" s="148"/>
      <c r="AQ134" s="577"/>
      <c r="AR134" s="578">
        <f t="shared" si="12"/>
        <v>0</v>
      </c>
    </row>
    <row r="135" spans="1:44" ht="15.65" customHeight="1" thickBot="1" x14ac:dyDescent="0.4">
      <c r="A135" s="832"/>
      <c r="B135" s="825"/>
      <c r="C135" s="580" t="s">
        <v>379</v>
      </c>
      <c r="D135" s="45">
        <f>(80*13)+170+165+21+176</f>
        <v>1572</v>
      </c>
      <c r="E135" s="45">
        <f>(80*13)+170+165+21+176</f>
        <v>1572</v>
      </c>
      <c r="F135" s="148">
        <f>D135-E135</f>
        <v>0</v>
      </c>
      <c r="G135" s="45">
        <v>0</v>
      </c>
      <c r="H135" s="162">
        <f t="shared" si="9"/>
        <v>0</v>
      </c>
      <c r="I135" s="162">
        <f>D135-H135</f>
        <v>1572</v>
      </c>
      <c r="J135" s="162">
        <f>H135/D135%</f>
        <v>0</v>
      </c>
      <c r="K135" s="660"/>
      <c r="L135" s="45"/>
      <c r="M135" s="148">
        <v>0</v>
      </c>
      <c r="N135" s="148">
        <v>0</v>
      </c>
      <c r="O135" s="64">
        <v>0</v>
      </c>
      <c r="P135" s="64">
        <v>0</v>
      </c>
      <c r="Q135" s="148">
        <v>0</v>
      </c>
      <c r="R135" s="148">
        <v>0</v>
      </c>
      <c r="S135" s="148">
        <v>0</v>
      </c>
      <c r="T135" s="148">
        <v>0</v>
      </c>
      <c r="U135" s="148">
        <v>0</v>
      </c>
      <c r="V135" s="148">
        <v>0</v>
      </c>
      <c r="W135" s="148">
        <v>0</v>
      </c>
      <c r="X135" s="148">
        <v>0</v>
      </c>
      <c r="Y135" s="148">
        <v>0</v>
      </c>
      <c r="Z135" s="148">
        <v>0</v>
      </c>
      <c r="AA135" s="148">
        <v>0</v>
      </c>
      <c r="AB135" s="148">
        <v>0</v>
      </c>
      <c r="AC135" s="148">
        <v>0</v>
      </c>
      <c r="AD135" s="148">
        <v>0</v>
      </c>
      <c r="AE135" s="148">
        <v>0</v>
      </c>
      <c r="AF135" s="45"/>
      <c r="AG135" s="45"/>
      <c r="AH135" s="688"/>
      <c r="AI135" s="688"/>
      <c r="AJ135" s="688"/>
      <c r="AK135" s="148"/>
      <c r="AL135" s="148"/>
      <c r="AM135" s="148"/>
      <c r="AN135" s="148"/>
      <c r="AO135" s="148"/>
      <c r="AP135" s="148"/>
      <c r="AQ135" s="577"/>
      <c r="AR135" s="578">
        <f t="shared" si="12"/>
        <v>0</v>
      </c>
    </row>
    <row r="136" spans="1:44" ht="15.65" customHeight="1" thickBot="1" x14ac:dyDescent="0.4">
      <c r="A136" s="833"/>
      <c r="B136" s="826"/>
      <c r="C136" s="580" t="s">
        <v>307</v>
      </c>
      <c r="D136" s="45">
        <v>350</v>
      </c>
      <c r="E136" s="45">
        <v>80</v>
      </c>
      <c r="F136" s="148">
        <f>D136-E136</f>
        <v>270</v>
      </c>
      <c r="G136" s="45">
        <v>0</v>
      </c>
      <c r="H136" s="162">
        <f t="shared" si="9"/>
        <v>0</v>
      </c>
      <c r="I136" s="162"/>
      <c r="J136" s="162"/>
      <c r="K136" s="660"/>
      <c r="L136" s="45"/>
      <c r="M136" s="148">
        <v>0</v>
      </c>
      <c r="N136" s="148">
        <v>0</v>
      </c>
      <c r="O136" s="64">
        <v>0</v>
      </c>
      <c r="P136" s="64">
        <v>0</v>
      </c>
      <c r="Q136" s="148">
        <v>0</v>
      </c>
      <c r="R136" s="148">
        <v>0</v>
      </c>
      <c r="S136" s="148">
        <v>0</v>
      </c>
      <c r="T136" s="148">
        <v>0</v>
      </c>
      <c r="U136" s="148">
        <v>0</v>
      </c>
      <c r="V136" s="148">
        <v>0</v>
      </c>
      <c r="W136" s="148">
        <v>0</v>
      </c>
      <c r="X136" s="148">
        <v>0</v>
      </c>
      <c r="Y136" s="148">
        <v>0</v>
      </c>
      <c r="Z136" s="148">
        <v>0</v>
      </c>
      <c r="AA136" s="148">
        <v>0</v>
      </c>
      <c r="AB136" s="148">
        <v>0</v>
      </c>
      <c r="AC136" s="148">
        <v>0</v>
      </c>
      <c r="AD136" s="148">
        <v>0</v>
      </c>
      <c r="AE136" s="148">
        <v>0</v>
      </c>
      <c r="AF136" s="45"/>
      <c r="AG136" s="45"/>
      <c r="AH136" s="688"/>
      <c r="AI136" s="688"/>
      <c r="AJ136" s="688"/>
      <c r="AK136" s="148"/>
      <c r="AL136" s="148"/>
      <c r="AM136" s="148"/>
      <c r="AN136" s="148"/>
      <c r="AO136" s="148"/>
      <c r="AP136" s="148"/>
      <c r="AQ136" s="577"/>
      <c r="AR136" s="578">
        <f t="shared" si="12"/>
        <v>0</v>
      </c>
    </row>
    <row r="137" spans="1:44" ht="15.75" customHeight="1" thickBot="1" x14ac:dyDescent="0.4">
      <c r="A137" s="830">
        <v>9</v>
      </c>
      <c r="B137" s="838" t="s">
        <v>380</v>
      </c>
      <c r="C137" s="579" t="s">
        <v>381</v>
      </c>
      <c r="D137" s="45">
        <f>606+6+250+62</f>
        <v>924</v>
      </c>
      <c r="E137" s="732">
        <v>924</v>
      </c>
      <c r="F137" s="148">
        <f t="shared" si="8"/>
        <v>0</v>
      </c>
      <c r="G137" s="45">
        <v>962</v>
      </c>
      <c r="H137" s="162">
        <f t="shared" si="9"/>
        <v>962</v>
      </c>
      <c r="I137" s="162">
        <f t="shared" si="10"/>
        <v>-38</v>
      </c>
      <c r="J137" s="162">
        <f t="shared" si="11"/>
        <v>104.11255411255411</v>
      </c>
      <c r="K137" s="660"/>
      <c r="L137" s="249"/>
      <c r="M137" s="148">
        <v>0</v>
      </c>
      <c r="N137" s="148">
        <v>0</v>
      </c>
      <c r="O137" s="64">
        <v>0</v>
      </c>
      <c r="P137" s="64">
        <v>0</v>
      </c>
      <c r="Q137" s="148">
        <v>0</v>
      </c>
      <c r="R137" s="148">
        <v>0</v>
      </c>
      <c r="S137" s="148">
        <v>0</v>
      </c>
      <c r="T137" s="148">
        <v>0</v>
      </c>
      <c r="U137" s="148">
        <v>0</v>
      </c>
      <c r="V137" s="148">
        <v>0</v>
      </c>
      <c r="W137" s="148">
        <v>0</v>
      </c>
      <c r="X137" s="148">
        <v>0</v>
      </c>
      <c r="Y137" s="148">
        <v>0</v>
      </c>
      <c r="Z137" s="148">
        <v>0</v>
      </c>
      <c r="AA137" s="148">
        <v>0</v>
      </c>
      <c r="AB137" s="148">
        <v>0</v>
      </c>
      <c r="AC137" s="148">
        <v>0</v>
      </c>
      <c r="AD137" s="148">
        <v>0</v>
      </c>
      <c r="AE137" s="148">
        <v>0</v>
      </c>
      <c r="AF137" s="45"/>
      <c r="AG137" s="45"/>
      <c r="AH137" s="688"/>
      <c r="AI137" s="688"/>
      <c r="AJ137" s="688"/>
      <c r="AK137" s="148"/>
      <c r="AL137" s="148"/>
      <c r="AM137" s="148"/>
      <c r="AN137" s="148"/>
      <c r="AO137" s="148"/>
      <c r="AP137" s="148"/>
      <c r="AQ137" s="577"/>
      <c r="AR137" s="578">
        <f t="shared" si="12"/>
        <v>0</v>
      </c>
    </row>
    <row r="138" spans="1:44" ht="15.75" customHeight="1" thickBot="1" x14ac:dyDescent="0.4">
      <c r="A138" s="830"/>
      <c r="B138" s="838"/>
      <c r="C138" s="579" t="s">
        <v>382</v>
      </c>
      <c r="D138" s="45">
        <v>1260</v>
      </c>
      <c r="E138" s="427">
        <v>1260</v>
      </c>
      <c r="F138" s="148">
        <f t="shared" si="8"/>
        <v>0</v>
      </c>
      <c r="G138" s="45">
        <v>605.5</v>
      </c>
      <c r="H138" s="162">
        <f t="shared" si="9"/>
        <v>605.5</v>
      </c>
      <c r="I138" s="162">
        <f t="shared" si="10"/>
        <v>654.5</v>
      </c>
      <c r="J138" s="162">
        <f t="shared" si="11"/>
        <v>48.055555555555557</v>
      </c>
      <c r="K138" s="660"/>
      <c r="L138" s="249"/>
      <c r="M138" s="148">
        <v>0</v>
      </c>
      <c r="N138" s="148">
        <v>0</v>
      </c>
      <c r="O138" s="64">
        <v>0</v>
      </c>
      <c r="P138" s="64">
        <v>0</v>
      </c>
      <c r="Q138" s="148">
        <v>0</v>
      </c>
      <c r="R138" s="148">
        <v>0</v>
      </c>
      <c r="S138" s="148">
        <v>0</v>
      </c>
      <c r="T138" s="148">
        <v>0</v>
      </c>
      <c r="U138" s="148">
        <v>0</v>
      </c>
      <c r="V138" s="148">
        <v>0</v>
      </c>
      <c r="W138" s="148">
        <v>0</v>
      </c>
      <c r="X138" s="148">
        <v>0</v>
      </c>
      <c r="Y138" s="148">
        <v>0</v>
      </c>
      <c r="Z138" s="148">
        <v>0</v>
      </c>
      <c r="AA138" s="148">
        <v>0</v>
      </c>
      <c r="AB138" s="148">
        <v>0</v>
      </c>
      <c r="AC138" s="148">
        <v>0</v>
      </c>
      <c r="AD138" s="148">
        <v>0</v>
      </c>
      <c r="AE138" s="148">
        <v>0</v>
      </c>
      <c r="AF138" s="45"/>
      <c r="AG138" s="45"/>
      <c r="AH138" s="688"/>
      <c r="AI138" s="688"/>
      <c r="AJ138" s="688"/>
      <c r="AK138" s="148"/>
      <c r="AL138" s="148"/>
      <c r="AM138" s="148"/>
      <c r="AN138" s="148"/>
      <c r="AO138" s="148"/>
      <c r="AP138" s="148"/>
      <c r="AQ138" s="577"/>
      <c r="AR138" s="578">
        <f t="shared" si="12"/>
        <v>0</v>
      </c>
    </row>
    <row r="139" spans="1:44" ht="15.75" customHeight="1" thickBot="1" x14ac:dyDescent="0.4">
      <c r="A139" s="831">
        <v>10</v>
      </c>
      <c r="B139" s="821" t="s">
        <v>383</v>
      </c>
      <c r="C139" s="579" t="s">
        <v>278</v>
      </c>
      <c r="D139" s="45">
        <f>1025+255+125+110+149+14+9+27+10+37</f>
        <v>1761</v>
      </c>
      <c r="E139" s="45">
        <v>1761</v>
      </c>
      <c r="F139" s="148">
        <f t="shared" si="8"/>
        <v>0</v>
      </c>
      <c r="G139" s="45">
        <v>1745</v>
      </c>
      <c r="H139" s="162">
        <f t="shared" ref="H139:H176" si="24">G139+AR139</f>
        <v>1745</v>
      </c>
      <c r="I139" s="162">
        <f t="shared" si="10"/>
        <v>16</v>
      </c>
      <c r="J139" s="162">
        <f t="shared" si="11"/>
        <v>99.09142532651903</v>
      </c>
      <c r="K139" s="660"/>
      <c r="L139" s="45"/>
      <c r="M139" s="148">
        <v>0</v>
      </c>
      <c r="N139" s="148">
        <v>0</v>
      </c>
      <c r="O139" s="64">
        <v>0</v>
      </c>
      <c r="P139" s="64">
        <v>0</v>
      </c>
      <c r="Q139" s="148">
        <v>0</v>
      </c>
      <c r="R139" s="148">
        <v>0</v>
      </c>
      <c r="S139" s="148">
        <v>0</v>
      </c>
      <c r="T139" s="148">
        <v>0</v>
      </c>
      <c r="U139" s="148">
        <v>0</v>
      </c>
      <c r="V139" s="148">
        <v>0</v>
      </c>
      <c r="W139" s="148">
        <v>0</v>
      </c>
      <c r="X139" s="148">
        <v>0</v>
      </c>
      <c r="Y139" s="148">
        <v>0</v>
      </c>
      <c r="Z139" s="148">
        <v>0</v>
      </c>
      <c r="AA139" s="148">
        <v>0</v>
      </c>
      <c r="AB139" s="148">
        <v>0</v>
      </c>
      <c r="AC139" s="148">
        <v>0</v>
      </c>
      <c r="AD139" s="148">
        <v>0</v>
      </c>
      <c r="AE139" s="148">
        <v>0</v>
      </c>
      <c r="AF139" s="45"/>
      <c r="AG139" s="45"/>
      <c r="AH139" s="688"/>
      <c r="AI139" s="688"/>
      <c r="AJ139" s="688"/>
      <c r="AK139" s="148"/>
      <c r="AL139" s="148"/>
      <c r="AM139" s="148"/>
      <c r="AN139" s="148"/>
      <c r="AO139" s="148"/>
      <c r="AP139" s="148"/>
      <c r="AQ139" s="577"/>
      <c r="AR139" s="578">
        <f t="shared" ref="AR139:AR177" si="25">SUM(M139:AQ139)</f>
        <v>0</v>
      </c>
    </row>
    <row r="140" spans="1:44" ht="15.65" customHeight="1" thickBot="1" x14ac:dyDescent="0.4">
      <c r="A140" s="832"/>
      <c r="B140" s="823"/>
      <c r="C140" s="579" t="s">
        <v>384</v>
      </c>
      <c r="D140" s="45">
        <v>0</v>
      </c>
      <c r="E140" s="45">
        <v>0</v>
      </c>
      <c r="F140" s="148">
        <f t="shared" si="8"/>
        <v>0</v>
      </c>
      <c r="G140" s="45">
        <v>0</v>
      </c>
      <c r="H140" s="162">
        <f t="shared" si="24"/>
        <v>0</v>
      </c>
      <c r="I140" s="162">
        <f t="shared" si="10"/>
        <v>0</v>
      </c>
      <c r="J140" s="162">
        <v>0</v>
      </c>
      <c r="K140" s="660"/>
      <c r="L140" s="45"/>
      <c r="M140" s="148">
        <v>0</v>
      </c>
      <c r="N140" s="148">
        <v>0</v>
      </c>
      <c r="O140" s="64">
        <v>0</v>
      </c>
      <c r="P140" s="64">
        <v>0</v>
      </c>
      <c r="Q140" s="148">
        <v>0</v>
      </c>
      <c r="R140" s="148">
        <v>0</v>
      </c>
      <c r="S140" s="148">
        <v>0</v>
      </c>
      <c r="T140" s="148">
        <v>0</v>
      </c>
      <c r="U140" s="148">
        <v>0</v>
      </c>
      <c r="V140" s="148">
        <v>0</v>
      </c>
      <c r="W140" s="148">
        <v>0</v>
      </c>
      <c r="X140" s="148">
        <v>0</v>
      </c>
      <c r="Y140" s="148">
        <v>0</v>
      </c>
      <c r="Z140" s="148">
        <v>0</v>
      </c>
      <c r="AA140" s="148">
        <v>0</v>
      </c>
      <c r="AB140" s="148">
        <v>0</v>
      </c>
      <c r="AC140" s="148">
        <v>0</v>
      </c>
      <c r="AD140" s="148">
        <v>0</v>
      </c>
      <c r="AE140" s="148">
        <v>0</v>
      </c>
      <c r="AF140" s="45"/>
      <c r="AG140" s="45"/>
      <c r="AH140" s="688"/>
      <c r="AI140" s="688"/>
      <c r="AJ140" s="688"/>
      <c r="AK140" s="148"/>
      <c r="AL140" s="148"/>
      <c r="AM140" s="148"/>
      <c r="AN140" s="148"/>
      <c r="AO140" s="148"/>
      <c r="AP140" s="148"/>
      <c r="AQ140" s="577"/>
      <c r="AR140" s="578">
        <f t="shared" si="25"/>
        <v>0</v>
      </c>
    </row>
    <row r="141" spans="1:44" ht="15.65" customHeight="1" thickBot="1" x14ac:dyDescent="0.4">
      <c r="A141" s="832"/>
      <c r="B141" s="823"/>
      <c r="C141" s="581" t="s">
        <v>385</v>
      </c>
      <c r="D141" s="48">
        <v>480</v>
      </c>
      <c r="E141" s="48">
        <v>480</v>
      </c>
      <c r="F141" s="148">
        <f t="shared" si="8"/>
        <v>0</v>
      </c>
      <c r="G141" s="48">
        <v>0</v>
      </c>
      <c r="H141" s="162">
        <f t="shared" si="24"/>
        <v>0</v>
      </c>
      <c r="I141" s="162">
        <f t="shared" si="10"/>
        <v>480</v>
      </c>
      <c r="J141" s="162">
        <f t="shared" si="11"/>
        <v>0</v>
      </c>
      <c r="K141" s="660"/>
      <c r="L141" s="45"/>
      <c r="M141" s="148">
        <v>0</v>
      </c>
      <c r="N141" s="148">
        <v>0</v>
      </c>
      <c r="O141" s="64">
        <v>0</v>
      </c>
      <c r="P141" s="64">
        <v>0</v>
      </c>
      <c r="Q141" s="148">
        <v>0</v>
      </c>
      <c r="R141" s="148">
        <v>0</v>
      </c>
      <c r="S141" s="148">
        <v>0</v>
      </c>
      <c r="T141" s="148">
        <v>0</v>
      </c>
      <c r="U141" s="148">
        <v>0</v>
      </c>
      <c r="V141" s="148">
        <v>0</v>
      </c>
      <c r="W141" s="148">
        <v>0</v>
      </c>
      <c r="X141" s="148">
        <v>0</v>
      </c>
      <c r="Y141" s="148">
        <v>0</v>
      </c>
      <c r="Z141" s="148">
        <v>0</v>
      </c>
      <c r="AA141" s="148">
        <v>0</v>
      </c>
      <c r="AB141" s="148">
        <v>0</v>
      </c>
      <c r="AC141" s="148">
        <v>0</v>
      </c>
      <c r="AD141" s="148">
        <v>0</v>
      </c>
      <c r="AE141" s="148">
        <v>0</v>
      </c>
      <c r="AF141" s="45"/>
      <c r="AG141" s="45"/>
      <c r="AH141" s="688"/>
      <c r="AI141" s="688"/>
      <c r="AJ141" s="688"/>
      <c r="AK141" s="148"/>
      <c r="AL141" s="148"/>
      <c r="AM141" s="148"/>
      <c r="AN141" s="148"/>
      <c r="AO141" s="148"/>
      <c r="AP141" s="148"/>
      <c r="AQ141" s="577"/>
      <c r="AR141" s="578">
        <f t="shared" si="25"/>
        <v>0</v>
      </c>
    </row>
    <row r="142" spans="1:44" ht="15.65" customHeight="1" thickBot="1" x14ac:dyDescent="0.4">
      <c r="A142" s="832"/>
      <c r="B142" s="823"/>
      <c r="C142" s="581" t="s">
        <v>386</v>
      </c>
      <c r="D142" s="48">
        <v>125</v>
      </c>
      <c r="E142" s="48">
        <v>125</v>
      </c>
      <c r="F142" s="148">
        <f t="shared" si="8"/>
        <v>0</v>
      </c>
      <c r="G142" s="48">
        <v>115.5</v>
      </c>
      <c r="H142" s="162">
        <f t="shared" si="24"/>
        <v>115.5</v>
      </c>
      <c r="I142" s="162">
        <f t="shared" si="10"/>
        <v>9.5</v>
      </c>
      <c r="J142" s="162">
        <f t="shared" si="11"/>
        <v>92.4</v>
      </c>
      <c r="K142" s="660"/>
      <c r="L142" s="45"/>
      <c r="M142" s="148">
        <v>0</v>
      </c>
      <c r="N142" s="148">
        <v>0</v>
      </c>
      <c r="O142" s="64">
        <v>0</v>
      </c>
      <c r="P142" s="64">
        <v>0</v>
      </c>
      <c r="Q142" s="148">
        <v>0</v>
      </c>
      <c r="R142" s="148">
        <v>0</v>
      </c>
      <c r="S142" s="148">
        <v>0</v>
      </c>
      <c r="T142" s="148">
        <v>0</v>
      </c>
      <c r="U142" s="148">
        <v>0</v>
      </c>
      <c r="V142" s="148">
        <v>0</v>
      </c>
      <c r="W142" s="148">
        <v>0</v>
      </c>
      <c r="X142" s="148">
        <v>0</v>
      </c>
      <c r="Y142" s="148">
        <v>0</v>
      </c>
      <c r="Z142" s="148">
        <v>0</v>
      </c>
      <c r="AA142" s="148">
        <v>0</v>
      </c>
      <c r="AB142" s="148">
        <v>0</v>
      </c>
      <c r="AC142" s="148">
        <v>0</v>
      </c>
      <c r="AD142" s="148">
        <v>0</v>
      </c>
      <c r="AE142" s="148">
        <v>0</v>
      </c>
      <c r="AF142" s="45"/>
      <c r="AG142" s="45"/>
      <c r="AH142" s="688"/>
      <c r="AI142" s="688"/>
      <c r="AJ142" s="688"/>
      <c r="AK142" s="148"/>
      <c r="AL142" s="148"/>
      <c r="AM142" s="148"/>
      <c r="AN142" s="148"/>
      <c r="AO142" s="148"/>
      <c r="AP142" s="148"/>
      <c r="AQ142" s="577"/>
      <c r="AR142" s="578">
        <f t="shared" si="25"/>
        <v>0</v>
      </c>
    </row>
    <row r="143" spans="1:44" ht="15.65" customHeight="1" thickBot="1" x14ac:dyDescent="0.4">
      <c r="A143" s="832"/>
      <c r="B143" s="823"/>
      <c r="C143" s="581" t="s">
        <v>387</v>
      </c>
      <c r="D143" s="48">
        <v>38</v>
      </c>
      <c r="E143" s="48">
        <v>38</v>
      </c>
      <c r="F143" s="148">
        <f t="shared" si="8"/>
        <v>0</v>
      </c>
      <c r="G143" s="48">
        <v>41</v>
      </c>
      <c r="H143" s="162">
        <f t="shared" si="24"/>
        <v>41</v>
      </c>
      <c r="I143" s="162">
        <f t="shared" si="10"/>
        <v>-3</v>
      </c>
      <c r="J143" s="162">
        <f t="shared" si="11"/>
        <v>107.89473684210526</v>
      </c>
      <c r="K143" s="660"/>
      <c r="L143" s="555">
        <v>15</v>
      </c>
      <c r="M143" s="148">
        <v>0</v>
      </c>
      <c r="N143" s="148">
        <v>0</v>
      </c>
      <c r="O143" s="64">
        <v>0</v>
      </c>
      <c r="P143" s="64">
        <v>0</v>
      </c>
      <c r="Q143" s="148">
        <v>0</v>
      </c>
      <c r="R143" s="148">
        <v>0</v>
      </c>
      <c r="S143" s="148">
        <v>0</v>
      </c>
      <c r="T143" s="148">
        <v>0</v>
      </c>
      <c r="U143" s="148">
        <v>0</v>
      </c>
      <c r="V143" s="148">
        <v>0</v>
      </c>
      <c r="W143" s="148">
        <v>0</v>
      </c>
      <c r="X143" s="148">
        <v>0</v>
      </c>
      <c r="Y143" s="148">
        <v>0</v>
      </c>
      <c r="Z143" s="148">
        <v>0</v>
      </c>
      <c r="AA143" s="148">
        <v>0</v>
      </c>
      <c r="AB143" s="148">
        <v>0</v>
      </c>
      <c r="AC143" s="148">
        <v>0</v>
      </c>
      <c r="AD143" s="148">
        <v>0</v>
      </c>
      <c r="AE143" s="148">
        <v>0</v>
      </c>
      <c r="AF143" s="45"/>
      <c r="AG143" s="45"/>
      <c r="AH143" s="688"/>
      <c r="AI143" s="688"/>
      <c r="AJ143" s="688"/>
      <c r="AK143" s="148"/>
      <c r="AL143" s="148"/>
      <c r="AM143" s="148"/>
      <c r="AN143" s="148"/>
      <c r="AO143" s="148"/>
      <c r="AP143" s="148"/>
      <c r="AQ143" s="577"/>
      <c r="AR143" s="578">
        <f t="shared" si="25"/>
        <v>0</v>
      </c>
    </row>
    <row r="144" spans="1:44" ht="15.65" customHeight="1" thickBot="1" x14ac:dyDescent="0.4">
      <c r="A144" s="832"/>
      <c r="B144" s="823"/>
      <c r="C144" s="581" t="s">
        <v>388</v>
      </c>
      <c r="D144" s="48">
        <v>110</v>
      </c>
      <c r="E144" s="48">
        <v>110</v>
      </c>
      <c r="F144" s="148">
        <f t="shared" si="8"/>
        <v>0</v>
      </c>
      <c r="G144" s="48">
        <v>82</v>
      </c>
      <c r="H144" s="162">
        <f t="shared" si="24"/>
        <v>82</v>
      </c>
      <c r="I144" s="162">
        <f t="shared" si="10"/>
        <v>28</v>
      </c>
      <c r="J144" s="162">
        <f t="shared" si="11"/>
        <v>74.545454545454533</v>
      </c>
      <c r="K144" s="660"/>
      <c r="L144" s="45"/>
      <c r="M144" s="148">
        <v>0</v>
      </c>
      <c r="N144" s="148">
        <v>0</v>
      </c>
      <c r="O144" s="64">
        <v>0</v>
      </c>
      <c r="P144" s="64">
        <v>0</v>
      </c>
      <c r="Q144" s="148">
        <v>0</v>
      </c>
      <c r="R144" s="148">
        <v>0</v>
      </c>
      <c r="S144" s="148">
        <v>0</v>
      </c>
      <c r="T144" s="148">
        <v>0</v>
      </c>
      <c r="U144" s="148">
        <v>0</v>
      </c>
      <c r="V144" s="148">
        <v>0</v>
      </c>
      <c r="W144" s="148">
        <v>0</v>
      </c>
      <c r="X144" s="148">
        <v>0</v>
      </c>
      <c r="Y144" s="148">
        <v>0</v>
      </c>
      <c r="Z144" s="148">
        <v>0</v>
      </c>
      <c r="AA144" s="148">
        <v>0</v>
      </c>
      <c r="AB144" s="148">
        <v>0</v>
      </c>
      <c r="AC144" s="148">
        <v>0</v>
      </c>
      <c r="AD144" s="148">
        <v>0</v>
      </c>
      <c r="AE144" s="148">
        <v>0</v>
      </c>
      <c r="AF144" s="45"/>
      <c r="AG144" s="45"/>
      <c r="AH144" s="688"/>
      <c r="AI144" s="688"/>
      <c r="AJ144" s="688"/>
      <c r="AK144" s="148"/>
      <c r="AL144" s="148"/>
      <c r="AM144" s="148"/>
      <c r="AN144" s="148"/>
      <c r="AO144" s="148"/>
      <c r="AP144" s="148"/>
      <c r="AQ144" s="577"/>
      <c r="AR144" s="578">
        <f t="shared" si="25"/>
        <v>0</v>
      </c>
    </row>
    <row r="145" spans="1:44" ht="15.65" customHeight="1" thickBot="1" x14ac:dyDescent="0.4">
      <c r="A145" s="832"/>
      <c r="B145" s="823"/>
      <c r="C145" s="581" t="s">
        <v>389</v>
      </c>
      <c r="D145" s="48">
        <f>90+208+102+106+3</f>
        <v>509</v>
      </c>
      <c r="E145" s="48">
        <f>90+208+102+106+3</f>
        <v>509</v>
      </c>
      <c r="F145" s="148">
        <f t="shared" si="8"/>
        <v>0</v>
      </c>
      <c r="G145" s="48">
        <v>769</v>
      </c>
      <c r="H145" s="162">
        <f t="shared" si="24"/>
        <v>769</v>
      </c>
      <c r="I145" s="162">
        <f t="shared" si="10"/>
        <v>-260</v>
      </c>
      <c r="J145" s="162">
        <f t="shared" si="11"/>
        <v>151.08055009823184</v>
      </c>
      <c r="K145" s="660"/>
      <c r="L145" s="45"/>
      <c r="M145" s="148">
        <v>0</v>
      </c>
      <c r="N145" s="148">
        <v>0</v>
      </c>
      <c r="O145" s="64">
        <v>0</v>
      </c>
      <c r="P145" s="64">
        <v>0</v>
      </c>
      <c r="Q145" s="148">
        <v>0</v>
      </c>
      <c r="R145" s="148">
        <v>0</v>
      </c>
      <c r="S145" s="148">
        <v>0</v>
      </c>
      <c r="T145" s="148">
        <v>0</v>
      </c>
      <c r="U145" s="148">
        <v>0</v>
      </c>
      <c r="V145" s="148">
        <v>0</v>
      </c>
      <c r="W145" s="148">
        <v>0</v>
      </c>
      <c r="X145" s="148">
        <v>0</v>
      </c>
      <c r="Y145" s="148">
        <v>0</v>
      </c>
      <c r="Z145" s="148">
        <v>0</v>
      </c>
      <c r="AA145" s="148">
        <v>0</v>
      </c>
      <c r="AB145" s="148">
        <v>0</v>
      </c>
      <c r="AC145" s="148">
        <v>0</v>
      </c>
      <c r="AD145" s="148">
        <v>0</v>
      </c>
      <c r="AE145" s="148">
        <v>0</v>
      </c>
      <c r="AF145" s="45"/>
      <c r="AG145" s="45"/>
      <c r="AH145" s="688"/>
      <c r="AI145" s="688"/>
      <c r="AJ145" s="688"/>
      <c r="AK145" s="148"/>
      <c r="AL145" s="148"/>
      <c r="AM145" s="148"/>
      <c r="AN145" s="148"/>
      <c r="AO145" s="148"/>
      <c r="AP145" s="148"/>
      <c r="AQ145" s="577"/>
      <c r="AR145" s="578">
        <f t="shared" si="25"/>
        <v>0</v>
      </c>
    </row>
    <row r="146" spans="1:44" ht="15.65" customHeight="1" thickBot="1" x14ac:dyDescent="0.4">
      <c r="A146" s="832"/>
      <c r="B146" s="823"/>
      <c r="C146" s="581" t="s">
        <v>390</v>
      </c>
      <c r="D146" s="48">
        <f>185+185</f>
        <v>370</v>
      </c>
      <c r="E146" s="48">
        <f>185+185</f>
        <v>370</v>
      </c>
      <c r="F146" s="148">
        <f t="shared" si="8"/>
        <v>0</v>
      </c>
      <c r="G146" s="48">
        <v>385.5</v>
      </c>
      <c r="H146" s="162">
        <f t="shared" si="24"/>
        <v>385.5</v>
      </c>
      <c r="I146" s="162">
        <f t="shared" si="10"/>
        <v>-15.5</v>
      </c>
      <c r="J146" s="162">
        <f t="shared" si="11"/>
        <v>104.18918918918918</v>
      </c>
      <c r="K146" s="660"/>
      <c r="L146" s="249"/>
      <c r="M146" s="148">
        <v>0</v>
      </c>
      <c r="N146" s="148">
        <v>0</v>
      </c>
      <c r="O146" s="64">
        <v>0</v>
      </c>
      <c r="P146" s="64">
        <v>0</v>
      </c>
      <c r="Q146" s="148">
        <v>0</v>
      </c>
      <c r="R146" s="148">
        <v>0</v>
      </c>
      <c r="S146" s="148">
        <v>0</v>
      </c>
      <c r="T146" s="148">
        <v>0</v>
      </c>
      <c r="U146" s="148">
        <v>0</v>
      </c>
      <c r="V146" s="148">
        <v>0</v>
      </c>
      <c r="W146" s="148">
        <v>0</v>
      </c>
      <c r="X146" s="148">
        <v>0</v>
      </c>
      <c r="Y146" s="148">
        <v>0</v>
      </c>
      <c r="Z146" s="148">
        <v>0</v>
      </c>
      <c r="AA146" s="148">
        <v>0</v>
      </c>
      <c r="AB146" s="148">
        <v>0</v>
      </c>
      <c r="AC146" s="148">
        <v>0</v>
      </c>
      <c r="AD146" s="148">
        <v>0</v>
      </c>
      <c r="AE146" s="148">
        <v>0</v>
      </c>
      <c r="AF146" s="45"/>
      <c r="AG146" s="45"/>
      <c r="AH146" s="688"/>
      <c r="AI146" s="688"/>
      <c r="AJ146" s="688"/>
      <c r="AK146" s="148"/>
      <c r="AL146" s="148"/>
      <c r="AM146" s="148"/>
      <c r="AN146" s="148"/>
      <c r="AO146" s="148"/>
      <c r="AP146" s="148"/>
      <c r="AQ146" s="577"/>
      <c r="AR146" s="578">
        <f t="shared" si="25"/>
        <v>0</v>
      </c>
    </row>
    <row r="147" spans="1:44" ht="15.65" customHeight="1" thickBot="1" x14ac:dyDescent="0.4">
      <c r="A147" s="832"/>
      <c r="B147" s="823"/>
      <c r="C147" s="581" t="s">
        <v>391</v>
      </c>
      <c r="D147" s="48">
        <v>235</v>
      </c>
      <c r="E147" s="48">
        <v>235</v>
      </c>
      <c r="F147" s="148">
        <f>D147-E147</f>
        <v>0</v>
      </c>
      <c r="G147" s="48">
        <v>0</v>
      </c>
      <c r="H147" s="162">
        <f t="shared" si="24"/>
        <v>0</v>
      </c>
      <c r="I147" s="162">
        <f>D147-H147</f>
        <v>235</v>
      </c>
      <c r="J147" s="162">
        <f>H147/D147%</f>
        <v>0</v>
      </c>
      <c r="K147" s="660"/>
      <c r="L147" s="249"/>
      <c r="M147" s="148">
        <v>0</v>
      </c>
      <c r="N147" s="148">
        <v>0</v>
      </c>
      <c r="O147" s="64">
        <v>0</v>
      </c>
      <c r="P147" s="64">
        <v>0</v>
      </c>
      <c r="Q147" s="148">
        <v>0</v>
      </c>
      <c r="R147" s="148">
        <v>0</v>
      </c>
      <c r="S147" s="148">
        <v>0</v>
      </c>
      <c r="T147" s="148">
        <v>0</v>
      </c>
      <c r="U147" s="148">
        <v>0</v>
      </c>
      <c r="V147" s="148">
        <v>0</v>
      </c>
      <c r="W147" s="148">
        <v>0</v>
      </c>
      <c r="X147" s="148">
        <v>0</v>
      </c>
      <c r="Y147" s="148">
        <v>0</v>
      </c>
      <c r="Z147" s="148">
        <v>0</v>
      </c>
      <c r="AA147" s="148">
        <v>0</v>
      </c>
      <c r="AB147" s="148">
        <v>0</v>
      </c>
      <c r="AC147" s="148">
        <v>0</v>
      </c>
      <c r="AD147" s="148">
        <v>0</v>
      </c>
      <c r="AE147" s="148">
        <v>0</v>
      </c>
      <c r="AF147" s="45"/>
      <c r="AG147" s="45"/>
      <c r="AH147" s="688"/>
      <c r="AI147" s="688"/>
      <c r="AJ147" s="688"/>
      <c r="AK147" s="148"/>
      <c r="AL147" s="148"/>
      <c r="AM147" s="148"/>
      <c r="AN147" s="148"/>
      <c r="AO147" s="148"/>
      <c r="AP147" s="148"/>
      <c r="AQ147" s="577"/>
      <c r="AR147" s="578">
        <f t="shared" si="25"/>
        <v>0</v>
      </c>
    </row>
    <row r="148" spans="1:44" ht="15.65" customHeight="1" thickBot="1" x14ac:dyDescent="0.4">
      <c r="A148" s="832"/>
      <c r="B148" s="823"/>
      <c r="C148" s="581" t="s">
        <v>392</v>
      </c>
      <c r="D148" s="48">
        <v>5</v>
      </c>
      <c r="E148" s="48">
        <v>5</v>
      </c>
      <c r="F148" s="148">
        <f>D148-E148</f>
        <v>0</v>
      </c>
      <c r="G148" s="48">
        <v>2</v>
      </c>
      <c r="H148" s="162">
        <f>G148+AR151</f>
        <v>2</v>
      </c>
      <c r="I148" s="162">
        <f>D148-H148</f>
        <v>3</v>
      </c>
      <c r="J148" s="162">
        <f>H148/D148%</f>
        <v>40</v>
      </c>
      <c r="K148" s="660"/>
      <c r="L148" s="45"/>
      <c r="M148" s="148">
        <v>0</v>
      </c>
      <c r="N148" s="148">
        <v>0</v>
      </c>
      <c r="O148" s="64">
        <v>0</v>
      </c>
      <c r="P148" s="64">
        <v>0</v>
      </c>
      <c r="Q148" s="148">
        <v>0</v>
      </c>
      <c r="R148" s="148">
        <v>1</v>
      </c>
      <c r="S148" s="148">
        <v>0</v>
      </c>
      <c r="T148" s="148">
        <v>0</v>
      </c>
      <c r="U148" s="148">
        <v>3</v>
      </c>
      <c r="V148" s="148">
        <v>0</v>
      </c>
      <c r="W148" s="148">
        <v>0</v>
      </c>
      <c r="X148" s="148">
        <v>0</v>
      </c>
      <c r="Y148" s="148">
        <v>0</v>
      </c>
      <c r="Z148" s="148">
        <v>0</v>
      </c>
      <c r="AA148" s="148">
        <v>0</v>
      </c>
      <c r="AB148" s="148">
        <v>0</v>
      </c>
      <c r="AC148" s="148">
        <v>0</v>
      </c>
      <c r="AD148" s="148">
        <v>0</v>
      </c>
      <c r="AE148" s="148">
        <v>0</v>
      </c>
      <c r="AF148" s="45"/>
      <c r="AG148" s="45"/>
      <c r="AH148" s="688"/>
      <c r="AI148" s="688"/>
      <c r="AJ148" s="688"/>
      <c r="AK148" s="148"/>
      <c r="AL148" s="148"/>
      <c r="AM148" s="148"/>
      <c r="AN148" s="148"/>
      <c r="AO148" s="148"/>
      <c r="AP148" s="148"/>
      <c r="AQ148" s="577"/>
      <c r="AR148" s="578">
        <f t="shared" si="25"/>
        <v>4</v>
      </c>
    </row>
    <row r="149" spans="1:44" ht="15.65" customHeight="1" thickBot="1" x14ac:dyDescent="0.4">
      <c r="A149" s="832"/>
      <c r="B149" s="823"/>
      <c r="C149" s="581" t="s">
        <v>393</v>
      </c>
      <c r="D149" s="48">
        <v>340</v>
      </c>
      <c r="E149" s="48">
        <v>340</v>
      </c>
      <c r="F149" s="148">
        <f>D149-E149</f>
        <v>0</v>
      </c>
      <c r="G149" s="48">
        <v>0</v>
      </c>
      <c r="H149" s="162">
        <f t="shared" ref="H149:H151" si="26">G149+AR149</f>
        <v>0</v>
      </c>
      <c r="I149" s="162">
        <f>D149-H149</f>
        <v>340</v>
      </c>
      <c r="J149" s="162">
        <f>H149/D149%</f>
        <v>0</v>
      </c>
      <c r="K149" s="660"/>
      <c r="L149" s="555">
        <v>115</v>
      </c>
      <c r="M149" s="148">
        <v>0</v>
      </c>
      <c r="N149" s="148">
        <v>0</v>
      </c>
      <c r="O149" s="64">
        <v>0</v>
      </c>
      <c r="P149" s="64">
        <v>0</v>
      </c>
      <c r="Q149" s="148">
        <v>0</v>
      </c>
      <c r="R149" s="148">
        <v>0</v>
      </c>
      <c r="S149" s="148">
        <v>0</v>
      </c>
      <c r="T149" s="148">
        <v>0</v>
      </c>
      <c r="U149" s="148">
        <v>0</v>
      </c>
      <c r="V149" s="148">
        <v>0</v>
      </c>
      <c r="W149" s="148">
        <v>0</v>
      </c>
      <c r="X149" s="148">
        <v>0</v>
      </c>
      <c r="Y149" s="148">
        <v>0</v>
      </c>
      <c r="Z149" s="148">
        <v>0</v>
      </c>
      <c r="AA149" s="148">
        <v>0</v>
      </c>
      <c r="AB149" s="148">
        <v>0</v>
      </c>
      <c r="AC149" s="148">
        <v>0</v>
      </c>
      <c r="AD149" s="148">
        <v>0</v>
      </c>
      <c r="AE149" s="148">
        <v>0</v>
      </c>
      <c r="AF149" s="45"/>
      <c r="AG149" s="45"/>
      <c r="AH149" s="688"/>
      <c r="AI149" s="688"/>
      <c r="AJ149" s="688"/>
      <c r="AK149" s="148"/>
      <c r="AL149" s="148"/>
      <c r="AM149" s="148"/>
      <c r="AN149" s="148"/>
      <c r="AO149" s="148"/>
      <c r="AP149" s="148"/>
      <c r="AQ149" s="577"/>
      <c r="AR149" s="578">
        <f t="shared" si="25"/>
        <v>0</v>
      </c>
    </row>
    <row r="150" spans="1:44" ht="15.65" customHeight="1" thickBot="1" x14ac:dyDescent="0.4">
      <c r="A150" s="832"/>
      <c r="B150" s="823"/>
      <c r="C150" s="581" t="s">
        <v>394</v>
      </c>
      <c r="D150" s="48">
        <v>400</v>
      </c>
      <c r="E150" s="48">
        <v>0</v>
      </c>
      <c r="F150" s="148">
        <f>D150-E150</f>
        <v>400</v>
      </c>
      <c r="G150" s="48">
        <v>0</v>
      </c>
      <c r="H150" s="162">
        <f t="shared" si="26"/>
        <v>0</v>
      </c>
      <c r="I150" s="162">
        <f>D150-H150</f>
        <v>400</v>
      </c>
      <c r="J150" s="162">
        <f>H150/D150%</f>
        <v>0</v>
      </c>
      <c r="K150" s="660"/>
      <c r="L150" s="249"/>
      <c r="M150" s="148">
        <v>0</v>
      </c>
      <c r="N150" s="148">
        <v>0</v>
      </c>
      <c r="O150" s="64">
        <v>0</v>
      </c>
      <c r="P150" s="64">
        <v>0</v>
      </c>
      <c r="Q150" s="148">
        <v>0</v>
      </c>
      <c r="R150" s="148">
        <v>0</v>
      </c>
      <c r="S150" s="148">
        <v>0</v>
      </c>
      <c r="T150" s="148">
        <v>0</v>
      </c>
      <c r="U150" s="148">
        <v>0</v>
      </c>
      <c r="V150" s="148">
        <v>0</v>
      </c>
      <c r="W150" s="148">
        <v>0</v>
      </c>
      <c r="X150" s="148">
        <v>0</v>
      </c>
      <c r="Y150" s="148">
        <v>0</v>
      </c>
      <c r="Z150" s="148">
        <v>0</v>
      </c>
      <c r="AA150" s="148">
        <v>0</v>
      </c>
      <c r="AB150" s="148">
        <v>0</v>
      </c>
      <c r="AC150" s="148">
        <v>0</v>
      </c>
      <c r="AD150" s="148">
        <v>0</v>
      </c>
      <c r="AE150" s="148">
        <v>0</v>
      </c>
      <c r="AF150" s="45"/>
      <c r="AG150" s="45"/>
      <c r="AH150" s="688"/>
      <c r="AI150" s="688"/>
      <c r="AJ150" s="688"/>
      <c r="AK150" s="148"/>
      <c r="AL150" s="148"/>
      <c r="AM150" s="148"/>
      <c r="AN150" s="148"/>
      <c r="AO150" s="148"/>
      <c r="AP150" s="148"/>
      <c r="AQ150" s="577"/>
      <c r="AR150" s="578">
        <f t="shared" si="25"/>
        <v>0</v>
      </c>
    </row>
    <row r="151" spans="1:44" ht="15.65" customHeight="1" thickBot="1" x14ac:dyDescent="0.4">
      <c r="A151" s="833"/>
      <c r="B151" s="822"/>
      <c r="C151" s="581" t="s">
        <v>395</v>
      </c>
      <c r="D151" s="48">
        <v>50</v>
      </c>
      <c r="E151" s="48">
        <v>0</v>
      </c>
      <c r="F151" s="148">
        <f>D151-E151</f>
        <v>50</v>
      </c>
      <c r="G151" s="48">
        <v>0</v>
      </c>
      <c r="H151" s="162">
        <f t="shared" si="26"/>
        <v>0</v>
      </c>
      <c r="I151" s="162">
        <f>D151-H151</f>
        <v>50</v>
      </c>
      <c r="J151" s="162">
        <f>H151/D151%</f>
        <v>0</v>
      </c>
      <c r="L151" s="579"/>
      <c r="M151" s="148">
        <v>0</v>
      </c>
      <c r="N151" s="148">
        <v>0</v>
      </c>
      <c r="O151" s="64">
        <v>0</v>
      </c>
      <c r="P151" s="64">
        <v>0</v>
      </c>
      <c r="Q151" s="148">
        <v>0</v>
      </c>
      <c r="R151" s="148">
        <v>0</v>
      </c>
      <c r="S151" s="148">
        <v>0</v>
      </c>
      <c r="T151" s="148">
        <v>0</v>
      </c>
      <c r="U151" s="148">
        <v>0</v>
      </c>
      <c r="V151" s="148">
        <v>0</v>
      </c>
      <c r="W151" s="148">
        <v>0</v>
      </c>
      <c r="X151" s="148">
        <v>0</v>
      </c>
      <c r="Y151" s="148">
        <v>0</v>
      </c>
      <c r="Z151" s="148">
        <v>0</v>
      </c>
      <c r="AA151" s="148">
        <v>0</v>
      </c>
      <c r="AB151" s="148">
        <v>0</v>
      </c>
      <c r="AC151" s="148">
        <v>0</v>
      </c>
      <c r="AD151" s="148">
        <v>0</v>
      </c>
      <c r="AE151" s="148">
        <v>0</v>
      </c>
      <c r="AF151" s="45"/>
      <c r="AG151" s="45"/>
      <c r="AH151" s="688"/>
      <c r="AI151" s="688"/>
      <c r="AJ151" s="688"/>
      <c r="AK151" s="148"/>
      <c r="AL151" s="148"/>
      <c r="AM151" s="148"/>
      <c r="AN151" s="148"/>
      <c r="AO151" s="148"/>
      <c r="AP151" s="148"/>
      <c r="AQ151" s="577"/>
      <c r="AR151" s="578">
        <f t="shared" si="25"/>
        <v>0</v>
      </c>
    </row>
    <row r="152" spans="1:44" ht="16.5" customHeight="1" thickBot="1" x14ac:dyDescent="0.4">
      <c r="A152" s="831">
        <v>11</v>
      </c>
      <c r="B152" s="824" t="s">
        <v>308</v>
      </c>
      <c r="C152" s="579" t="s">
        <v>309</v>
      </c>
      <c r="D152" s="45">
        <f>622+300</f>
        <v>922</v>
      </c>
      <c r="E152" s="45">
        <f>622+300</f>
        <v>922</v>
      </c>
      <c r="F152" s="148">
        <f t="shared" si="8"/>
        <v>0</v>
      </c>
      <c r="G152" s="45">
        <v>898</v>
      </c>
      <c r="H152" s="162">
        <f t="shared" si="24"/>
        <v>898</v>
      </c>
      <c r="I152" s="162">
        <f t="shared" si="10"/>
        <v>24</v>
      </c>
      <c r="J152" s="162">
        <f t="shared" si="11"/>
        <v>97.396963123644241</v>
      </c>
      <c r="K152" s="660"/>
      <c r="L152" s="45"/>
      <c r="M152" s="148">
        <v>0</v>
      </c>
      <c r="N152" s="148">
        <v>0</v>
      </c>
      <c r="O152" s="64">
        <v>0</v>
      </c>
      <c r="P152" s="64">
        <v>0</v>
      </c>
      <c r="Q152" s="148">
        <v>0</v>
      </c>
      <c r="R152" s="148">
        <v>0</v>
      </c>
      <c r="S152" s="148">
        <v>0</v>
      </c>
      <c r="T152" s="148">
        <v>0</v>
      </c>
      <c r="U152" s="148">
        <v>0</v>
      </c>
      <c r="V152" s="148">
        <v>0</v>
      </c>
      <c r="W152" s="148">
        <v>0</v>
      </c>
      <c r="X152" s="148">
        <v>0</v>
      </c>
      <c r="Y152" s="148">
        <v>0</v>
      </c>
      <c r="Z152" s="148">
        <v>0</v>
      </c>
      <c r="AA152" s="148">
        <v>0</v>
      </c>
      <c r="AB152" s="148">
        <v>0</v>
      </c>
      <c r="AC152" s="148">
        <v>0</v>
      </c>
      <c r="AD152" s="148">
        <v>0</v>
      </c>
      <c r="AE152" s="148">
        <v>0</v>
      </c>
      <c r="AF152" s="45"/>
      <c r="AG152" s="45"/>
      <c r="AH152" s="688"/>
      <c r="AI152" s="688"/>
      <c r="AJ152" s="688"/>
      <c r="AK152" s="148"/>
      <c r="AL152" s="148"/>
      <c r="AM152" s="148"/>
      <c r="AN152" s="148"/>
      <c r="AO152" s="148"/>
      <c r="AP152" s="148"/>
      <c r="AQ152" s="577"/>
      <c r="AR152" s="578">
        <f t="shared" si="25"/>
        <v>0</v>
      </c>
    </row>
    <row r="153" spans="1:44" ht="16.5" customHeight="1" thickBot="1" x14ac:dyDescent="0.4">
      <c r="A153" s="832"/>
      <c r="B153" s="825"/>
      <c r="C153" s="579" t="s">
        <v>310</v>
      </c>
      <c r="D153" s="45">
        <v>315</v>
      </c>
      <c r="E153" s="45">
        <v>315</v>
      </c>
      <c r="F153" s="148">
        <f t="shared" si="8"/>
        <v>0</v>
      </c>
      <c r="G153" s="45">
        <v>282</v>
      </c>
      <c r="H153" s="162">
        <f t="shared" si="24"/>
        <v>282</v>
      </c>
      <c r="I153" s="162">
        <f t="shared" si="10"/>
        <v>33</v>
      </c>
      <c r="J153" s="162">
        <f t="shared" si="11"/>
        <v>89.523809523809533</v>
      </c>
      <c r="K153" s="660"/>
      <c r="L153" s="45"/>
      <c r="M153" s="148">
        <v>0</v>
      </c>
      <c r="N153" s="148">
        <v>0</v>
      </c>
      <c r="O153" s="64">
        <v>0</v>
      </c>
      <c r="P153" s="64">
        <v>0</v>
      </c>
      <c r="Q153" s="148">
        <v>0</v>
      </c>
      <c r="R153" s="148">
        <v>0</v>
      </c>
      <c r="S153" s="148">
        <v>0</v>
      </c>
      <c r="T153" s="148">
        <v>0</v>
      </c>
      <c r="U153" s="148">
        <v>0</v>
      </c>
      <c r="V153" s="148">
        <v>0</v>
      </c>
      <c r="W153" s="148">
        <v>0</v>
      </c>
      <c r="X153" s="148">
        <v>0</v>
      </c>
      <c r="Y153" s="148">
        <v>0</v>
      </c>
      <c r="Z153" s="148">
        <v>0</v>
      </c>
      <c r="AA153" s="148">
        <v>0</v>
      </c>
      <c r="AB153" s="148">
        <v>0</v>
      </c>
      <c r="AC153" s="148">
        <v>0</v>
      </c>
      <c r="AD153" s="148">
        <v>0</v>
      </c>
      <c r="AE153" s="148">
        <v>0</v>
      </c>
      <c r="AF153" s="45"/>
      <c r="AG153" s="45"/>
      <c r="AH153" s="688"/>
      <c r="AI153" s="688"/>
      <c r="AJ153" s="688"/>
      <c r="AK153" s="148"/>
      <c r="AL153" s="148"/>
      <c r="AM153" s="148"/>
      <c r="AN153" s="148"/>
      <c r="AO153" s="148"/>
      <c r="AP153" s="148"/>
      <c r="AQ153" s="577"/>
      <c r="AR153" s="578">
        <f t="shared" si="25"/>
        <v>0</v>
      </c>
    </row>
    <row r="154" spans="1:44" ht="16.5" customHeight="1" thickBot="1" x14ac:dyDescent="0.4">
      <c r="A154" s="832"/>
      <c r="B154" s="825"/>
      <c r="C154" s="579" t="s">
        <v>396</v>
      </c>
      <c r="D154" s="45">
        <v>350</v>
      </c>
      <c r="E154" s="45">
        <v>0</v>
      </c>
      <c r="F154" s="148">
        <f t="shared" si="8"/>
        <v>350</v>
      </c>
      <c r="G154" s="45">
        <v>0</v>
      </c>
      <c r="H154" s="162">
        <f t="shared" si="24"/>
        <v>0</v>
      </c>
      <c r="I154" s="162">
        <f t="shared" si="10"/>
        <v>350</v>
      </c>
      <c r="J154" s="162">
        <f t="shared" si="11"/>
        <v>0</v>
      </c>
      <c r="K154" s="660"/>
      <c r="L154" s="45"/>
      <c r="M154" s="148">
        <v>0</v>
      </c>
      <c r="N154" s="148">
        <v>0</v>
      </c>
      <c r="O154" s="64">
        <v>0</v>
      </c>
      <c r="P154" s="64">
        <v>0</v>
      </c>
      <c r="Q154" s="148">
        <v>0</v>
      </c>
      <c r="R154" s="148">
        <v>0</v>
      </c>
      <c r="S154" s="148">
        <v>0</v>
      </c>
      <c r="T154" s="148">
        <v>0</v>
      </c>
      <c r="U154" s="148">
        <v>0</v>
      </c>
      <c r="V154" s="148">
        <v>0</v>
      </c>
      <c r="W154" s="148">
        <v>0</v>
      </c>
      <c r="X154" s="148">
        <v>0</v>
      </c>
      <c r="Y154" s="148">
        <v>0</v>
      </c>
      <c r="Z154" s="148">
        <v>0</v>
      </c>
      <c r="AA154" s="148">
        <v>0</v>
      </c>
      <c r="AB154" s="148">
        <v>0</v>
      </c>
      <c r="AC154" s="148">
        <v>0</v>
      </c>
      <c r="AD154" s="148">
        <v>0</v>
      </c>
      <c r="AE154" s="148">
        <v>0</v>
      </c>
      <c r="AF154" s="45"/>
      <c r="AG154" s="45"/>
      <c r="AH154" s="688"/>
      <c r="AI154" s="688"/>
      <c r="AJ154" s="688"/>
      <c r="AK154" s="148"/>
      <c r="AL154" s="148"/>
      <c r="AM154" s="148"/>
      <c r="AN154" s="148"/>
      <c r="AO154" s="148"/>
      <c r="AP154" s="148"/>
      <c r="AQ154" s="577"/>
      <c r="AR154" s="578">
        <f t="shared" si="25"/>
        <v>0</v>
      </c>
    </row>
    <row r="155" spans="1:44" ht="16.5" customHeight="1" thickBot="1" x14ac:dyDescent="0.4">
      <c r="A155" s="833"/>
      <c r="B155" s="826"/>
      <c r="C155" s="579" t="s">
        <v>397</v>
      </c>
      <c r="D155" s="45">
        <v>200</v>
      </c>
      <c r="E155" s="45">
        <v>200</v>
      </c>
      <c r="F155" s="148">
        <f t="shared" si="8"/>
        <v>0</v>
      </c>
      <c r="G155" s="45">
        <v>0</v>
      </c>
      <c r="H155" s="162">
        <f t="shared" ref="H155" si="27">G155+AR155</f>
        <v>0</v>
      </c>
      <c r="I155" s="162">
        <f t="shared" ref="I155" si="28">D155-H155</f>
        <v>200</v>
      </c>
      <c r="J155" s="162">
        <f t="shared" ref="J155" si="29">H155/D155%</f>
        <v>0</v>
      </c>
      <c r="K155" s="660"/>
      <c r="L155" s="45"/>
      <c r="M155" s="148">
        <v>0</v>
      </c>
      <c r="N155" s="148">
        <v>0</v>
      </c>
      <c r="O155" s="64">
        <v>0</v>
      </c>
      <c r="P155" s="64">
        <v>0</v>
      </c>
      <c r="Q155" s="148">
        <v>0</v>
      </c>
      <c r="R155" s="148">
        <v>0</v>
      </c>
      <c r="S155" s="148">
        <v>0</v>
      </c>
      <c r="T155" s="148">
        <v>0</v>
      </c>
      <c r="U155" s="148">
        <v>0</v>
      </c>
      <c r="V155" s="148">
        <v>0</v>
      </c>
      <c r="W155" s="148">
        <v>0</v>
      </c>
      <c r="X155" s="148">
        <v>0</v>
      </c>
      <c r="Y155" s="148">
        <v>0</v>
      </c>
      <c r="Z155" s="148">
        <v>0</v>
      </c>
      <c r="AA155" s="148">
        <v>0</v>
      </c>
      <c r="AB155" s="148">
        <v>0</v>
      </c>
      <c r="AC155" s="148">
        <v>0</v>
      </c>
      <c r="AD155" s="148">
        <v>0</v>
      </c>
      <c r="AE155" s="148">
        <v>0</v>
      </c>
      <c r="AF155" s="45"/>
      <c r="AG155" s="45"/>
      <c r="AH155" s="688"/>
      <c r="AI155" s="688"/>
      <c r="AJ155" s="688"/>
      <c r="AK155" s="148"/>
      <c r="AL155" s="148"/>
      <c r="AM155" s="148"/>
      <c r="AN155" s="148"/>
      <c r="AO155" s="148"/>
      <c r="AP155" s="148"/>
      <c r="AQ155" s="577"/>
      <c r="AR155" s="578">
        <f t="shared" si="25"/>
        <v>0</v>
      </c>
    </row>
    <row r="156" spans="1:44" ht="16.5" customHeight="1" thickBot="1" x14ac:dyDescent="0.4">
      <c r="A156" s="831">
        <v>12</v>
      </c>
      <c r="B156" s="824" t="s">
        <v>311</v>
      </c>
      <c r="C156" s="579" t="s">
        <v>312</v>
      </c>
      <c r="D156" s="45">
        <v>6000</v>
      </c>
      <c r="E156" s="45">
        <v>5152</v>
      </c>
      <c r="F156" s="148">
        <f t="shared" ref="F156:F189" si="30">D156-E156</f>
        <v>848</v>
      </c>
      <c r="G156" s="45">
        <v>1352</v>
      </c>
      <c r="H156" s="162">
        <f t="shared" si="24"/>
        <v>1371</v>
      </c>
      <c r="I156" s="162">
        <f t="shared" ref="I156:I180" si="31">D156-H156</f>
        <v>4629</v>
      </c>
      <c r="J156" s="162">
        <f t="shared" ref="J156:J174" si="32">H156/D156%</f>
        <v>22.85</v>
      </c>
      <c r="K156" s="660"/>
      <c r="L156" s="814">
        <v>270</v>
      </c>
      <c r="M156" s="148">
        <v>0</v>
      </c>
      <c r="N156" s="148">
        <v>0</v>
      </c>
      <c r="O156" s="64">
        <v>0</v>
      </c>
      <c r="P156" s="64">
        <v>0</v>
      </c>
      <c r="Q156" s="148">
        <v>0</v>
      </c>
      <c r="R156" s="148">
        <v>0</v>
      </c>
      <c r="S156" s="148">
        <v>0</v>
      </c>
      <c r="T156" s="148">
        <v>0</v>
      </c>
      <c r="U156" s="148">
        <v>0</v>
      </c>
      <c r="V156" s="148">
        <v>0</v>
      </c>
      <c r="W156" s="148">
        <v>0</v>
      </c>
      <c r="X156" s="148">
        <v>0</v>
      </c>
      <c r="Y156" s="148">
        <v>0</v>
      </c>
      <c r="Z156" s="148">
        <v>19</v>
      </c>
      <c r="AA156" s="148">
        <v>0</v>
      </c>
      <c r="AB156" s="148">
        <v>0</v>
      </c>
      <c r="AC156" s="148">
        <v>0</v>
      </c>
      <c r="AD156" s="148">
        <v>0</v>
      </c>
      <c r="AE156" s="148">
        <v>0</v>
      </c>
      <c r="AF156" s="45"/>
      <c r="AG156" s="45"/>
      <c r="AH156" s="688"/>
      <c r="AI156" s="688"/>
      <c r="AJ156" s="148"/>
      <c r="AK156" s="148"/>
      <c r="AL156" s="148"/>
      <c r="AM156" s="148"/>
      <c r="AN156" s="148"/>
      <c r="AO156" s="148"/>
      <c r="AP156" s="148"/>
      <c r="AQ156" s="577"/>
      <c r="AR156" s="578">
        <f t="shared" si="25"/>
        <v>19</v>
      </c>
    </row>
    <row r="157" spans="1:44" ht="16.5" customHeight="1" thickBot="1" x14ac:dyDescent="0.4">
      <c r="A157" s="833"/>
      <c r="B157" s="826"/>
      <c r="C157" s="579" t="s">
        <v>398</v>
      </c>
      <c r="D157" s="45">
        <f>950+1100</f>
        <v>2050</v>
      </c>
      <c r="E157" s="45">
        <v>950</v>
      </c>
      <c r="F157" s="148">
        <f t="shared" si="30"/>
        <v>1100</v>
      </c>
      <c r="G157" s="45">
        <v>1208</v>
      </c>
      <c r="H157" s="162">
        <f t="shared" si="24"/>
        <v>1253</v>
      </c>
      <c r="I157" s="162">
        <f t="shared" si="31"/>
        <v>797</v>
      </c>
      <c r="J157" s="162">
        <f t="shared" si="32"/>
        <v>61.121951219512198</v>
      </c>
      <c r="K157" s="660"/>
      <c r="L157" s="815"/>
      <c r="M157" s="148">
        <v>0</v>
      </c>
      <c r="N157" s="148">
        <v>18</v>
      </c>
      <c r="O157" s="64">
        <v>0</v>
      </c>
      <c r="P157" s="64">
        <v>0</v>
      </c>
      <c r="Q157" s="148">
        <v>0</v>
      </c>
      <c r="R157" s="148">
        <v>0</v>
      </c>
      <c r="S157" s="148">
        <v>21</v>
      </c>
      <c r="T157" s="148">
        <v>0</v>
      </c>
      <c r="U157" s="148">
        <v>0</v>
      </c>
      <c r="V157" s="148">
        <v>6</v>
      </c>
      <c r="W157" s="148">
        <v>0</v>
      </c>
      <c r="X157" s="148">
        <v>0</v>
      </c>
      <c r="Y157" s="148">
        <v>0</v>
      </c>
      <c r="Z157" s="148">
        <v>0</v>
      </c>
      <c r="AA157" s="148">
        <v>0</v>
      </c>
      <c r="AB157" s="148">
        <v>0</v>
      </c>
      <c r="AC157" s="148">
        <v>0</v>
      </c>
      <c r="AD157" s="148">
        <v>0</v>
      </c>
      <c r="AE157" s="148">
        <v>0</v>
      </c>
      <c r="AF157" s="45"/>
      <c r="AG157" s="45"/>
      <c r="AH157" s="688"/>
      <c r="AI157" s="688"/>
      <c r="AJ157" s="688"/>
      <c r="AK157" s="148"/>
      <c r="AL157" s="148"/>
      <c r="AM157" s="148"/>
      <c r="AN157" s="148"/>
      <c r="AO157" s="45"/>
      <c r="AP157" s="45"/>
      <c r="AQ157" s="349"/>
      <c r="AR157" s="578">
        <f t="shared" si="25"/>
        <v>45</v>
      </c>
    </row>
    <row r="158" spans="1:44" ht="16.5" customHeight="1" thickBot="1" x14ac:dyDescent="0.4">
      <c r="A158" s="831">
        <v>13</v>
      </c>
      <c r="B158" s="824" t="s">
        <v>399</v>
      </c>
      <c r="C158" s="579" t="s">
        <v>400</v>
      </c>
      <c r="D158" s="45">
        <v>360</v>
      </c>
      <c r="E158" s="732">
        <v>360</v>
      </c>
      <c r="F158" s="148">
        <f t="shared" si="30"/>
        <v>0</v>
      </c>
      <c r="G158" s="45">
        <v>162</v>
      </c>
      <c r="H158" s="162">
        <f t="shared" si="24"/>
        <v>361</v>
      </c>
      <c r="I158" s="162">
        <f t="shared" si="31"/>
        <v>-1</v>
      </c>
      <c r="J158" s="162">
        <f t="shared" si="32"/>
        <v>100.27777777777777</v>
      </c>
      <c r="K158" s="660"/>
      <c r="L158" s="555">
        <v>123</v>
      </c>
      <c r="M158" s="148">
        <v>0</v>
      </c>
      <c r="N158" s="148">
        <v>24</v>
      </c>
      <c r="O158" s="64">
        <v>0</v>
      </c>
      <c r="P158" s="64">
        <v>0</v>
      </c>
      <c r="Q158" s="148">
        <v>0</v>
      </c>
      <c r="R158" s="148">
        <v>0</v>
      </c>
      <c r="S158" s="148">
        <v>42</v>
      </c>
      <c r="T158" s="148">
        <v>24</v>
      </c>
      <c r="U158" s="148">
        <v>0</v>
      </c>
      <c r="V158" s="148">
        <v>32</v>
      </c>
      <c r="W158" s="148">
        <v>0</v>
      </c>
      <c r="X158" s="148">
        <v>51</v>
      </c>
      <c r="Y158" s="148">
        <v>0</v>
      </c>
      <c r="Z158" s="148">
        <v>26</v>
      </c>
      <c r="AA158" s="148">
        <v>0</v>
      </c>
      <c r="AB158" s="148">
        <v>0</v>
      </c>
      <c r="AC158" s="148">
        <v>0</v>
      </c>
      <c r="AD158" s="148">
        <v>0</v>
      </c>
      <c r="AE158" s="148">
        <v>0</v>
      </c>
      <c r="AF158" s="45"/>
      <c r="AG158" s="45"/>
      <c r="AH158" s="688"/>
      <c r="AI158" s="688"/>
      <c r="AJ158" s="688"/>
      <c r="AK158" s="148"/>
      <c r="AL158" s="148"/>
      <c r="AM158" s="148"/>
      <c r="AN158" s="148"/>
      <c r="AO158" s="45"/>
      <c r="AP158" s="45"/>
      <c r="AQ158" s="349"/>
      <c r="AR158" s="578">
        <f t="shared" si="25"/>
        <v>199</v>
      </c>
    </row>
    <row r="159" spans="1:44" ht="16.5" customHeight="1" thickBot="1" x14ac:dyDescent="0.4">
      <c r="A159" s="832"/>
      <c r="B159" s="825"/>
      <c r="C159" s="579" t="s">
        <v>401</v>
      </c>
      <c r="D159" s="45">
        <f>250+100</f>
        <v>350</v>
      </c>
      <c r="E159" s="732">
        <v>350</v>
      </c>
      <c r="F159" s="148">
        <f t="shared" si="30"/>
        <v>0</v>
      </c>
      <c r="G159" s="45">
        <v>0</v>
      </c>
      <c r="H159" s="162">
        <f t="shared" si="24"/>
        <v>0</v>
      </c>
      <c r="I159" s="162">
        <f t="shared" si="31"/>
        <v>350</v>
      </c>
      <c r="J159" s="162">
        <f t="shared" si="32"/>
        <v>0</v>
      </c>
      <c r="K159" s="660"/>
      <c r="L159" s="45"/>
      <c r="M159" s="148">
        <v>0</v>
      </c>
      <c r="N159" s="148">
        <v>0</v>
      </c>
      <c r="O159" s="64">
        <v>0</v>
      </c>
      <c r="P159" s="64">
        <v>0</v>
      </c>
      <c r="Q159" s="148">
        <v>0</v>
      </c>
      <c r="R159" s="148">
        <v>0</v>
      </c>
      <c r="S159" s="148">
        <v>0</v>
      </c>
      <c r="T159" s="148">
        <v>0</v>
      </c>
      <c r="U159" s="148">
        <v>0</v>
      </c>
      <c r="V159" s="148">
        <v>0</v>
      </c>
      <c r="W159" s="148">
        <v>0</v>
      </c>
      <c r="X159" s="148">
        <v>0</v>
      </c>
      <c r="Y159" s="148">
        <v>0</v>
      </c>
      <c r="Z159" s="148">
        <v>0</v>
      </c>
      <c r="AA159" s="148">
        <v>0</v>
      </c>
      <c r="AB159" s="148">
        <v>0</v>
      </c>
      <c r="AC159" s="148">
        <v>0</v>
      </c>
      <c r="AD159" s="148">
        <v>0</v>
      </c>
      <c r="AE159" s="148">
        <v>0</v>
      </c>
      <c r="AF159" s="45"/>
      <c r="AG159" s="45"/>
      <c r="AH159" s="688"/>
      <c r="AI159" s="688"/>
      <c r="AJ159" s="688"/>
      <c r="AK159" s="148"/>
      <c r="AL159" s="148"/>
      <c r="AM159" s="148"/>
      <c r="AN159" s="148"/>
      <c r="AO159" s="45"/>
      <c r="AP159" s="45"/>
      <c r="AQ159" s="349"/>
      <c r="AR159" s="578">
        <f t="shared" si="25"/>
        <v>0</v>
      </c>
    </row>
    <row r="160" spans="1:44" ht="16.5" customHeight="1" thickBot="1" x14ac:dyDescent="0.4">
      <c r="A160" s="832"/>
      <c r="B160" s="825"/>
      <c r="C160" s="44" t="s">
        <v>319</v>
      </c>
      <c r="D160" s="45">
        <v>275</v>
      </c>
      <c r="E160" s="732">
        <v>275</v>
      </c>
      <c r="F160" s="148">
        <f t="shared" si="30"/>
        <v>0</v>
      </c>
      <c r="G160" s="45">
        <v>0</v>
      </c>
      <c r="H160" s="162">
        <f t="shared" si="24"/>
        <v>0</v>
      </c>
      <c r="I160" s="162">
        <f t="shared" si="31"/>
        <v>275</v>
      </c>
      <c r="J160" s="162">
        <f t="shared" si="32"/>
        <v>0</v>
      </c>
      <c r="K160" s="660"/>
      <c r="L160" s="555">
        <v>230</v>
      </c>
      <c r="M160" s="148">
        <v>0</v>
      </c>
      <c r="N160" s="148">
        <v>0</v>
      </c>
      <c r="O160" s="64">
        <v>0</v>
      </c>
      <c r="P160" s="64">
        <v>0</v>
      </c>
      <c r="Q160" s="148">
        <v>0</v>
      </c>
      <c r="R160" s="148">
        <v>0</v>
      </c>
      <c r="S160" s="148">
        <v>0</v>
      </c>
      <c r="T160" s="148">
        <v>0</v>
      </c>
      <c r="U160" s="148">
        <v>0</v>
      </c>
      <c r="V160" s="148">
        <v>0</v>
      </c>
      <c r="W160" s="148">
        <v>0</v>
      </c>
      <c r="X160" s="148">
        <v>0</v>
      </c>
      <c r="Y160" s="148">
        <v>0</v>
      </c>
      <c r="Z160" s="148">
        <v>0</v>
      </c>
      <c r="AA160" s="148">
        <v>0</v>
      </c>
      <c r="AB160" s="148">
        <v>0</v>
      </c>
      <c r="AC160" s="148">
        <v>0</v>
      </c>
      <c r="AD160" s="148">
        <v>0</v>
      </c>
      <c r="AE160" s="148">
        <v>0</v>
      </c>
      <c r="AF160" s="45"/>
      <c r="AG160" s="45"/>
      <c r="AH160" s="688"/>
      <c r="AI160" s="688"/>
      <c r="AJ160" s="688"/>
      <c r="AK160" s="148"/>
      <c r="AL160" s="148"/>
      <c r="AM160" s="148"/>
      <c r="AN160" s="148"/>
      <c r="AO160" s="45"/>
      <c r="AP160" s="45"/>
      <c r="AQ160" s="349"/>
      <c r="AR160" s="578">
        <f t="shared" si="25"/>
        <v>0</v>
      </c>
    </row>
    <row r="161" spans="1:44" ht="16.5" customHeight="1" thickBot="1" x14ac:dyDescent="0.4">
      <c r="A161" s="832"/>
      <c r="B161" s="825"/>
      <c r="C161" s="44" t="s">
        <v>402</v>
      </c>
      <c r="D161" s="45">
        <v>145</v>
      </c>
      <c r="E161" s="732">
        <v>145</v>
      </c>
      <c r="F161" s="148">
        <f t="shared" si="30"/>
        <v>0</v>
      </c>
      <c r="G161" s="45">
        <v>0</v>
      </c>
      <c r="H161" s="162">
        <f t="shared" ref="H161" si="33">G161+AR161</f>
        <v>0</v>
      </c>
      <c r="I161" s="162">
        <f t="shared" ref="I161" si="34">D161-H161</f>
        <v>145</v>
      </c>
      <c r="J161" s="162">
        <f t="shared" ref="J161" si="35">H161/D161%</f>
        <v>0</v>
      </c>
      <c r="K161" s="660"/>
      <c r="L161" s="555"/>
      <c r="M161" s="148">
        <v>0</v>
      </c>
      <c r="N161" s="148">
        <v>0</v>
      </c>
      <c r="O161" s="64">
        <v>0</v>
      </c>
      <c r="P161" s="64">
        <v>0</v>
      </c>
      <c r="Q161" s="148">
        <v>0</v>
      </c>
      <c r="R161" s="148">
        <v>0</v>
      </c>
      <c r="S161" s="148">
        <v>0</v>
      </c>
      <c r="T161" s="148">
        <v>0</v>
      </c>
      <c r="U161" s="148">
        <v>0</v>
      </c>
      <c r="V161" s="148">
        <v>0</v>
      </c>
      <c r="W161" s="148">
        <v>0</v>
      </c>
      <c r="X161" s="148">
        <v>0</v>
      </c>
      <c r="Y161" s="148">
        <v>0</v>
      </c>
      <c r="Z161" s="148">
        <v>0</v>
      </c>
      <c r="AA161" s="148">
        <v>0</v>
      </c>
      <c r="AB161" s="148">
        <v>0</v>
      </c>
      <c r="AC161" s="148">
        <v>0</v>
      </c>
      <c r="AD161" s="148">
        <v>0</v>
      </c>
      <c r="AE161" s="148">
        <v>0</v>
      </c>
      <c r="AF161" s="45"/>
      <c r="AG161" s="45"/>
      <c r="AH161" s="688"/>
      <c r="AI161" s="688"/>
      <c r="AJ161" s="688"/>
      <c r="AK161" s="148"/>
      <c r="AL161" s="148"/>
      <c r="AM161" s="148"/>
      <c r="AN161" s="148"/>
      <c r="AO161" s="45"/>
      <c r="AP161" s="45"/>
      <c r="AQ161" s="349"/>
      <c r="AR161" s="578">
        <f t="shared" si="25"/>
        <v>0</v>
      </c>
    </row>
    <row r="162" spans="1:44" ht="16.5" customHeight="1" thickBot="1" x14ac:dyDescent="0.4">
      <c r="A162" s="833"/>
      <c r="B162" s="826"/>
      <c r="C162" s="44" t="s">
        <v>320</v>
      </c>
      <c r="D162" s="45">
        <f>500-145</f>
        <v>355</v>
      </c>
      <c r="E162" s="45">
        <v>0</v>
      </c>
      <c r="F162" s="148">
        <f t="shared" si="30"/>
        <v>355</v>
      </c>
      <c r="G162" s="45">
        <v>88</v>
      </c>
      <c r="H162" s="162">
        <f t="shared" si="24"/>
        <v>88</v>
      </c>
      <c r="I162" s="162">
        <f t="shared" si="31"/>
        <v>267</v>
      </c>
      <c r="J162" s="162">
        <f t="shared" si="32"/>
        <v>24.7887323943662</v>
      </c>
      <c r="K162" s="660"/>
      <c r="L162" s="45"/>
      <c r="M162" s="148">
        <v>0</v>
      </c>
      <c r="N162" s="148">
        <v>0</v>
      </c>
      <c r="O162" s="64">
        <v>0</v>
      </c>
      <c r="P162" s="64">
        <v>0</v>
      </c>
      <c r="Q162" s="148">
        <v>0</v>
      </c>
      <c r="R162" s="148">
        <v>0</v>
      </c>
      <c r="S162" s="148">
        <v>0</v>
      </c>
      <c r="T162" s="148">
        <v>0</v>
      </c>
      <c r="U162" s="148">
        <v>0</v>
      </c>
      <c r="V162" s="148">
        <v>0</v>
      </c>
      <c r="W162" s="148">
        <v>0</v>
      </c>
      <c r="X162" s="148">
        <v>0</v>
      </c>
      <c r="Y162" s="148">
        <v>0</v>
      </c>
      <c r="Z162" s="148">
        <v>0</v>
      </c>
      <c r="AA162" s="148">
        <v>0</v>
      </c>
      <c r="AB162" s="148">
        <v>0</v>
      </c>
      <c r="AC162" s="148">
        <v>0</v>
      </c>
      <c r="AD162" s="148">
        <v>0</v>
      </c>
      <c r="AE162" s="148">
        <v>0</v>
      </c>
      <c r="AF162" s="45"/>
      <c r="AG162" s="45"/>
      <c r="AH162" s="688"/>
      <c r="AI162" s="688"/>
      <c r="AJ162" s="688"/>
      <c r="AK162" s="148"/>
      <c r="AL162" s="148"/>
      <c r="AM162" s="148"/>
      <c r="AN162" s="148"/>
      <c r="AO162" s="45"/>
      <c r="AP162" s="45"/>
      <c r="AQ162" s="349"/>
      <c r="AR162" s="578">
        <f t="shared" si="25"/>
        <v>0</v>
      </c>
    </row>
    <row r="163" spans="1:44" ht="16.5" customHeight="1" thickBot="1" x14ac:dyDescent="0.4">
      <c r="A163" s="831">
        <v>14</v>
      </c>
      <c r="B163" s="824" t="s">
        <v>254</v>
      </c>
      <c r="C163" s="579" t="s">
        <v>255</v>
      </c>
      <c r="D163" s="45">
        <v>80</v>
      </c>
      <c r="E163" s="45">
        <v>80</v>
      </c>
      <c r="F163" s="148">
        <f t="shared" si="30"/>
        <v>0</v>
      </c>
      <c r="G163" s="45">
        <v>0</v>
      </c>
      <c r="H163" s="162">
        <f t="shared" si="24"/>
        <v>0</v>
      </c>
      <c r="I163" s="162">
        <f t="shared" si="31"/>
        <v>80</v>
      </c>
      <c r="J163" s="162">
        <f t="shared" si="32"/>
        <v>0</v>
      </c>
      <c r="K163" s="660"/>
      <c r="L163" s="45"/>
      <c r="M163" s="148">
        <v>0</v>
      </c>
      <c r="N163" s="148">
        <v>0</v>
      </c>
      <c r="O163" s="64">
        <v>0</v>
      </c>
      <c r="P163" s="64">
        <v>0</v>
      </c>
      <c r="Q163" s="148">
        <v>0</v>
      </c>
      <c r="R163" s="148">
        <v>0</v>
      </c>
      <c r="S163" s="148">
        <v>0</v>
      </c>
      <c r="T163" s="148">
        <v>0</v>
      </c>
      <c r="U163" s="148">
        <v>0</v>
      </c>
      <c r="V163" s="148">
        <v>0</v>
      </c>
      <c r="W163" s="148">
        <v>0</v>
      </c>
      <c r="X163" s="148">
        <v>0</v>
      </c>
      <c r="Y163" s="148">
        <v>0</v>
      </c>
      <c r="Z163" s="148">
        <v>0</v>
      </c>
      <c r="AA163" s="148">
        <v>0</v>
      </c>
      <c r="AB163" s="148">
        <v>0</v>
      </c>
      <c r="AC163" s="148">
        <v>0</v>
      </c>
      <c r="AD163" s="148">
        <v>0</v>
      </c>
      <c r="AE163" s="148">
        <v>0</v>
      </c>
      <c r="AF163" s="45"/>
      <c r="AG163" s="45"/>
      <c r="AH163" s="688"/>
      <c r="AI163" s="688"/>
      <c r="AJ163" s="688"/>
      <c r="AK163" s="148"/>
      <c r="AL163" s="148"/>
      <c r="AM163" s="148"/>
      <c r="AN163" s="148"/>
      <c r="AO163" s="45"/>
      <c r="AP163" s="45"/>
      <c r="AQ163" s="349"/>
      <c r="AR163" s="578">
        <f t="shared" si="25"/>
        <v>0</v>
      </c>
    </row>
    <row r="164" spans="1:44" ht="16.5" customHeight="1" thickBot="1" x14ac:dyDescent="0.4">
      <c r="A164" s="832"/>
      <c r="B164" s="825"/>
      <c r="C164" s="579" t="s">
        <v>403</v>
      </c>
      <c r="D164" s="634">
        <v>185</v>
      </c>
      <c r="E164" s="48">
        <v>185</v>
      </c>
      <c r="F164" s="148">
        <f t="shared" si="30"/>
        <v>0</v>
      </c>
      <c r="G164" s="45">
        <v>237</v>
      </c>
      <c r="H164" s="162">
        <f t="shared" si="24"/>
        <v>345</v>
      </c>
      <c r="I164" s="162">
        <f t="shared" si="31"/>
        <v>-160</v>
      </c>
      <c r="J164" s="162">
        <f t="shared" si="32"/>
        <v>186.48648648648648</v>
      </c>
      <c r="K164" s="660"/>
      <c r="L164" s="814">
        <v>210</v>
      </c>
      <c r="M164" s="148">
        <v>0</v>
      </c>
      <c r="N164" s="148">
        <v>0</v>
      </c>
      <c r="O164" s="64">
        <v>0</v>
      </c>
      <c r="P164" s="64">
        <v>0</v>
      </c>
      <c r="Q164" s="148">
        <v>0</v>
      </c>
      <c r="R164" s="148">
        <v>0</v>
      </c>
      <c r="S164" s="148">
        <v>102</v>
      </c>
      <c r="T164" s="148">
        <v>6</v>
      </c>
      <c r="U164" s="148">
        <v>0</v>
      </c>
      <c r="V164" s="148">
        <v>0</v>
      </c>
      <c r="W164" s="148">
        <v>0</v>
      </c>
      <c r="X164" s="148">
        <v>0</v>
      </c>
      <c r="Y164" s="148">
        <v>0</v>
      </c>
      <c r="Z164" s="148">
        <v>0</v>
      </c>
      <c r="AA164" s="148">
        <v>0</v>
      </c>
      <c r="AB164" s="148">
        <v>0</v>
      </c>
      <c r="AC164" s="148">
        <v>0</v>
      </c>
      <c r="AD164" s="148">
        <v>0</v>
      </c>
      <c r="AE164" s="148">
        <v>0</v>
      </c>
      <c r="AF164" s="45"/>
      <c r="AG164" s="45"/>
      <c r="AH164" s="688"/>
      <c r="AI164" s="688"/>
      <c r="AJ164" s="688"/>
      <c r="AK164" s="45"/>
      <c r="AL164" s="148"/>
      <c r="AM164" s="148"/>
      <c r="AN164" s="148"/>
      <c r="AO164" s="45"/>
      <c r="AP164" s="45"/>
      <c r="AQ164" s="349"/>
      <c r="AR164" s="578">
        <f t="shared" si="25"/>
        <v>108</v>
      </c>
    </row>
    <row r="165" spans="1:44" ht="16.5" customHeight="1" thickBot="1" x14ac:dyDescent="0.4">
      <c r="A165" s="832"/>
      <c r="B165" s="825"/>
      <c r="C165" s="579" t="s">
        <v>404</v>
      </c>
      <c r="D165" s="148">
        <v>185</v>
      </c>
      <c r="E165" s="148">
        <v>185</v>
      </c>
      <c r="F165" s="148">
        <f t="shared" si="30"/>
        <v>0</v>
      </c>
      <c r="G165" s="45">
        <v>0</v>
      </c>
      <c r="H165" s="162">
        <f t="shared" si="24"/>
        <v>8</v>
      </c>
      <c r="I165" s="162">
        <f t="shared" si="31"/>
        <v>177</v>
      </c>
      <c r="J165" s="162">
        <f t="shared" si="32"/>
        <v>4.3243243243243237</v>
      </c>
      <c r="K165" s="660"/>
      <c r="L165" s="815"/>
      <c r="M165" s="148">
        <v>0</v>
      </c>
      <c r="N165" s="148">
        <v>0</v>
      </c>
      <c r="O165" s="64">
        <v>0</v>
      </c>
      <c r="P165" s="64">
        <v>0</v>
      </c>
      <c r="Q165" s="148">
        <v>0</v>
      </c>
      <c r="R165" s="148">
        <v>8</v>
      </c>
      <c r="S165" s="148">
        <v>0</v>
      </c>
      <c r="T165" s="148">
        <v>0</v>
      </c>
      <c r="U165" s="148">
        <v>0</v>
      </c>
      <c r="V165" s="148">
        <v>0</v>
      </c>
      <c r="W165" s="148">
        <v>0</v>
      </c>
      <c r="X165" s="148">
        <v>0</v>
      </c>
      <c r="Y165" s="148">
        <v>0</v>
      </c>
      <c r="Z165" s="148">
        <v>0</v>
      </c>
      <c r="AA165" s="148">
        <v>0</v>
      </c>
      <c r="AB165" s="148">
        <v>0</v>
      </c>
      <c r="AC165" s="148">
        <v>0</v>
      </c>
      <c r="AD165" s="148">
        <v>0</v>
      </c>
      <c r="AE165" s="148">
        <v>0</v>
      </c>
      <c r="AF165" s="45"/>
      <c r="AG165" s="45"/>
      <c r="AH165" s="688"/>
      <c r="AI165" s="688"/>
      <c r="AJ165" s="688"/>
      <c r="AK165" s="45"/>
      <c r="AL165" s="148"/>
      <c r="AM165" s="148"/>
      <c r="AN165" s="148"/>
      <c r="AO165" s="45"/>
      <c r="AP165" s="45"/>
      <c r="AQ165" s="349"/>
      <c r="AR165" s="578">
        <f t="shared" si="25"/>
        <v>8</v>
      </c>
    </row>
    <row r="166" spans="1:44" ht="16.5" customHeight="1" thickBot="1" x14ac:dyDescent="0.4">
      <c r="A166" s="832"/>
      <c r="B166" s="825"/>
      <c r="C166" s="579" t="s">
        <v>405</v>
      </c>
      <c r="D166" s="334">
        <f>95+95</f>
        <v>190</v>
      </c>
      <c r="E166" s="148">
        <v>190</v>
      </c>
      <c r="F166" s="148">
        <v>0</v>
      </c>
      <c r="G166" s="45">
        <v>13</v>
      </c>
      <c r="H166" s="162">
        <f t="shared" si="24"/>
        <v>135</v>
      </c>
      <c r="I166" s="162">
        <f t="shared" ref="I166" si="36">D166-H166</f>
        <v>55</v>
      </c>
      <c r="J166" s="162">
        <f t="shared" ref="J166" si="37">H166/D166%</f>
        <v>71.05263157894737</v>
      </c>
      <c r="K166" s="660"/>
      <c r="L166" s="45"/>
      <c r="M166" s="148">
        <v>0</v>
      </c>
      <c r="N166" s="148">
        <v>0</v>
      </c>
      <c r="O166" s="64">
        <v>0</v>
      </c>
      <c r="P166" s="64">
        <v>0</v>
      </c>
      <c r="Q166" s="148">
        <v>0</v>
      </c>
      <c r="R166" s="148">
        <v>0</v>
      </c>
      <c r="S166" s="148">
        <v>0</v>
      </c>
      <c r="T166" s="148">
        <v>0</v>
      </c>
      <c r="U166" s="148">
        <v>0</v>
      </c>
      <c r="V166" s="148">
        <v>0</v>
      </c>
      <c r="W166" s="148">
        <v>0</v>
      </c>
      <c r="X166" s="148">
        <v>0</v>
      </c>
      <c r="Y166" s="148">
        <v>0</v>
      </c>
      <c r="Z166" s="148">
        <v>39</v>
      </c>
      <c r="AA166" s="148">
        <v>83</v>
      </c>
      <c r="AB166" s="148">
        <v>0</v>
      </c>
      <c r="AC166" s="148">
        <v>0</v>
      </c>
      <c r="AD166" s="148">
        <v>0</v>
      </c>
      <c r="AE166" s="148">
        <v>0</v>
      </c>
      <c r="AF166" s="45"/>
      <c r="AG166" s="45"/>
      <c r="AH166" s="688"/>
      <c r="AI166" s="148"/>
      <c r="AJ166" s="148"/>
      <c r="AK166" s="45"/>
      <c r="AL166" s="148"/>
      <c r="AM166" s="148"/>
      <c r="AN166" s="148"/>
      <c r="AO166" s="45"/>
      <c r="AP166" s="45"/>
      <c r="AQ166" s="349"/>
      <c r="AR166" s="578">
        <f t="shared" si="25"/>
        <v>122</v>
      </c>
    </row>
    <row r="167" spans="1:44" ht="16.5" customHeight="1" thickBot="1" x14ac:dyDescent="0.4">
      <c r="A167" s="832"/>
      <c r="B167" s="825"/>
      <c r="C167" s="579" t="s">
        <v>406</v>
      </c>
      <c r="D167" s="48">
        <v>300</v>
      </c>
      <c r="E167" s="148">
        <f>150+150</f>
        <v>300</v>
      </c>
      <c r="F167" s="148">
        <f t="shared" si="30"/>
        <v>0</v>
      </c>
      <c r="G167" s="45">
        <v>0</v>
      </c>
      <c r="H167" s="162">
        <f t="shared" si="24"/>
        <v>0</v>
      </c>
      <c r="I167" s="162">
        <f t="shared" si="31"/>
        <v>300</v>
      </c>
      <c r="J167" s="162">
        <f t="shared" si="32"/>
        <v>0</v>
      </c>
      <c r="K167" s="660"/>
      <c r="L167" s="45"/>
      <c r="M167" s="148">
        <v>0</v>
      </c>
      <c r="N167" s="148">
        <v>0</v>
      </c>
      <c r="O167" s="64">
        <v>0</v>
      </c>
      <c r="P167" s="64">
        <v>0</v>
      </c>
      <c r="Q167" s="148">
        <v>0</v>
      </c>
      <c r="R167" s="148">
        <v>0</v>
      </c>
      <c r="S167" s="148">
        <v>0</v>
      </c>
      <c r="T167" s="148">
        <v>0</v>
      </c>
      <c r="U167" s="148">
        <v>0</v>
      </c>
      <c r="V167" s="148">
        <v>0</v>
      </c>
      <c r="W167" s="148">
        <v>0</v>
      </c>
      <c r="X167" s="148">
        <v>0</v>
      </c>
      <c r="Y167" s="148">
        <v>0</v>
      </c>
      <c r="Z167" s="148">
        <v>0</v>
      </c>
      <c r="AA167" s="148">
        <v>0</v>
      </c>
      <c r="AB167" s="148">
        <v>0</v>
      </c>
      <c r="AC167" s="148">
        <v>0</v>
      </c>
      <c r="AD167" s="148">
        <v>0</v>
      </c>
      <c r="AE167" s="148">
        <v>0</v>
      </c>
      <c r="AF167" s="45"/>
      <c r="AG167" s="45"/>
      <c r="AH167" s="688"/>
      <c r="AI167" s="688"/>
      <c r="AJ167" s="688"/>
      <c r="AK167" s="45"/>
      <c r="AL167" s="148"/>
      <c r="AM167" s="148"/>
      <c r="AN167" s="148"/>
      <c r="AO167" s="45"/>
      <c r="AP167" s="45"/>
      <c r="AQ167" s="349"/>
      <c r="AR167" s="578">
        <f t="shared" si="25"/>
        <v>0</v>
      </c>
    </row>
    <row r="168" spans="1:44" ht="16.5" customHeight="1" thickBot="1" x14ac:dyDescent="0.4">
      <c r="A168" s="832"/>
      <c r="B168" s="825"/>
      <c r="C168" s="579" t="s">
        <v>407</v>
      </c>
      <c r="D168" s="148">
        <f>220*4</f>
        <v>880</v>
      </c>
      <c r="E168" s="148">
        <v>880</v>
      </c>
      <c r="F168" s="148">
        <f t="shared" si="30"/>
        <v>0</v>
      </c>
      <c r="G168" s="45">
        <v>0</v>
      </c>
      <c r="H168" s="162">
        <f t="shared" si="24"/>
        <v>0</v>
      </c>
      <c r="I168" s="162">
        <f t="shared" si="31"/>
        <v>880</v>
      </c>
      <c r="J168" s="162">
        <f t="shared" si="32"/>
        <v>0</v>
      </c>
      <c r="K168" s="660"/>
      <c r="L168" s="45"/>
      <c r="M168" s="148">
        <v>0</v>
      </c>
      <c r="N168" s="148">
        <v>0</v>
      </c>
      <c r="O168" s="64">
        <v>0</v>
      </c>
      <c r="P168" s="64">
        <v>0</v>
      </c>
      <c r="Q168" s="148">
        <v>0</v>
      </c>
      <c r="R168" s="148">
        <v>0</v>
      </c>
      <c r="S168" s="148">
        <v>0</v>
      </c>
      <c r="T168" s="148">
        <v>0</v>
      </c>
      <c r="U168" s="148">
        <v>0</v>
      </c>
      <c r="V168" s="148">
        <v>0</v>
      </c>
      <c r="W168" s="148">
        <v>0</v>
      </c>
      <c r="X168" s="148">
        <v>0</v>
      </c>
      <c r="Y168" s="148">
        <v>0</v>
      </c>
      <c r="Z168" s="148">
        <v>0</v>
      </c>
      <c r="AA168" s="148">
        <v>0</v>
      </c>
      <c r="AB168" s="148">
        <v>0</v>
      </c>
      <c r="AC168" s="148">
        <v>0</v>
      </c>
      <c r="AD168" s="148">
        <v>0</v>
      </c>
      <c r="AE168" s="148">
        <v>0</v>
      </c>
      <c r="AF168" s="45"/>
      <c r="AG168" s="45"/>
      <c r="AH168" s="688"/>
      <c r="AI168" s="688"/>
      <c r="AJ168" s="688"/>
      <c r="AK168" s="45"/>
      <c r="AL168" s="148"/>
      <c r="AM168" s="148"/>
      <c r="AN168" s="148"/>
      <c r="AO168" s="45"/>
      <c r="AP168" s="45"/>
      <c r="AQ168" s="349"/>
      <c r="AR168" s="578">
        <f t="shared" si="25"/>
        <v>0</v>
      </c>
    </row>
    <row r="169" spans="1:44" ht="16.5" customHeight="1" thickBot="1" x14ac:dyDescent="0.4">
      <c r="A169" s="832"/>
      <c r="B169" s="825"/>
      <c r="C169" s="579" t="s">
        <v>408</v>
      </c>
      <c r="D169" s="45">
        <v>200</v>
      </c>
      <c r="E169" s="148">
        <v>200</v>
      </c>
      <c r="F169" s="148">
        <f t="shared" si="30"/>
        <v>0</v>
      </c>
      <c r="G169" s="45">
        <v>0</v>
      </c>
      <c r="H169" s="162">
        <f t="shared" si="24"/>
        <v>0</v>
      </c>
      <c r="I169" s="162">
        <f t="shared" si="31"/>
        <v>200</v>
      </c>
      <c r="J169" s="162">
        <f t="shared" si="32"/>
        <v>0</v>
      </c>
      <c r="K169" s="660"/>
      <c r="L169" s="45"/>
      <c r="M169" s="148">
        <v>0</v>
      </c>
      <c r="N169" s="148">
        <v>0</v>
      </c>
      <c r="O169" s="64">
        <v>0</v>
      </c>
      <c r="P169" s="64">
        <v>0</v>
      </c>
      <c r="Q169" s="148">
        <v>0</v>
      </c>
      <c r="R169" s="148">
        <v>0</v>
      </c>
      <c r="S169" s="148">
        <v>0</v>
      </c>
      <c r="T169" s="148">
        <v>0</v>
      </c>
      <c r="U169" s="148">
        <v>0</v>
      </c>
      <c r="V169" s="148">
        <v>0</v>
      </c>
      <c r="W169" s="148">
        <v>0</v>
      </c>
      <c r="X169" s="148">
        <v>0</v>
      </c>
      <c r="Y169" s="148">
        <v>0</v>
      </c>
      <c r="Z169" s="148">
        <v>0</v>
      </c>
      <c r="AA169" s="148">
        <v>0</v>
      </c>
      <c r="AB169" s="148">
        <v>0</v>
      </c>
      <c r="AC169" s="148">
        <v>0</v>
      </c>
      <c r="AD169" s="148">
        <v>0</v>
      </c>
      <c r="AE169" s="148">
        <v>0</v>
      </c>
      <c r="AF169" s="45"/>
      <c r="AG169" s="45"/>
      <c r="AH169" s="688"/>
      <c r="AI169" s="688"/>
      <c r="AJ169" s="688"/>
      <c r="AK169" s="45"/>
      <c r="AL169" s="148"/>
      <c r="AM169" s="148"/>
      <c r="AN169" s="148"/>
      <c r="AO169" s="45"/>
      <c r="AP169" s="45"/>
      <c r="AQ169" s="349"/>
      <c r="AR169" s="578">
        <f t="shared" si="25"/>
        <v>0</v>
      </c>
    </row>
    <row r="170" spans="1:44" ht="16.5" customHeight="1" thickBot="1" x14ac:dyDescent="0.4">
      <c r="A170" s="832"/>
      <c r="B170" s="825"/>
      <c r="C170" s="579" t="s">
        <v>409</v>
      </c>
      <c r="D170" s="45">
        <v>45</v>
      </c>
      <c r="E170" s="148">
        <v>45</v>
      </c>
      <c r="F170" s="148">
        <f t="shared" si="30"/>
        <v>0</v>
      </c>
      <c r="G170" s="45">
        <v>0</v>
      </c>
      <c r="H170" s="162">
        <f t="shared" si="24"/>
        <v>0</v>
      </c>
      <c r="I170" s="162">
        <f t="shared" si="31"/>
        <v>45</v>
      </c>
      <c r="J170" s="162">
        <f t="shared" si="32"/>
        <v>0</v>
      </c>
      <c r="K170" s="660"/>
      <c r="L170" s="45"/>
      <c r="M170" s="148">
        <v>0</v>
      </c>
      <c r="N170" s="148">
        <v>0</v>
      </c>
      <c r="O170" s="64">
        <v>0</v>
      </c>
      <c r="P170" s="64">
        <v>0</v>
      </c>
      <c r="Q170" s="148">
        <v>0</v>
      </c>
      <c r="R170" s="148">
        <v>0</v>
      </c>
      <c r="S170" s="148">
        <v>0</v>
      </c>
      <c r="T170" s="148">
        <v>0</v>
      </c>
      <c r="U170" s="148">
        <v>0</v>
      </c>
      <c r="V170" s="148">
        <v>0</v>
      </c>
      <c r="W170" s="148">
        <v>0</v>
      </c>
      <c r="X170" s="148">
        <v>0</v>
      </c>
      <c r="Y170" s="148">
        <v>0</v>
      </c>
      <c r="Z170" s="148">
        <v>0</v>
      </c>
      <c r="AA170" s="148">
        <v>0</v>
      </c>
      <c r="AB170" s="148">
        <v>0</v>
      </c>
      <c r="AC170" s="148">
        <v>0</v>
      </c>
      <c r="AD170" s="148">
        <v>0</v>
      </c>
      <c r="AE170" s="148">
        <v>0</v>
      </c>
      <c r="AF170" s="45"/>
      <c r="AG170" s="45"/>
      <c r="AH170" s="688"/>
      <c r="AI170" s="688"/>
      <c r="AJ170" s="688"/>
      <c r="AK170" s="45"/>
      <c r="AL170" s="148"/>
      <c r="AM170" s="148"/>
      <c r="AN170" s="148"/>
      <c r="AO170" s="45"/>
      <c r="AP170" s="45"/>
      <c r="AQ170" s="349"/>
      <c r="AR170" s="578">
        <f t="shared" si="25"/>
        <v>0</v>
      </c>
    </row>
    <row r="171" spans="1:44" ht="16.5" customHeight="1" thickBot="1" x14ac:dyDescent="0.4">
      <c r="A171" s="832"/>
      <c r="B171" s="825"/>
      <c r="C171" s="579" t="s">
        <v>410</v>
      </c>
      <c r="D171" s="45">
        <v>750</v>
      </c>
      <c r="E171" s="148">
        <v>0</v>
      </c>
      <c r="F171" s="148">
        <f t="shared" si="30"/>
        <v>750</v>
      </c>
      <c r="G171" s="45">
        <v>0</v>
      </c>
      <c r="H171" s="162">
        <f t="shared" si="24"/>
        <v>0</v>
      </c>
      <c r="I171" s="162">
        <f t="shared" si="31"/>
        <v>750</v>
      </c>
      <c r="J171" s="162">
        <f t="shared" si="32"/>
        <v>0</v>
      </c>
      <c r="K171" s="660"/>
      <c r="L171" s="45"/>
      <c r="M171" s="148">
        <v>0</v>
      </c>
      <c r="N171" s="148">
        <v>0</v>
      </c>
      <c r="O171" s="64">
        <v>0</v>
      </c>
      <c r="P171" s="64">
        <v>0</v>
      </c>
      <c r="Q171" s="148">
        <v>0</v>
      </c>
      <c r="R171" s="148">
        <v>0</v>
      </c>
      <c r="S171" s="148">
        <v>0</v>
      </c>
      <c r="T171" s="148">
        <v>0</v>
      </c>
      <c r="U171" s="148">
        <v>0</v>
      </c>
      <c r="V171" s="148">
        <v>0</v>
      </c>
      <c r="W171" s="148">
        <v>0</v>
      </c>
      <c r="X171" s="148">
        <v>0</v>
      </c>
      <c r="Y171" s="148">
        <v>0</v>
      </c>
      <c r="Z171" s="148">
        <v>0</v>
      </c>
      <c r="AA171" s="148">
        <v>0</v>
      </c>
      <c r="AB171" s="148">
        <v>0</v>
      </c>
      <c r="AC171" s="148">
        <v>0</v>
      </c>
      <c r="AD171" s="148">
        <v>0</v>
      </c>
      <c r="AE171" s="148">
        <v>0</v>
      </c>
      <c r="AF171" s="45"/>
      <c r="AG171" s="45"/>
      <c r="AH171" s="688"/>
      <c r="AI171" s="688"/>
      <c r="AJ171" s="688"/>
      <c r="AK171" s="45"/>
      <c r="AL171" s="148"/>
      <c r="AM171" s="148"/>
      <c r="AN171" s="148"/>
      <c r="AO171" s="45"/>
      <c r="AP171" s="45"/>
      <c r="AQ171" s="349"/>
      <c r="AR171" s="578">
        <f t="shared" si="25"/>
        <v>0</v>
      </c>
    </row>
    <row r="172" spans="1:44" ht="16.5" customHeight="1" thickBot="1" x14ac:dyDescent="0.4">
      <c r="A172" s="832"/>
      <c r="B172" s="825"/>
      <c r="C172" s="579" t="s">
        <v>407</v>
      </c>
      <c r="D172" s="45">
        <v>600</v>
      </c>
      <c r="E172" s="148">
        <v>0</v>
      </c>
      <c r="F172" s="148">
        <f t="shared" si="30"/>
        <v>600</v>
      </c>
      <c r="G172" s="45">
        <v>0</v>
      </c>
      <c r="H172" s="162">
        <f t="shared" si="24"/>
        <v>0</v>
      </c>
      <c r="I172" s="162">
        <f t="shared" si="31"/>
        <v>600</v>
      </c>
      <c r="J172" s="162">
        <f t="shared" si="32"/>
        <v>0</v>
      </c>
      <c r="K172" s="660"/>
      <c r="L172" s="45"/>
      <c r="M172" s="148">
        <v>0</v>
      </c>
      <c r="N172" s="148">
        <v>0</v>
      </c>
      <c r="O172" s="64">
        <v>0</v>
      </c>
      <c r="P172" s="64">
        <v>0</v>
      </c>
      <c r="Q172" s="148">
        <v>0</v>
      </c>
      <c r="R172" s="148">
        <v>0</v>
      </c>
      <c r="S172" s="148">
        <v>0</v>
      </c>
      <c r="T172" s="148">
        <v>0</v>
      </c>
      <c r="U172" s="148">
        <v>0</v>
      </c>
      <c r="V172" s="148">
        <v>0</v>
      </c>
      <c r="W172" s="148">
        <v>0</v>
      </c>
      <c r="X172" s="148">
        <v>0</v>
      </c>
      <c r="Y172" s="148">
        <v>0</v>
      </c>
      <c r="Z172" s="148">
        <v>0</v>
      </c>
      <c r="AA172" s="148">
        <v>0</v>
      </c>
      <c r="AB172" s="148">
        <v>0</v>
      </c>
      <c r="AC172" s="148">
        <v>0</v>
      </c>
      <c r="AD172" s="148">
        <v>0</v>
      </c>
      <c r="AE172" s="148">
        <v>0</v>
      </c>
      <c r="AF172" s="45"/>
      <c r="AG172" s="45"/>
      <c r="AH172" s="688"/>
      <c r="AI172" s="688"/>
      <c r="AJ172" s="688"/>
      <c r="AK172" s="45"/>
      <c r="AL172" s="148"/>
      <c r="AM172" s="148"/>
      <c r="AN172" s="148"/>
      <c r="AO172" s="45"/>
      <c r="AP172" s="45"/>
      <c r="AQ172" s="349"/>
      <c r="AR172" s="578">
        <f t="shared" si="25"/>
        <v>0</v>
      </c>
    </row>
    <row r="173" spans="1:44" ht="16.5" customHeight="1" thickBot="1" x14ac:dyDescent="0.4">
      <c r="A173" s="833"/>
      <c r="B173" s="826"/>
      <c r="C173" s="579" t="s">
        <v>411</v>
      </c>
      <c r="D173" s="45">
        <v>100</v>
      </c>
      <c r="E173" s="148">
        <v>0</v>
      </c>
      <c r="F173" s="148">
        <f t="shared" si="30"/>
        <v>100</v>
      </c>
      <c r="G173" s="45">
        <v>0</v>
      </c>
      <c r="H173" s="162">
        <f t="shared" ref="H173" si="38">G173+AR173</f>
        <v>0</v>
      </c>
      <c r="I173" s="162">
        <f t="shared" ref="I173" si="39">D173-H173</f>
        <v>100</v>
      </c>
      <c r="J173" s="162">
        <f t="shared" ref="J173" si="40">H173/D173%</f>
        <v>0</v>
      </c>
      <c r="K173" s="660"/>
      <c r="L173" s="45"/>
      <c r="M173" s="148">
        <v>0</v>
      </c>
      <c r="N173" s="148">
        <v>0</v>
      </c>
      <c r="O173" s="64">
        <v>0</v>
      </c>
      <c r="P173" s="64">
        <v>0</v>
      </c>
      <c r="Q173" s="148">
        <v>0</v>
      </c>
      <c r="R173" s="148">
        <v>0</v>
      </c>
      <c r="S173" s="148">
        <v>0</v>
      </c>
      <c r="T173" s="148">
        <v>0</v>
      </c>
      <c r="U173" s="148">
        <v>0</v>
      </c>
      <c r="V173" s="148">
        <v>0</v>
      </c>
      <c r="W173" s="148">
        <v>0</v>
      </c>
      <c r="X173" s="148">
        <v>0</v>
      </c>
      <c r="Y173" s="148">
        <v>0</v>
      </c>
      <c r="Z173" s="148">
        <v>0</v>
      </c>
      <c r="AA173" s="148">
        <v>0</v>
      </c>
      <c r="AB173" s="148">
        <v>0</v>
      </c>
      <c r="AC173" s="148">
        <v>0</v>
      </c>
      <c r="AD173" s="148">
        <v>0</v>
      </c>
      <c r="AE173" s="148">
        <v>0</v>
      </c>
      <c r="AF173" s="45"/>
      <c r="AG173" s="45"/>
      <c r="AH173" s="688"/>
      <c r="AI173" s="688"/>
      <c r="AJ173" s="688"/>
      <c r="AK173" s="45"/>
      <c r="AL173" s="148"/>
      <c r="AM173" s="148"/>
      <c r="AN173" s="148"/>
      <c r="AO173" s="45"/>
      <c r="AP173" s="45"/>
      <c r="AQ173" s="349"/>
      <c r="AR173" s="578">
        <f t="shared" si="25"/>
        <v>0</v>
      </c>
    </row>
    <row r="174" spans="1:44" ht="16.5" customHeight="1" thickBot="1" x14ac:dyDescent="0.4">
      <c r="A174" s="143">
        <v>15</v>
      </c>
      <c r="B174" s="44" t="s">
        <v>321</v>
      </c>
      <c r="C174" s="579" t="s">
        <v>321</v>
      </c>
      <c r="D174" s="45">
        <v>545</v>
      </c>
      <c r="E174" s="45">
        <v>545</v>
      </c>
      <c r="F174" s="45">
        <f t="shared" si="30"/>
        <v>0</v>
      </c>
      <c r="G174" s="45">
        <v>504</v>
      </c>
      <c r="H174" s="162">
        <f t="shared" si="24"/>
        <v>512</v>
      </c>
      <c r="I174" s="162">
        <f t="shared" si="31"/>
        <v>33</v>
      </c>
      <c r="J174" s="162">
        <f t="shared" si="32"/>
        <v>93.944954128440358</v>
      </c>
      <c r="K174" s="660"/>
      <c r="L174" s="555">
        <v>13</v>
      </c>
      <c r="M174" s="148">
        <v>0</v>
      </c>
      <c r="N174" s="148">
        <v>0</v>
      </c>
      <c r="O174" s="64">
        <v>0</v>
      </c>
      <c r="P174" s="64">
        <v>0</v>
      </c>
      <c r="Q174" s="148">
        <v>0</v>
      </c>
      <c r="R174" s="148">
        <v>0</v>
      </c>
      <c r="S174" s="148">
        <v>0</v>
      </c>
      <c r="T174" s="148">
        <v>5</v>
      </c>
      <c r="U174" s="148">
        <v>0</v>
      </c>
      <c r="V174" s="148">
        <v>3</v>
      </c>
      <c r="W174" s="148">
        <v>0</v>
      </c>
      <c r="X174" s="148">
        <v>0</v>
      </c>
      <c r="Y174" s="148">
        <v>0</v>
      </c>
      <c r="Z174" s="148">
        <v>0</v>
      </c>
      <c r="AA174" s="148">
        <v>0</v>
      </c>
      <c r="AB174" s="148">
        <v>0</v>
      </c>
      <c r="AC174" s="148">
        <v>0</v>
      </c>
      <c r="AD174" s="148">
        <v>0</v>
      </c>
      <c r="AE174" s="148">
        <v>0</v>
      </c>
      <c r="AF174" s="45"/>
      <c r="AG174" s="45"/>
      <c r="AH174" s="688"/>
      <c r="AI174" s="688"/>
      <c r="AJ174" s="688"/>
      <c r="AK174" s="45"/>
      <c r="AL174" s="148"/>
      <c r="AM174" s="148"/>
      <c r="AN174" s="148"/>
      <c r="AO174" s="45"/>
      <c r="AP174" s="45"/>
      <c r="AQ174" s="349"/>
      <c r="AR174" s="578">
        <f t="shared" si="25"/>
        <v>8</v>
      </c>
    </row>
    <row r="175" spans="1:44" ht="16.5" customHeight="1" thickBot="1" x14ac:dyDescent="0.4">
      <c r="A175" s="143">
        <v>16</v>
      </c>
      <c r="B175" s="44" t="s">
        <v>412</v>
      </c>
      <c r="C175" s="579" t="s">
        <v>413</v>
      </c>
      <c r="D175" s="45">
        <v>49</v>
      </c>
      <c r="E175" s="45">
        <v>49</v>
      </c>
      <c r="F175" s="45">
        <f t="shared" si="30"/>
        <v>0</v>
      </c>
      <c r="G175" s="45">
        <v>42</v>
      </c>
      <c r="H175" s="162">
        <f t="shared" si="24"/>
        <v>42</v>
      </c>
      <c r="I175" s="162">
        <f>D175-H175</f>
        <v>7</v>
      </c>
      <c r="J175" s="162">
        <f>H175/D175%</f>
        <v>85.714285714285722</v>
      </c>
      <c r="K175" s="660"/>
      <c r="L175" s="45"/>
      <c r="M175" s="148">
        <v>0</v>
      </c>
      <c r="N175" s="148">
        <v>0</v>
      </c>
      <c r="O175" s="64">
        <v>0</v>
      </c>
      <c r="P175" s="64">
        <v>0</v>
      </c>
      <c r="Q175" s="148">
        <v>0</v>
      </c>
      <c r="R175" s="148">
        <v>0</v>
      </c>
      <c r="S175" s="148">
        <v>0</v>
      </c>
      <c r="T175" s="148">
        <v>0</v>
      </c>
      <c r="U175" s="148">
        <v>0</v>
      </c>
      <c r="V175" s="148">
        <v>0</v>
      </c>
      <c r="W175" s="148">
        <v>0</v>
      </c>
      <c r="X175" s="148">
        <v>0</v>
      </c>
      <c r="Y175" s="148">
        <v>0</v>
      </c>
      <c r="Z175" s="148">
        <v>0</v>
      </c>
      <c r="AA175" s="148">
        <v>0</v>
      </c>
      <c r="AB175" s="148">
        <v>0</v>
      </c>
      <c r="AC175" s="148">
        <v>0</v>
      </c>
      <c r="AD175" s="148">
        <v>0</v>
      </c>
      <c r="AE175" s="148">
        <v>0</v>
      </c>
      <c r="AF175" s="45"/>
      <c r="AG175" s="45"/>
      <c r="AH175" s="688"/>
      <c r="AI175" s="688"/>
      <c r="AJ175" s="688"/>
      <c r="AK175" s="45"/>
      <c r="AL175" s="148"/>
      <c r="AM175" s="148"/>
      <c r="AN175" s="148"/>
      <c r="AO175" s="45"/>
      <c r="AP175" s="45"/>
      <c r="AQ175" s="349"/>
      <c r="AR175" s="578">
        <f t="shared" si="25"/>
        <v>0</v>
      </c>
    </row>
    <row r="176" spans="1:44" ht="16.5" customHeight="1" thickBot="1" x14ac:dyDescent="0.4">
      <c r="A176" s="143">
        <v>17</v>
      </c>
      <c r="B176" s="44" t="s">
        <v>414</v>
      </c>
      <c r="C176" s="579" t="s">
        <v>415</v>
      </c>
      <c r="D176" s="45">
        <v>135</v>
      </c>
      <c r="E176" s="45">
        <v>135</v>
      </c>
      <c r="F176" s="45">
        <f t="shared" si="30"/>
        <v>0</v>
      </c>
      <c r="G176" s="45">
        <v>0</v>
      </c>
      <c r="H176" s="162">
        <f t="shared" si="24"/>
        <v>0</v>
      </c>
      <c r="I176" s="162">
        <f>D176-H176</f>
        <v>135</v>
      </c>
      <c r="J176" s="162">
        <f>H176/D176%</f>
        <v>0</v>
      </c>
      <c r="K176" s="660"/>
      <c r="L176" s="45"/>
      <c r="M176" s="148">
        <v>0</v>
      </c>
      <c r="N176" s="148">
        <v>0</v>
      </c>
      <c r="O176" s="64">
        <v>0</v>
      </c>
      <c r="P176" s="64">
        <v>0</v>
      </c>
      <c r="Q176" s="148">
        <v>0</v>
      </c>
      <c r="R176" s="148">
        <v>0</v>
      </c>
      <c r="S176" s="148">
        <v>0</v>
      </c>
      <c r="T176" s="148">
        <v>0</v>
      </c>
      <c r="U176" s="148">
        <v>0</v>
      </c>
      <c r="V176" s="148">
        <v>0</v>
      </c>
      <c r="W176" s="148">
        <v>0</v>
      </c>
      <c r="X176" s="148">
        <v>0</v>
      </c>
      <c r="Y176" s="148">
        <v>0</v>
      </c>
      <c r="Z176" s="148">
        <v>0</v>
      </c>
      <c r="AA176" s="148">
        <v>0</v>
      </c>
      <c r="AB176" s="148">
        <v>0</v>
      </c>
      <c r="AC176" s="148">
        <v>0</v>
      </c>
      <c r="AD176" s="148">
        <v>0</v>
      </c>
      <c r="AE176" s="148">
        <v>0</v>
      </c>
      <c r="AF176" s="45"/>
      <c r="AG176" s="45"/>
      <c r="AH176" s="688"/>
      <c r="AI176" s="688"/>
      <c r="AJ176" s="688"/>
      <c r="AK176" s="45"/>
      <c r="AL176" s="148"/>
      <c r="AM176" s="148"/>
      <c r="AN176" s="148"/>
      <c r="AO176" s="45"/>
      <c r="AP176" s="45"/>
      <c r="AQ176" s="45"/>
      <c r="AR176" s="578">
        <f t="shared" si="25"/>
        <v>0</v>
      </c>
    </row>
    <row r="177" spans="1:44" ht="16.5" customHeight="1" thickBot="1" x14ac:dyDescent="0.4">
      <c r="A177" s="680">
        <v>18</v>
      </c>
      <c r="B177" s="728" t="s">
        <v>416</v>
      </c>
      <c r="C177" s="681" t="s">
        <v>417</v>
      </c>
      <c r="D177" s="682">
        <v>200</v>
      </c>
      <c r="E177" s="682">
        <v>200</v>
      </c>
      <c r="F177" s="682">
        <f t="shared" si="30"/>
        <v>0</v>
      </c>
      <c r="G177" s="682">
        <v>38</v>
      </c>
      <c r="H177" s="683">
        <f>G177+AR177</f>
        <v>148</v>
      </c>
      <c r="I177" s="683">
        <f t="shared" si="31"/>
        <v>52</v>
      </c>
      <c r="J177" s="683">
        <f t="shared" ref="J177:J180" si="41">H177/D177%</f>
        <v>74</v>
      </c>
      <c r="K177" s="668"/>
      <c r="L177" s="555">
        <v>71</v>
      </c>
      <c r="M177" s="148">
        <v>0</v>
      </c>
      <c r="N177" s="148">
        <v>0</v>
      </c>
      <c r="O177" s="64">
        <v>0</v>
      </c>
      <c r="P177" s="64">
        <v>0</v>
      </c>
      <c r="Q177" s="682">
        <v>110</v>
      </c>
      <c r="R177" s="148">
        <v>0</v>
      </c>
      <c r="S177" s="148">
        <v>0</v>
      </c>
      <c r="T177" s="45">
        <v>0</v>
      </c>
      <c r="U177" s="148">
        <v>0</v>
      </c>
      <c r="V177" s="45">
        <v>0</v>
      </c>
      <c r="W177" s="148">
        <v>0</v>
      </c>
      <c r="X177" s="148">
        <v>0</v>
      </c>
      <c r="Y177" s="148">
        <v>0</v>
      </c>
      <c r="Z177" s="148">
        <v>0</v>
      </c>
      <c r="AA177" s="45">
        <v>0</v>
      </c>
      <c r="AB177" s="148">
        <v>0</v>
      </c>
      <c r="AC177" s="148">
        <v>0</v>
      </c>
      <c r="AD177" s="148">
        <v>0</v>
      </c>
      <c r="AE177" s="148">
        <v>0</v>
      </c>
      <c r="AF177" s="45"/>
      <c r="AG177" s="45"/>
      <c r="AH177" s="45"/>
      <c r="AI177" s="688"/>
      <c r="AJ177" s="688"/>
      <c r="AK177" s="45"/>
      <c r="AL177" s="148"/>
      <c r="AM177" s="148"/>
      <c r="AN177" s="148"/>
      <c r="AO177" s="45"/>
      <c r="AP177" s="682"/>
      <c r="AQ177" s="682"/>
      <c r="AR177" s="578">
        <f t="shared" si="25"/>
        <v>110</v>
      </c>
    </row>
    <row r="178" spans="1:44" ht="16.5" customHeight="1" thickBot="1" x14ac:dyDescent="0.4">
      <c r="A178" s="705"/>
      <c r="B178" s="729" t="s">
        <v>113</v>
      </c>
      <c r="C178" s="706"/>
      <c r="D178" s="699">
        <f t="shared" ref="D178:H178" si="42">SUM(D73:D177)</f>
        <v>93193</v>
      </c>
      <c r="E178" s="699">
        <f t="shared" si="42"/>
        <v>86480</v>
      </c>
      <c r="F178" s="699">
        <f t="shared" si="42"/>
        <v>6713</v>
      </c>
      <c r="G178" s="665">
        <v>61029.91</v>
      </c>
      <c r="H178" s="699">
        <f t="shared" si="42"/>
        <v>62639.91</v>
      </c>
      <c r="I178" s="699">
        <f>D178-H178</f>
        <v>30553.089999999997</v>
      </c>
      <c r="J178" s="699">
        <f>H178/D178%</f>
        <v>67.21525221851428</v>
      </c>
      <c r="K178" s="665">
        <f t="shared" ref="K178:AR178" si="43">SUM(K73:K177)</f>
        <v>0</v>
      </c>
      <c r="L178" s="721">
        <f t="shared" si="43"/>
        <v>3630</v>
      </c>
      <c r="M178" s="699">
        <f t="shared" si="43"/>
        <v>90</v>
      </c>
      <c r="N178" s="699">
        <f t="shared" si="43"/>
        <v>136</v>
      </c>
      <c r="O178" s="699">
        <f t="shared" si="43"/>
        <v>90</v>
      </c>
      <c r="P178" s="699">
        <f t="shared" si="43"/>
        <v>37</v>
      </c>
      <c r="Q178" s="699">
        <f t="shared" si="43"/>
        <v>114</v>
      </c>
      <c r="R178" s="699">
        <f t="shared" si="43"/>
        <v>37</v>
      </c>
      <c r="S178" s="699">
        <f t="shared" si="43"/>
        <v>205</v>
      </c>
      <c r="T178" s="699">
        <f t="shared" si="43"/>
        <v>100</v>
      </c>
      <c r="U178" s="699">
        <f t="shared" si="43"/>
        <v>34</v>
      </c>
      <c r="V178" s="699">
        <f t="shared" si="43"/>
        <v>78</v>
      </c>
      <c r="W178" s="699">
        <f t="shared" si="43"/>
        <v>3</v>
      </c>
      <c r="X178" s="699">
        <f t="shared" si="43"/>
        <v>61</v>
      </c>
      <c r="Y178" s="699">
        <f t="shared" si="43"/>
        <v>86</v>
      </c>
      <c r="Z178" s="699">
        <f t="shared" si="43"/>
        <v>113</v>
      </c>
      <c r="AA178" s="699">
        <f t="shared" si="43"/>
        <v>132</v>
      </c>
      <c r="AB178" s="699">
        <f t="shared" si="43"/>
        <v>166</v>
      </c>
      <c r="AC178" s="699">
        <f t="shared" si="43"/>
        <v>0</v>
      </c>
      <c r="AD178" s="699">
        <f t="shared" si="43"/>
        <v>42</v>
      </c>
      <c r="AE178" s="699">
        <f t="shared" si="43"/>
        <v>90</v>
      </c>
      <c r="AF178" s="699">
        <f t="shared" si="43"/>
        <v>0</v>
      </c>
      <c r="AG178" s="699">
        <f t="shared" si="43"/>
        <v>0</v>
      </c>
      <c r="AH178" s="699">
        <f t="shared" si="43"/>
        <v>0</v>
      </c>
      <c r="AI178" s="699">
        <f t="shared" si="43"/>
        <v>0</v>
      </c>
      <c r="AJ178" s="699">
        <f t="shared" si="43"/>
        <v>0</v>
      </c>
      <c r="AK178" s="699">
        <f t="shared" si="43"/>
        <v>0</v>
      </c>
      <c r="AL178" s="699">
        <f t="shared" si="43"/>
        <v>0</v>
      </c>
      <c r="AM178" s="699">
        <f t="shared" si="43"/>
        <v>0</v>
      </c>
      <c r="AN178" s="699">
        <f t="shared" si="43"/>
        <v>0</v>
      </c>
      <c r="AO178" s="699">
        <f t="shared" si="43"/>
        <v>0</v>
      </c>
      <c r="AP178" s="699">
        <f t="shared" si="43"/>
        <v>0</v>
      </c>
      <c r="AQ178" s="699">
        <f t="shared" si="43"/>
        <v>0</v>
      </c>
      <c r="AR178" s="669">
        <f t="shared" si="43"/>
        <v>1614</v>
      </c>
    </row>
    <row r="179" spans="1:44" ht="16.5" customHeight="1" x14ac:dyDescent="0.35">
      <c r="A179" s="847">
        <v>19</v>
      </c>
      <c r="B179" s="824" t="s">
        <v>116</v>
      </c>
      <c r="C179" s="579" t="s">
        <v>418</v>
      </c>
      <c r="D179" s="45">
        <v>1855</v>
      </c>
      <c r="E179" s="45">
        <v>1855</v>
      </c>
      <c r="F179" s="45">
        <f t="shared" si="30"/>
        <v>0</v>
      </c>
      <c r="G179" s="657">
        <v>52</v>
      </c>
      <c r="H179" s="110">
        <f t="shared" ref="H179:H180" si="44">G179+AR179</f>
        <v>120</v>
      </c>
      <c r="I179" s="110">
        <f t="shared" si="31"/>
        <v>1735</v>
      </c>
      <c r="J179" s="110">
        <f t="shared" si="41"/>
        <v>6.4690026954177897</v>
      </c>
      <c r="K179" s="670"/>
      <c r="L179" s="45">
        <v>490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45">
        <v>9</v>
      </c>
      <c r="S179" s="45">
        <v>0</v>
      </c>
      <c r="T179" s="45">
        <v>0</v>
      </c>
      <c r="U179" s="45">
        <v>9</v>
      </c>
      <c r="V179" s="45">
        <v>3</v>
      </c>
      <c r="W179" s="45">
        <v>0</v>
      </c>
      <c r="X179" s="45">
        <v>0</v>
      </c>
      <c r="Y179" s="45">
        <v>18</v>
      </c>
      <c r="Z179" s="45">
        <v>2</v>
      </c>
      <c r="AA179" s="45">
        <v>7</v>
      </c>
      <c r="AB179" s="45">
        <v>0</v>
      </c>
      <c r="AC179" s="45">
        <v>0</v>
      </c>
      <c r="AD179" s="45">
        <v>0</v>
      </c>
      <c r="AE179" s="45">
        <v>20</v>
      </c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348">
        <f t="shared" ref="AR179:AR189" si="45">SUM(M179:AQ179)</f>
        <v>68</v>
      </c>
    </row>
    <row r="180" spans="1:44" ht="16.5" customHeight="1" thickBot="1" x14ac:dyDescent="0.4">
      <c r="A180" s="848"/>
      <c r="B180" s="825"/>
      <c r="C180" s="579" t="s">
        <v>419</v>
      </c>
      <c r="D180" s="45">
        <v>165</v>
      </c>
      <c r="E180" s="45">
        <v>165</v>
      </c>
      <c r="F180" s="45">
        <f t="shared" si="30"/>
        <v>0</v>
      </c>
      <c r="G180" s="48">
        <v>24</v>
      </c>
      <c r="H180" s="110">
        <f t="shared" si="44"/>
        <v>24</v>
      </c>
      <c r="I180" s="110">
        <f t="shared" si="31"/>
        <v>141</v>
      </c>
      <c r="J180" s="110">
        <f t="shared" si="41"/>
        <v>14.545454545454547</v>
      </c>
      <c r="K180" s="660"/>
      <c r="L180" s="45">
        <v>40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45">
        <v>0</v>
      </c>
      <c r="S180" s="45">
        <v>0</v>
      </c>
      <c r="T180" s="45">
        <v>0</v>
      </c>
      <c r="U180" s="45">
        <v>0</v>
      </c>
      <c r="V180" s="45">
        <v>0</v>
      </c>
      <c r="W180" s="45">
        <v>0</v>
      </c>
      <c r="X180" s="45">
        <v>0</v>
      </c>
      <c r="Y180" s="45">
        <v>0</v>
      </c>
      <c r="Z180" s="45">
        <v>0</v>
      </c>
      <c r="AA180" s="45">
        <v>0</v>
      </c>
      <c r="AB180" s="45">
        <v>0</v>
      </c>
      <c r="AC180" s="45">
        <v>0</v>
      </c>
      <c r="AD180" s="45">
        <v>0</v>
      </c>
      <c r="AE180" s="45">
        <v>0</v>
      </c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671">
        <f t="shared" si="45"/>
        <v>0</v>
      </c>
    </row>
    <row r="181" spans="1:44" ht="16.5" customHeight="1" x14ac:dyDescent="0.35">
      <c r="A181" s="848"/>
      <c r="B181" s="825"/>
      <c r="C181" s="579" t="s">
        <v>306</v>
      </c>
      <c r="D181" s="45">
        <v>410</v>
      </c>
      <c r="E181" s="45">
        <v>410</v>
      </c>
      <c r="F181" s="45">
        <f t="shared" si="30"/>
        <v>0</v>
      </c>
      <c r="G181" s="657">
        <v>5</v>
      </c>
      <c r="H181" s="110">
        <f t="shared" ref="H181:H184" si="46">G181+AR181</f>
        <v>5</v>
      </c>
      <c r="I181" s="110">
        <f t="shared" ref="I181:I184" si="47">D181-H181</f>
        <v>405</v>
      </c>
      <c r="J181" s="110">
        <f t="shared" ref="J181:J184" si="48">H181/D181%</f>
        <v>1.2195121951219514</v>
      </c>
      <c r="K181" s="660"/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0</v>
      </c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348">
        <f t="shared" si="45"/>
        <v>0</v>
      </c>
    </row>
    <row r="182" spans="1:44" ht="16.5" customHeight="1" x14ac:dyDescent="0.35">
      <c r="A182" s="848"/>
      <c r="B182" s="825"/>
      <c r="C182" s="579" t="s">
        <v>420</v>
      </c>
      <c r="D182" s="45">
        <v>75</v>
      </c>
      <c r="E182" s="45">
        <v>75</v>
      </c>
      <c r="F182" s="45">
        <f t="shared" si="30"/>
        <v>0</v>
      </c>
      <c r="G182" s="48">
        <v>0</v>
      </c>
      <c r="H182" s="110">
        <f t="shared" si="46"/>
        <v>0</v>
      </c>
      <c r="I182" s="110">
        <f t="shared" si="47"/>
        <v>75</v>
      </c>
      <c r="J182" s="110">
        <f t="shared" si="48"/>
        <v>0</v>
      </c>
      <c r="K182" s="660"/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C182" s="45">
        <v>0</v>
      </c>
      <c r="AD182" s="45">
        <v>0</v>
      </c>
      <c r="AE182" s="45">
        <v>0</v>
      </c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671">
        <f t="shared" si="45"/>
        <v>0</v>
      </c>
    </row>
    <row r="183" spans="1:44" ht="16.5" customHeight="1" thickBot="1" x14ac:dyDescent="0.4">
      <c r="A183" s="848"/>
      <c r="B183" s="825"/>
      <c r="C183" s="579" t="s">
        <v>421</v>
      </c>
      <c r="D183" s="45">
        <v>275</v>
      </c>
      <c r="E183" s="45">
        <v>275</v>
      </c>
      <c r="F183" s="45">
        <f t="shared" si="30"/>
        <v>0</v>
      </c>
      <c r="G183" s="334">
        <v>5</v>
      </c>
      <c r="H183" s="110">
        <f t="shared" ref="H183" si="49">G183+AR183</f>
        <v>25</v>
      </c>
      <c r="I183" s="110">
        <f t="shared" ref="I183" si="50">D183-H183</f>
        <v>250</v>
      </c>
      <c r="J183" s="110">
        <f t="shared" ref="J183" si="51">H183/D183%</f>
        <v>9.0909090909090917</v>
      </c>
      <c r="K183" s="660"/>
      <c r="L183" s="45">
        <v>25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45">
        <v>5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5</v>
      </c>
      <c r="Y183" s="45">
        <v>0</v>
      </c>
      <c r="Z183" s="45">
        <v>10</v>
      </c>
      <c r="AA183" s="45">
        <v>0</v>
      </c>
      <c r="AB183" s="45">
        <v>0</v>
      </c>
      <c r="AC183" s="45">
        <v>0</v>
      </c>
      <c r="AD183" s="45">
        <v>0</v>
      </c>
      <c r="AE183" s="45">
        <v>0</v>
      </c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671">
        <f t="shared" si="45"/>
        <v>20</v>
      </c>
    </row>
    <row r="184" spans="1:44" ht="16.5" customHeight="1" thickBot="1" x14ac:dyDescent="0.4">
      <c r="A184" s="849"/>
      <c r="B184" s="826"/>
      <c r="C184" s="579" t="s">
        <v>422</v>
      </c>
      <c r="D184" s="45">
        <v>25</v>
      </c>
      <c r="E184" s="45">
        <v>25</v>
      </c>
      <c r="F184" s="45">
        <f t="shared" si="30"/>
        <v>0</v>
      </c>
      <c r="G184" s="657">
        <v>0</v>
      </c>
      <c r="H184" s="110">
        <f t="shared" si="46"/>
        <v>0</v>
      </c>
      <c r="I184" s="110">
        <f t="shared" si="47"/>
        <v>25</v>
      </c>
      <c r="J184" s="110">
        <f t="shared" si="48"/>
        <v>0</v>
      </c>
      <c r="K184" s="660"/>
      <c r="L184" s="45">
        <v>0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C184" s="45">
        <v>0</v>
      </c>
      <c r="AD184" s="45">
        <v>0</v>
      </c>
      <c r="AE184" s="45">
        <v>0</v>
      </c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348">
        <f t="shared" si="45"/>
        <v>0</v>
      </c>
    </row>
    <row r="185" spans="1:44" ht="16" thickBot="1" x14ac:dyDescent="0.4">
      <c r="A185" s="707"/>
      <c r="B185" s="719" t="s">
        <v>116</v>
      </c>
      <c r="C185" s="708"/>
      <c r="D185" s="700">
        <f>SUM(D179:D184)</f>
        <v>2805</v>
      </c>
      <c r="E185" s="700">
        <f t="shared" ref="E185:H185" si="52">SUM(E179:E184)</f>
        <v>2805</v>
      </c>
      <c r="F185" s="700">
        <f t="shared" si="52"/>
        <v>0</v>
      </c>
      <c r="G185" s="700">
        <v>86</v>
      </c>
      <c r="H185" s="700">
        <f t="shared" si="52"/>
        <v>174</v>
      </c>
      <c r="I185" s="699">
        <f>D185-H185</f>
        <v>2631</v>
      </c>
      <c r="J185" s="699">
        <f>H185/D185%</f>
        <v>6.2032085561497325</v>
      </c>
      <c r="K185" s="664">
        <f>SUM(K179:K180)</f>
        <v>0</v>
      </c>
      <c r="L185" s="723">
        <f>SUM(L179:L184)</f>
        <v>555</v>
      </c>
      <c r="M185" s="700">
        <f>SUM(M179:M184)</f>
        <v>0</v>
      </c>
      <c r="N185" s="700">
        <f t="shared" ref="N185:AQ185" si="53">SUM(N179:N184)</f>
        <v>0</v>
      </c>
      <c r="O185" s="700">
        <f t="shared" si="53"/>
        <v>0</v>
      </c>
      <c r="P185" s="700">
        <f t="shared" si="53"/>
        <v>0</v>
      </c>
      <c r="Q185" s="700">
        <f t="shared" si="53"/>
        <v>0</v>
      </c>
      <c r="R185" s="700">
        <f t="shared" si="53"/>
        <v>14</v>
      </c>
      <c r="S185" s="700">
        <f t="shared" si="53"/>
        <v>0</v>
      </c>
      <c r="T185" s="700">
        <f t="shared" si="53"/>
        <v>0</v>
      </c>
      <c r="U185" s="700">
        <f t="shared" si="53"/>
        <v>9</v>
      </c>
      <c r="V185" s="700">
        <f t="shared" si="53"/>
        <v>3</v>
      </c>
      <c r="W185" s="700">
        <f t="shared" si="53"/>
        <v>0</v>
      </c>
      <c r="X185" s="700">
        <f t="shared" si="53"/>
        <v>5</v>
      </c>
      <c r="Y185" s="700">
        <f t="shared" si="53"/>
        <v>18</v>
      </c>
      <c r="Z185" s="700">
        <f t="shared" si="53"/>
        <v>12</v>
      </c>
      <c r="AA185" s="700">
        <f t="shared" si="53"/>
        <v>7</v>
      </c>
      <c r="AB185" s="700">
        <f t="shared" si="53"/>
        <v>0</v>
      </c>
      <c r="AC185" s="700">
        <f t="shared" si="53"/>
        <v>0</v>
      </c>
      <c r="AD185" s="700">
        <f t="shared" si="53"/>
        <v>0</v>
      </c>
      <c r="AE185" s="700">
        <f t="shared" si="53"/>
        <v>20</v>
      </c>
      <c r="AF185" s="700">
        <f t="shared" si="53"/>
        <v>0</v>
      </c>
      <c r="AG185" s="700">
        <f t="shared" si="53"/>
        <v>0</v>
      </c>
      <c r="AH185" s="700">
        <f t="shared" si="53"/>
        <v>0</v>
      </c>
      <c r="AI185" s="700">
        <f t="shared" si="53"/>
        <v>0</v>
      </c>
      <c r="AJ185" s="700">
        <f t="shared" si="53"/>
        <v>0</v>
      </c>
      <c r="AK185" s="700">
        <f t="shared" si="53"/>
        <v>0</v>
      </c>
      <c r="AL185" s="700">
        <f t="shared" si="53"/>
        <v>0</v>
      </c>
      <c r="AM185" s="700">
        <f t="shared" si="53"/>
        <v>0</v>
      </c>
      <c r="AN185" s="700">
        <f t="shared" si="53"/>
        <v>0</v>
      </c>
      <c r="AO185" s="700">
        <f t="shared" si="53"/>
        <v>0</v>
      </c>
      <c r="AP185" s="700">
        <f t="shared" si="53"/>
        <v>0</v>
      </c>
      <c r="AQ185" s="700">
        <f t="shared" si="53"/>
        <v>0</v>
      </c>
      <c r="AR185" s="666">
        <f>SUM(AR179:AR184)</f>
        <v>88</v>
      </c>
    </row>
    <row r="186" spans="1:44" ht="20.5" thickBot="1" x14ac:dyDescent="0.4">
      <c r="A186" s="850">
        <v>20</v>
      </c>
      <c r="B186" s="842" t="s">
        <v>423</v>
      </c>
      <c r="C186" s="710" t="s">
        <v>289</v>
      </c>
      <c r="D186" s="90">
        <v>800</v>
      </c>
      <c r="E186" s="90">
        <v>800</v>
      </c>
      <c r="F186" s="90">
        <f t="shared" si="30"/>
        <v>0</v>
      </c>
      <c r="G186" s="90">
        <v>52</v>
      </c>
      <c r="H186" s="89">
        <f t="shared" ref="H186:H189" si="54">G186+AR186</f>
        <v>144</v>
      </c>
      <c r="I186" s="89">
        <f t="shared" ref="I186:I189" si="55">D186-H186</f>
        <v>656</v>
      </c>
      <c r="J186" s="89">
        <f t="shared" ref="J186" si="56">H186/D186%</f>
        <v>18</v>
      </c>
      <c r="K186" s="711"/>
      <c r="L186" s="45">
        <v>80</v>
      </c>
      <c r="M186" s="90">
        <v>0</v>
      </c>
      <c r="N186" s="90">
        <v>0</v>
      </c>
      <c r="O186" s="90">
        <v>0</v>
      </c>
      <c r="P186" s="90">
        <v>0</v>
      </c>
      <c r="Q186" s="90">
        <v>0</v>
      </c>
      <c r="R186" s="90">
        <v>7</v>
      </c>
      <c r="S186" s="90">
        <v>0</v>
      </c>
      <c r="T186" s="90">
        <v>0</v>
      </c>
      <c r="U186" s="90">
        <v>0</v>
      </c>
      <c r="V186" s="90">
        <v>30</v>
      </c>
      <c r="W186" s="90">
        <v>0</v>
      </c>
      <c r="X186" s="90">
        <v>0</v>
      </c>
      <c r="Y186" s="90">
        <v>12</v>
      </c>
      <c r="Z186" s="90">
        <v>12</v>
      </c>
      <c r="AA186" s="90">
        <v>6</v>
      </c>
      <c r="AB186" s="45">
        <v>0</v>
      </c>
      <c r="AC186" s="90">
        <v>0</v>
      </c>
      <c r="AD186" s="90">
        <v>5</v>
      </c>
      <c r="AE186" s="90">
        <v>20</v>
      </c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712">
        <f t="shared" si="45"/>
        <v>92</v>
      </c>
    </row>
    <row r="187" spans="1:44" ht="20.5" thickBot="1" x14ac:dyDescent="0.4">
      <c r="A187" s="852"/>
      <c r="B187" s="851"/>
      <c r="C187" s="710" t="s">
        <v>424</v>
      </c>
      <c r="D187" s="90">
        <v>500</v>
      </c>
      <c r="E187" s="90">
        <v>500</v>
      </c>
      <c r="F187" s="90">
        <f t="shared" si="30"/>
        <v>0</v>
      </c>
      <c r="G187" s="90">
        <v>15</v>
      </c>
      <c r="H187" s="89">
        <f t="shared" ref="H187" si="57">G187+AR187</f>
        <v>21</v>
      </c>
      <c r="I187" s="89">
        <f t="shared" ref="I187" si="58">D187-H187</f>
        <v>479</v>
      </c>
      <c r="J187" s="89">
        <f t="shared" ref="J187" si="59">H187/D187%</f>
        <v>4.2</v>
      </c>
      <c r="K187" s="711"/>
      <c r="L187" s="45">
        <v>50</v>
      </c>
      <c r="M187" s="90">
        <v>0</v>
      </c>
      <c r="N187" s="90">
        <v>4</v>
      </c>
      <c r="O187" s="90">
        <v>0</v>
      </c>
      <c r="P187" s="90">
        <v>0</v>
      </c>
      <c r="Q187" s="90">
        <v>2</v>
      </c>
      <c r="R187" s="90">
        <v>0</v>
      </c>
      <c r="S187" s="90">
        <v>0</v>
      </c>
      <c r="T187" s="90">
        <v>0</v>
      </c>
      <c r="U187" s="90">
        <v>0</v>
      </c>
      <c r="V187" s="90">
        <v>0</v>
      </c>
      <c r="W187" s="90">
        <v>0</v>
      </c>
      <c r="X187" s="90">
        <v>0</v>
      </c>
      <c r="Y187" s="90">
        <v>0</v>
      </c>
      <c r="Z187" s="90">
        <v>0</v>
      </c>
      <c r="AA187" s="90">
        <v>0</v>
      </c>
      <c r="AB187" s="45">
        <v>0</v>
      </c>
      <c r="AC187" s="90">
        <v>0</v>
      </c>
      <c r="AD187" s="90">
        <v>0</v>
      </c>
      <c r="AE187" s="90">
        <v>0</v>
      </c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712">
        <f t="shared" si="45"/>
        <v>6</v>
      </c>
    </row>
    <row r="188" spans="1:44" ht="20.5" thickBot="1" x14ac:dyDescent="0.4">
      <c r="A188" s="709"/>
      <c r="B188" s="719" t="s">
        <v>118</v>
      </c>
      <c r="C188" s="662"/>
      <c r="D188" s="664">
        <f>SUM(D186:D187)</f>
        <v>1300</v>
      </c>
      <c r="E188" s="664">
        <f t="shared" ref="E188:H188" si="60">SUM(E186:E187)</f>
        <v>1300</v>
      </c>
      <c r="F188" s="664">
        <f t="shared" si="60"/>
        <v>0</v>
      </c>
      <c r="G188" s="664">
        <v>67</v>
      </c>
      <c r="H188" s="664">
        <f t="shared" si="60"/>
        <v>165</v>
      </c>
      <c r="I188" s="699">
        <f>D188-H188</f>
        <v>1135</v>
      </c>
      <c r="J188" s="699">
        <f>H188/D188%</f>
        <v>12.692307692307692</v>
      </c>
      <c r="K188" s="663"/>
      <c r="L188" s="700">
        <f>SUM(L186:L187)</f>
        <v>130</v>
      </c>
      <c r="M188" s="664">
        <f>SUM(M186+M187)</f>
        <v>0</v>
      </c>
      <c r="N188" s="664">
        <f t="shared" ref="N188:AR188" si="61">SUM(N186+N187)</f>
        <v>4</v>
      </c>
      <c r="O188" s="664">
        <f t="shared" si="61"/>
        <v>0</v>
      </c>
      <c r="P188" s="664">
        <f t="shared" si="61"/>
        <v>0</v>
      </c>
      <c r="Q188" s="664">
        <f t="shared" si="61"/>
        <v>2</v>
      </c>
      <c r="R188" s="664">
        <f t="shared" si="61"/>
        <v>7</v>
      </c>
      <c r="S188" s="664">
        <f t="shared" si="61"/>
        <v>0</v>
      </c>
      <c r="T188" s="664">
        <f t="shared" si="61"/>
        <v>0</v>
      </c>
      <c r="U188" s="664">
        <f t="shared" si="61"/>
        <v>0</v>
      </c>
      <c r="V188" s="664">
        <f t="shared" si="61"/>
        <v>30</v>
      </c>
      <c r="W188" s="664">
        <f t="shared" si="61"/>
        <v>0</v>
      </c>
      <c r="X188" s="664">
        <f t="shared" si="61"/>
        <v>0</v>
      </c>
      <c r="Y188" s="664">
        <f t="shared" si="61"/>
        <v>12</v>
      </c>
      <c r="Z188" s="664">
        <f t="shared" si="61"/>
        <v>12</v>
      </c>
      <c r="AA188" s="664">
        <f t="shared" si="61"/>
        <v>6</v>
      </c>
      <c r="AB188" s="664">
        <f t="shared" si="61"/>
        <v>0</v>
      </c>
      <c r="AC188" s="664">
        <f t="shared" si="61"/>
        <v>0</v>
      </c>
      <c r="AD188" s="664">
        <f t="shared" si="61"/>
        <v>5</v>
      </c>
      <c r="AE188" s="664">
        <f t="shared" si="61"/>
        <v>20</v>
      </c>
      <c r="AF188" s="664">
        <f t="shared" si="61"/>
        <v>0</v>
      </c>
      <c r="AG188" s="664">
        <f t="shared" si="61"/>
        <v>0</v>
      </c>
      <c r="AH188" s="664">
        <f t="shared" si="61"/>
        <v>0</v>
      </c>
      <c r="AI188" s="664">
        <f t="shared" si="61"/>
        <v>0</v>
      </c>
      <c r="AJ188" s="664">
        <f t="shared" si="61"/>
        <v>0</v>
      </c>
      <c r="AK188" s="664">
        <f t="shared" si="61"/>
        <v>0</v>
      </c>
      <c r="AL188" s="664">
        <f t="shared" si="61"/>
        <v>0</v>
      </c>
      <c r="AM188" s="664">
        <f t="shared" si="61"/>
        <v>0</v>
      </c>
      <c r="AN188" s="664">
        <f t="shared" si="61"/>
        <v>0</v>
      </c>
      <c r="AO188" s="664">
        <f t="shared" si="61"/>
        <v>0</v>
      </c>
      <c r="AP188" s="664">
        <f t="shared" si="61"/>
        <v>0</v>
      </c>
      <c r="AQ188" s="664">
        <f t="shared" si="61"/>
        <v>0</v>
      </c>
      <c r="AR188" s="664">
        <f t="shared" si="61"/>
        <v>98</v>
      </c>
    </row>
    <row r="189" spans="1:44" ht="20.5" thickBot="1" x14ac:dyDescent="0.4">
      <c r="A189" s="661">
        <v>21</v>
      </c>
      <c r="B189" s="667" t="s">
        <v>425</v>
      </c>
      <c r="C189" s="662" t="s">
        <v>426</v>
      </c>
      <c r="D189" s="664">
        <v>1875</v>
      </c>
      <c r="E189" s="664">
        <v>1875</v>
      </c>
      <c r="F189" s="664">
        <f t="shared" si="30"/>
        <v>0</v>
      </c>
      <c r="G189" s="664">
        <v>54</v>
      </c>
      <c r="H189" s="665">
        <f t="shared" si="54"/>
        <v>62.4</v>
      </c>
      <c r="I189" s="665">
        <f t="shared" si="55"/>
        <v>1812.6</v>
      </c>
      <c r="J189" s="665">
        <f>H189/D189%</f>
        <v>3.3279999999999998</v>
      </c>
      <c r="K189" s="663"/>
      <c r="L189" s="664">
        <v>200</v>
      </c>
      <c r="M189" s="664">
        <v>0</v>
      </c>
      <c r="N189" s="664">
        <v>0</v>
      </c>
      <c r="O189" s="664">
        <v>0</v>
      </c>
      <c r="P189" s="664">
        <v>3.4</v>
      </c>
      <c r="Q189" s="664">
        <v>5</v>
      </c>
      <c r="R189" s="664">
        <v>0</v>
      </c>
      <c r="S189" s="664">
        <v>0</v>
      </c>
      <c r="T189" s="664">
        <v>0</v>
      </c>
      <c r="U189" s="664">
        <v>0</v>
      </c>
      <c r="V189" s="664">
        <v>0</v>
      </c>
      <c r="W189" s="664">
        <v>0</v>
      </c>
      <c r="X189" s="664">
        <v>0</v>
      </c>
      <c r="Y189" s="664">
        <v>0</v>
      </c>
      <c r="Z189" s="664">
        <v>0</v>
      </c>
      <c r="AA189" s="664">
        <v>0</v>
      </c>
      <c r="AB189" s="664">
        <v>0</v>
      </c>
      <c r="AC189" s="664">
        <v>0</v>
      </c>
      <c r="AD189" s="664">
        <v>0</v>
      </c>
      <c r="AE189" s="664"/>
      <c r="AF189" s="664"/>
      <c r="AG189" s="664"/>
      <c r="AH189" s="664"/>
      <c r="AI189" s="664"/>
      <c r="AJ189" s="664"/>
      <c r="AK189" s="664"/>
      <c r="AL189" s="664"/>
      <c r="AM189" s="664"/>
      <c r="AN189" s="664"/>
      <c r="AO189" s="664"/>
      <c r="AP189" s="664"/>
      <c r="AQ189" s="664"/>
      <c r="AR189" s="666">
        <f t="shared" si="45"/>
        <v>8.4</v>
      </c>
    </row>
    <row r="190" spans="1:44" ht="16" customHeight="1" thickBot="1" x14ac:dyDescent="0.4">
      <c r="A190" s="714"/>
      <c r="B190" s="730"/>
      <c r="C190" s="715" t="s">
        <v>324</v>
      </c>
      <c r="D190" s="716">
        <f>SUM(D178+D185+D188+D189)</f>
        <v>99173</v>
      </c>
      <c r="E190" s="716">
        <f t="shared" ref="E190:H190" si="62">SUM(E178+E185+E188+E189)</f>
        <v>92460</v>
      </c>
      <c r="F190" s="716">
        <f t="shared" si="62"/>
        <v>6713</v>
      </c>
      <c r="G190" s="716">
        <v>61236.91</v>
      </c>
      <c r="H190" s="716">
        <f t="shared" si="62"/>
        <v>63041.310000000005</v>
      </c>
      <c r="I190" s="717">
        <f>D190-H190</f>
        <v>36131.689999999995</v>
      </c>
      <c r="J190" s="717">
        <f>H190/D190%</f>
        <v>63.567009165801181</v>
      </c>
      <c r="K190" s="718"/>
      <c r="L190" s="716">
        <f>SUM(L178+L185+L188+L189)</f>
        <v>4515</v>
      </c>
      <c r="M190" s="716">
        <f>M178+M185+M188+M189</f>
        <v>90</v>
      </c>
      <c r="N190" s="716">
        <f t="shared" ref="N190:AR190" si="63">N178+N185+N188+N189</f>
        <v>140</v>
      </c>
      <c r="O190" s="716">
        <f t="shared" si="63"/>
        <v>90</v>
      </c>
      <c r="P190" s="716">
        <f t="shared" si="63"/>
        <v>40.4</v>
      </c>
      <c r="Q190" s="716">
        <f t="shared" si="63"/>
        <v>121</v>
      </c>
      <c r="R190" s="716">
        <f t="shared" si="63"/>
        <v>58</v>
      </c>
      <c r="S190" s="716">
        <f t="shared" si="63"/>
        <v>205</v>
      </c>
      <c r="T190" s="716">
        <f t="shared" si="63"/>
        <v>100</v>
      </c>
      <c r="U190" s="716">
        <f t="shared" si="63"/>
        <v>43</v>
      </c>
      <c r="V190" s="716">
        <f t="shared" si="63"/>
        <v>111</v>
      </c>
      <c r="W190" s="716">
        <f t="shared" si="63"/>
        <v>3</v>
      </c>
      <c r="X190" s="716">
        <f t="shared" si="63"/>
        <v>66</v>
      </c>
      <c r="Y190" s="716">
        <f t="shared" si="63"/>
        <v>116</v>
      </c>
      <c r="Z190" s="716">
        <f t="shared" si="63"/>
        <v>137</v>
      </c>
      <c r="AA190" s="716">
        <f t="shared" si="63"/>
        <v>145</v>
      </c>
      <c r="AB190" s="716">
        <f t="shared" si="63"/>
        <v>166</v>
      </c>
      <c r="AC190" s="716">
        <f t="shared" si="63"/>
        <v>0</v>
      </c>
      <c r="AD190" s="716">
        <f t="shared" si="63"/>
        <v>47</v>
      </c>
      <c r="AE190" s="716">
        <f t="shared" si="63"/>
        <v>130</v>
      </c>
      <c r="AF190" s="716">
        <f t="shared" si="63"/>
        <v>0</v>
      </c>
      <c r="AG190" s="716">
        <f t="shared" si="63"/>
        <v>0</v>
      </c>
      <c r="AH190" s="716">
        <f t="shared" si="63"/>
        <v>0</v>
      </c>
      <c r="AI190" s="716">
        <f t="shared" si="63"/>
        <v>0</v>
      </c>
      <c r="AJ190" s="716">
        <f t="shared" si="63"/>
        <v>0</v>
      </c>
      <c r="AK190" s="716">
        <f t="shared" si="63"/>
        <v>0</v>
      </c>
      <c r="AL190" s="716">
        <f t="shared" si="63"/>
        <v>0</v>
      </c>
      <c r="AM190" s="716">
        <f t="shared" si="63"/>
        <v>0</v>
      </c>
      <c r="AN190" s="716">
        <f t="shared" si="63"/>
        <v>0</v>
      </c>
      <c r="AO190" s="716">
        <f t="shared" si="63"/>
        <v>0</v>
      </c>
      <c r="AP190" s="716">
        <f t="shared" si="63"/>
        <v>0</v>
      </c>
      <c r="AQ190" s="716">
        <f t="shared" si="63"/>
        <v>0</v>
      </c>
      <c r="AR190" s="716">
        <f t="shared" si="63"/>
        <v>1808.4</v>
      </c>
    </row>
    <row r="191" spans="1:44" ht="16.5" customHeight="1" x14ac:dyDescent="0.35">
      <c r="A191" s="143"/>
      <c r="B191" s="44" t="s">
        <v>427</v>
      </c>
      <c r="C191" s="579" t="s">
        <v>428</v>
      </c>
      <c r="D191" s="555">
        <v>8100</v>
      </c>
      <c r="E191" s="45">
        <v>8100</v>
      </c>
      <c r="F191" s="45">
        <f>D191-E191</f>
        <v>0</v>
      </c>
      <c r="G191" s="48">
        <v>0</v>
      </c>
      <c r="H191" s="162">
        <f>G191+AR191</f>
        <v>0</v>
      </c>
      <c r="I191" s="162">
        <f>D191-H191</f>
        <v>8100</v>
      </c>
      <c r="J191" s="162">
        <f>H191/D191%</f>
        <v>0</v>
      </c>
      <c r="K191" s="660"/>
      <c r="L191" s="45"/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679">
        <f>SUM(M191:AQ191)</f>
        <v>0</v>
      </c>
    </row>
    <row r="192" spans="1:44" x14ac:dyDescent="0.35">
      <c r="H192" s="713"/>
      <c r="L192" s="713">
        <f>L190+L191</f>
        <v>4515</v>
      </c>
    </row>
    <row r="196" spans="4:9" x14ac:dyDescent="0.35">
      <c r="D196" s="591">
        <v>5590</v>
      </c>
    </row>
    <row r="200" spans="4:9" x14ac:dyDescent="0.35">
      <c r="I200" s="340" t="s">
        <v>27</v>
      </c>
    </row>
    <row r="202" spans="4:9" x14ac:dyDescent="0.35">
      <c r="H202" s="340" t="s">
        <v>429</v>
      </c>
      <c r="I202" s="340">
        <v>26</v>
      </c>
    </row>
    <row r="203" spans="4:9" x14ac:dyDescent="0.35">
      <c r="H203" s="340">
        <v>2</v>
      </c>
      <c r="I203" s="340">
        <v>7</v>
      </c>
    </row>
    <row r="204" spans="4:9" x14ac:dyDescent="0.35">
      <c r="H204" s="340" t="s">
        <v>430</v>
      </c>
      <c r="I204" s="340">
        <v>53</v>
      </c>
    </row>
    <row r="205" spans="4:9" x14ac:dyDescent="0.35">
      <c r="H205" s="340" t="s">
        <v>431</v>
      </c>
      <c r="I205" s="340">
        <v>16</v>
      </c>
    </row>
    <row r="206" spans="4:9" x14ac:dyDescent="0.35">
      <c r="H206" s="340" t="s">
        <v>432</v>
      </c>
      <c r="I206" s="340">
        <v>12</v>
      </c>
    </row>
    <row r="207" spans="4:9" x14ac:dyDescent="0.35">
      <c r="H207" s="340" t="s">
        <v>433</v>
      </c>
      <c r="I207" s="340">
        <v>7</v>
      </c>
    </row>
    <row r="209" spans="8:9" x14ac:dyDescent="0.35">
      <c r="H209" s="340" t="s">
        <v>115</v>
      </c>
      <c r="I209" s="340">
        <v>0</v>
      </c>
    </row>
    <row r="211" spans="8:9" x14ac:dyDescent="0.35">
      <c r="H211" s="340" t="s">
        <v>434</v>
      </c>
    </row>
    <row r="212" spans="8:9" x14ac:dyDescent="0.35">
      <c r="H212" s="340" t="s">
        <v>435</v>
      </c>
      <c r="I212" s="340">
        <v>6</v>
      </c>
    </row>
    <row r="213" spans="8:9" x14ac:dyDescent="0.35">
      <c r="H213" s="340" t="s">
        <v>436</v>
      </c>
      <c r="I213" s="340">
        <v>5</v>
      </c>
    </row>
    <row r="214" spans="8:9" x14ac:dyDescent="0.35">
      <c r="H214" s="340" t="s">
        <v>437</v>
      </c>
      <c r="I214" s="340">
        <v>3</v>
      </c>
    </row>
    <row r="215" spans="8:9" x14ac:dyDescent="0.35">
      <c r="H215" s="340" t="s">
        <v>438</v>
      </c>
    </row>
    <row r="216" spans="8:9" x14ac:dyDescent="0.35">
      <c r="H216" s="340" t="s">
        <v>439</v>
      </c>
      <c r="I216" s="340">
        <v>6.79</v>
      </c>
    </row>
    <row r="217" spans="8:9" x14ac:dyDescent="0.35">
      <c r="H217" s="340" t="s">
        <v>440</v>
      </c>
      <c r="I217" s="340">
        <v>25</v>
      </c>
    </row>
    <row r="218" spans="8:9" x14ac:dyDescent="0.35">
      <c r="H218" s="340" t="s">
        <v>441</v>
      </c>
      <c r="I218" s="340">
        <v>10</v>
      </c>
    </row>
    <row r="219" spans="8:9" x14ac:dyDescent="0.35">
      <c r="H219" s="340" t="s">
        <v>442</v>
      </c>
      <c r="I219" s="340">
        <v>11</v>
      </c>
    </row>
    <row r="220" spans="8:9" x14ac:dyDescent="0.35">
      <c r="H220" s="340" t="s">
        <v>443</v>
      </c>
    </row>
    <row r="221" spans="8:9" x14ac:dyDescent="0.35">
      <c r="H221" s="340" t="s">
        <v>444</v>
      </c>
      <c r="I221" s="340">
        <v>3</v>
      </c>
    </row>
    <row r="222" spans="8:9" x14ac:dyDescent="0.35">
      <c r="H222" s="340" t="s">
        <v>445</v>
      </c>
      <c r="I222" s="340">
        <v>12</v>
      </c>
    </row>
    <row r="223" spans="8:9" x14ac:dyDescent="0.35">
      <c r="H223" s="340" t="s">
        <v>446</v>
      </c>
      <c r="I223" s="340">
        <v>13.8</v>
      </c>
    </row>
  </sheetData>
  <autoFilter ref="A72:AR190" xr:uid="{00000000-0009-0000-0000-000006000000}"/>
  <mergeCells count="72">
    <mergeCell ref="B179:B184"/>
    <mergeCell ref="A179:A184"/>
    <mergeCell ref="B186:B187"/>
    <mergeCell ref="A186:A187"/>
    <mergeCell ref="B96:B101"/>
    <mergeCell ref="B139:B151"/>
    <mergeCell ref="A139:A151"/>
    <mergeCell ref="A156:A157"/>
    <mergeCell ref="B158:B162"/>
    <mergeCell ref="A158:A162"/>
    <mergeCell ref="A152:A155"/>
    <mergeCell ref="B156:B157"/>
    <mergeCell ref="B152:B155"/>
    <mergeCell ref="A6:A9"/>
    <mergeCell ref="B10:B15"/>
    <mergeCell ref="A10:A15"/>
    <mergeCell ref="L164:L165"/>
    <mergeCell ref="L77:L78"/>
    <mergeCell ref="L3:L69"/>
    <mergeCell ref="L71:AR71"/>
    <mergeCell ref="L119:L120"/>
    <mergeCell ref="L123:L124"/>
    <mergeCell ref="L125:L126"/>
    <mergeCell ref="L156:L157"/>
    <mergeCell ref="B163:B173"/>
    <mergeCell ref="A163:A173"/>
    <mergeCell ref="A23:A25"/>
    <mergeCell ref="A73:A74"/>
    <mergeCell ref="A58:A59"/>
    <mergeCell ref="A71:J71"/>
    <mergeCell ref="B73:B74"/>
    <mergeCell ref="B64:B67"/>
    <mergeCell ref="A38:A42"/>
    <mergeCell ref="A43:A49"/>
    <mergeCell ref="B60:B63"/>
    <mergeCell ref="B50:B57"/>
    <mergeCell ref="A50:A57"/>
    <mergeCell ref="A64:A67"/>
    <mergeCell ref="A60:A63"/>
    <mergeCell ref="B38:B42"/>
    <mergeCell ref="B3:B5"/>
    <mergeCell ref="A137:A138"/>
    <mergeCell ref="B102:B112"/>
    <mergeCell ref="B137:B138"/>
    <mergeCell ref="B113:B126"/>
    <mergeCell ref="A113:A126"/>
    <mergeCell ref="B92:B95"/>
    <mergeCell ref="A92:A95"/>
    <mergeCell ref="B127:B136"/>
    <mergeCell ref="A127:A136"/>
    <mergeCell ref="B75:B82"/>
    <mergeCell ref="A83:A91"/>
    <mergeCell ref="A75:A82"/>
    <mergeCell ref="A102:A112"/>
    <mergeCell ref="A96:A101"/>
    <mergeCell ref="B83:B91"/>
    <mergeCell ref="L117:L118"/>
    <mergeCell ref="L1:AR1"/>
    <mergeCell ref="B6:B9"/>
    <mergeCell ref="B16:B17"/>
    <mergeCell ref="B58:B59"/>
    <mergeCell ref="B23:B25"/>
    <mergeCell ref="B43:B49"/>
    <mergeCell ref="A1:J1"/>
    <mergeCell ref="B26:B29"/>
    <mergeCell ref="B18:B22"/>
    <mergeCell ref="B30:B37"/>
    <mergeCell ref="A26:A29"/>
    <mergeCell ref="A30:A37"/>
    <mergeCell ref="A16:A17"/>
    <mergeCell ref="A3:A5"/>
    <mergeCell ref="A18:A22"/>
  </mergeCells>
  <printOptions horizontalCentered="1"/>
  <pageMargins left="0.196850393700787" right="0.196850393700787" top="0.39370078740157499" bottom="0.27559055118110198" header="0.196850393700787" footer="0.196850393700787"/>
  <pageSetup paperSize="8"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U99"/>
  <sheetViews>
    <sheetView zoomScale="55" zoomScaleNormal="55" workbookViewId="0">
      <pane xSplit="12" topLeftCell="S1" activePane="topRight" state="frozen"/>
      <selection pane="topRight" activeCell="AF89" sqref="AF89"/>
    </sheetView>
  </sheetViews>
  <sheetFormatPr defaultColWidth="9.1796875" defaultRowHeight="15.5" x14ac:dyDescent="0.35"/>
  <cols>
    <col min="1" max="1" width="7.26953125" style="25" bestFit="1" customWidth="1"/>
    <col min="2" max="2" width="12.81640625" style="25" customWidth="1"/>
    <col min="3" max="3" width="42.81640625" style="25" customWidth="1"/>
    <col min="4" max="4" width="13.81640625" style="25" bestFit="1" customWidth="1"/>
    <col min="5" max="5" width="11.453125" style="25" customWidth="1"/>
    <col min="6" max="6" width="12.453125" style="25" customWidth="1"/>
    <col min="7" max="7" width="16.7265625" style="340" customWidth="1"/>
    <col min="8" max="8" width="16.7265625" style="25" customWidth="1"/>
    <col min="9" max="9" width="11" style="25" bestFit="1" customWidth="1"/>
    <col min="10" max="10" width="14.1796875" style="25" customWidth="1"/>
    <col min="11" max="11" width="11.1796875" style="25" customWidth="1"/>
    <col min="12" max="12" width="12.453125" style="25" customWidth="1"/>
    <col min="13" max="13" width="3.54296875" style="25" customWidth="1"/>
    <col min="14" max="14" width="8.7265625" style="25" customWidth="1"/>
    <col min="15" max="20" width="6.1796875" style="25" customWidth="1"/>
    <col min="21" max="22" width="6.1796875" style="141" customWidth="1"/>
    <col min="23" max="23" width="6.453125" style="25" customWidth="1"/>
    <col min="24" max="24" width="6.1796875" style="141" customWidth="1"/>
    <col min="25" max="26" width="6.1796875" style="25" customWidth="1"/>
    <col min="27" max="27" width="8.7265625" style="25" customWidth="1"/>
    <col min="28" max="32" width="6.1796875" style="25" customWidth="1"/>
    <col min="33" max="33" width="6.81640625" style="25" bestFit="1" customWidth="1"/>
    <col min="34" max="34" width="6.1796875" style="25" bestFit="1" customWidth="1"/>
    <col min="35" max="35" width="6.453125" style="25" customWidth="1"/>
    <col min="36" max="36" width="7.81640625" style="141" customWidth="1"/>
    <col min="37" max="37" width="6.1796875" style="25" bestFit="1" customWidth="1"/>
    <col min="38" max="38" width="6.7265625" style="25" bestFit="1" customWidth="1"/>
    <col min="39" max="39" width="6.1796875" style="25" bestFit="1" customWidth="1"/>
    <col min="40" max="40" width="7.81640625" style="25" bestFit="1" customWidth="1"/>
    <col min="41" max="41" width="6.54296875" style="25" bestFit="1" customWidth="1"/>
    <col min="42" max="42" width="6.453125" style="25" bestFit="1" customWidth="1"/>
    <col min="43" max="43" width="7" style="141" bestFit="1" customWidth="1"/>
    <col min="44" max="44" width="6.81640625" style="25" bestFit="1" customWidth="1"/>
    <col min="45" max="45" width="8" style="25" customWidth="1"/>
    <col min="46" max="46" width="13" style="25" customWidth="1"/>
    <col min="47" max="16384" width="9.1796875" style="25"/>
  </cols>
  <sheetData>
    <row r="1" spans="1:46" ht="26.15" customHeight="1" thickBot="1" x14ac:dyDescent="0.45">
      <c r="A1" s="857" t="s">
        <v>447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9"/>
      <c r="M1" s="50"/>
      <c r="N1" s="853">
        <v>44826</v>
      </c>
      <c r="O1" s="854"/>
      <c r="P1" s="854"/>
      <c r="Q1" s="854"/>
      <c r="R1" s="854"/>
      <c r="S1" s="854"/>
      <c r="T1" s="854"/>
      <c r="U1" s="854"/>
      <c r="V1" s="854"/>
      <c r="W1" s="854"/>
      <c r="X1" s="854"/>
      <c r="Y1" s="854"/>
      <c r="Z1" s="854"/>
      <c r="AA1" s="854"/>
      <c r="AB1" s="854"/>
      <c r="AC1" s="854"/>
      <c r="AD1" s="854"/>
      <c r="AE1" s="854"/>
      <c r="AF1" s="854"/>
      <c r="AG1" s="854"/>
      <c r="AH1" s="854"/>
      <c r="AI1" s="854"/>
      <c r="AJ1" s="854"/>
      <c r="AK1" s="854"/>
      <c r="AL1" s="854"/>
      <c r="AM1" s="854"/>
      <c r="AN1" s="854"/>
      <c r="AO1" s="854"/>
      <c r="AP1" s="854"/>
      <c r="AQ1" s="854"/>
      <c r="AR1" s="854"/>
      <c r="AS1" s="855"/>
      <c r="AT1" s="856"/>
    </row>
    <row r="2" spans="1:46" ht="70.5" customHeight="1" thickBot="1" x14ac:dyDescent="0.4">
      <c r="A2" s="41" t="s">
        <v>234</v>
      </c>
      <c r="B2" s="41" t="s">
        <v>108</v>
      </c>
      <c r="C2" s="41" t="s">
        <v>235</v>
      </c>
      <c r="D2" s="41" t="s">
        <v>448</v>
      </c>
      <c r="E2" s="41" t="s">
        <v>449</v>
      </c>
      <c r="F2" s="41" t="s">
        <v>450</v>
      </c>
      <c r="G2" s="41" t="s">
        <v>237</v>
      </c>
      <c r="H2" s="41" t="s">
        <v>238</v>
      </c>
      <c r="I2" s="41" t="s">
        <v>451</v>
      </c>
      <c r="J2" s="41" t="s">
        <v>452</v>
      </c>
      <c r="K2" s="41" t="s">
        <v>241</v>
      </c>
      <c r="L2" s="43" t="s">
        <v>242</v>
      </c>
      <c r="M2" s="68"/>
      <c r="N2" s="52" t="s">
        <v>243</v>
      </c>
      <c r="O2" s="658">
        <f>'Civil Day Wise Progress'!M2</f>
        <v>44805</v>
      </c>
      <c r="P2" s="658">
        <f>'Civil Day Wise Progress'!N2</f>
        <v>44806</v>
      </c>
      <c r="Q2" s="658">
        <f>'Civil Day Wise Progress'!O2</f>
        <v>44807</v>
      </c>
      <c r="R2" s="658">
        <f>'Civil Day Wise Progress'!P2</f>
        <v>44808</v>
      </c>
      <c r="S2" s="658">
        <f>'Civil Day Wise Progress'!Q2</f>
        <v>44809</v>
      </c>
      <c r="T2" s="658">
        <f>'Civil Day Wise Progress'!R2</f>
        <v>44810</v>
      </c>
      <c r="U2" s="658">
        <f>'Civil Day Wise Progress'!S2</f>
        <v>44811</v>
      </c>
      <c r="V2" s="658">
        <f>'Civil Day Wise Progress'!T2</f>
        <v>44812</v>
      </c>
      <c r="W2" s="658">
        <f>'Civil Day Wise Progress'!U2</f>
        <v>44813</v>
      </c>
      <c r="X2" s="658">
        <f>'Civil Day Wise Progress'!V2</f>
        <v>44814</v>
      </c>
      <c r="Y2" s="658">
        <f>'Civil Day Wise Progress'!W2</f>
        <v>44815</v>
      </c>
      <c r="Z2" s="658">
        <f>'Civil Day Wise Progress'!X2</f>
        <v>44816</v>
      </c>
      <c r="AA2" s="658">
        <f>'Civil Day Wise Progress'!Y2</f>
        <v>44817</v>
      </c>
      <c r="AB2" s="658">
        <f>'Civil Day Wise Progress'!Z2</f>
        <v>44818</v>
      </c>
      <c r="AC2" s="658">
        <f>'Civil Day Wise Progress'!AA2</f>
        <v>44819</v>
      </c>
      <c r="AD2" s="658">
        <f>'Civil Day Wise Progress'!AB2</f>
        <v>44820</v>
      </c>
      <c r="AE2" s="658">
        <f>'Civil Day Wise Progress'!AC2</f>
        <v>44821</v>
      </c>
      <c r="AF2" s="658">
        <f>'Civil Day Wise Progress'!AD2</f>
        <v>44822</v>
      </c>
      <c r="AG2" s="658">
        <f>'Civil Day Wise Progress'!AE2</f>
        <v>44823</v>
      </c>
      <c r="AH2" s="658">
        <f>'Civil Day Wise Progress'!AF2</f>
        <v>44824</v>
      </c>
      <c r="AI2" s="658">
        <f>'Civil Day Wise Progress'!AG2</f>
        <v>44825</v>
      </c>
      <c r="AJ2" s="658">
        <f>'Civil Day Wise Progress'!AH2</f>
        <v>44826</v>
      </c>
      <c r="AK2" s="658">
        <f>'Civil Day Wise Progress'!AI2</f>
        <v>44827</v>
      </c>
      <c r="AL2" s="658">
        <f>'Civil Day Wise Progress'!AJ2</f>
        <v>44828</v>
      </c>
      <c r="AM2" s="658">
        <f>'Civil Day Wise Progress'!AK2</f>
        <v>44829</v>
      </c>
      <c r="AN2" s="658">
        <f>'Civil Day Wise Progress'!AL2</f>
        <v>44830</v>
      </c>
      <c r="AO2" s="658">
        <f>'Civil Day Wise Progress'!AM2</f>
        <v>44831</v>
      </c>
      <c r="AP2" s="658">
        <f>'Civil Day Wise Progress'!AN2</f>
        <v>44832</v>
      </c>
      <c r="AQ2" s="658">
        <f>'Civil Day Wise Progress'!AO2</f>
        <v>44833</v>
      </c>
      <c r="AR2" s="658">
        <f>'Civil Day Wise Progress'!AP2</f>
        <v>44834</v>
      </c>
      <c r="AS2" s="658">
        <f>'Civil Day Wise Progress'!AQ2</f>
        <v>44835</v>
      </c>
      <c r="AT2" s="34" t="s">
        <v>244</v>
      </c>
    </row>
    <row r="3" spans="1:46" s="168" customFormat="1" x14ac:dyDescent="0.35">
      <c r="A3" s="867">
        <v>1</v>
      </c>
      <c r="B3" s="862" t="s">
        <v>113</v>
      </c>
      <c r="C3" s="252" t="s">
        <v>453</v>
      </c>
      <c r="D3" s="252"/>
      <c r="E3" s="179"/>
      <c r="F3" s="413"/>
      <c r="G3" s="285"/>
      <c r="H3" s="285"/>
      <c r="I3" s="285"/>
      <c r="J3" s="285"/>
      <c r="K3" s="285"/>
      <c r="L3" s="289"/>
      <c r="M3" s="164"/>
      <c r="N3" s="179"/>
      <c r="O3" s="285"/>
      <c r="P3" s="285"/>
      <c r="Q3" s="285"/>
      <c r="R3" s="285"/>
      <c r="S3" s="285"/>
      <c r="T3" s="289"/>
      <c r="U3" s="289"/>
      <c r="V3" s="289"/>
      <c r="W3" s="289"/>
      <c r="X3" s="289"/>
      <c r="Y3" s="289"/>
      <c r="Z3" s="287"/>
      <c r="AA3" s="287"/>
      <c r="AB3" s="287"/>
      <c r="AC3" s="287"/>
      <c r="AD3" s="287"/>
      <c r="AE3" s="287"/>
      <c r="AF3" s="287"/>
      <c r="AG3" s="286"/>
      <c r="AH3" s="286"/>
      <c r="AI3" s="287"/>
      <c r="AJ3" s="287"/>
      <c r="AK3" s="287"/>
      <c r="AL3" s="287"/>
      <c r="AM3" s="287"/>
      <c r="AN3" s="287"/>
      <c r="AO3" s="285"/>
      <c r="AP3" s="285"/>
      <c r="AQ3" s="289"/>
      <c r="AR3" s="285"/>
      <c r="AS3" s="285"/>
      <c r="AT3" s="167"/>
    </row>
    <row r="4" spans="1:46" s="378" customFormat="1" ht="15.75" customHeight="1" x14ac:dyDescent="0.35">
      <c r="A4" s="867"/>
      <c r="B4" s="862"/>
      <c r="C4" s="463" t="s">
        <v>454</v>
      </c>
      <c r="D4" s="873">
        <v>3000</v>
      </c>
      <c r="E4" s="287">
        <v>884</v>
      </c>
      <c r="F4" s="286">
        <v>884</v>
      </c>
      <c r="G4" s="286">
        <f>599+98+13+133+17.25+16.2+7.6</f>
        <v>884.05000000000007</v>
      </c>
      <c r="H4" s="286">
        <f t="shared" ref="H4:H30" si="0">E4-G4</f>
        <v>-5.0000000000068212E-2</v>
      </c>
      <c r="I4" s="286">
        <v>883.7</v>
      </c>
      <c r="J4" s="286">
        <f>I4+AT4</f>
        <v>899.6</v>
      </c>
      <c r="K4" s="286">
        <f t="shared" ref="K4:K30" si="1">E4-J4</f>
        <v>-15.600000000000023</v>
      </c>
      <c r="L4" s="286">
        <f t="shared" ref="L4:L31" si="2">J4/E4*100</f>
        <v>101.76470588235293</v>
      </c>
      <c r="M4" s="170"/>
      <c r="N4" s="870">
        <f>206+50</f>
        <v>256</v>
      </c>
      <c r="O4" s="285">
        <v>0</v>
      </c>
      <c r="P4" s="285">
        <v>0</v>
      </c>
      <c r="Q4" s="285">
        <v>0</v>
      </c>
      <c r="R4" s="285">
        <v>0</v>
      </c>
      <c r="S4" s="285">
        <v>0</v>
      </c>
      <c r="T4" s="289">
        <v>7.25</v>
      </c>
      <c r="U4" s="289">
        <v>6.25</v>
      </c>
      <c r="V4" s="289">
        <v>2.4</v>
      </c>
      <c r="W4" s="287">
        <v>0</v>
      </c>
      <c r="X4" s="289">
        <v>0</v>
      </c>
      <c r="Y4" s="289">
        <v>0</v>
      </c>
      <c r="Z4" s="289">
        <v>0</v>
      </c>
      <c r="AA4" s="289">
        <v>0</v>
      </c>
      <c r="AB4" s="289">
        <v>0</v>
      </c>
      <c r="AC4" s="289">
        <v>0</v>
      </c>
      <c r="AD4" s="289">
        <v>0</v>
      </c>
      <c r="AE4" s="289">
        <v>0</v>
      </c>
      <c r="AF4" s="289">
        <v>0</v>
      </c>
      <c r="AG4" s="286">
        <v>0</v>
      </c>
      <c r="AH4" s="286"/>
      <c r="AI4" s="287"/>
      <c r="AJ4" s="287"/>
      <c r="AK4" s="287"/>
      <c r="AL4" s="287"/>
      <c r="AM4" s="287"/>
      <c r="AN4" s="287"/>
      <c r="AO4" s="286"/>
      <c r="AP4" s="286"/>
      <c r="AQ4" s="286"/>
      <c r="AR4" s="287"/>
      <c r="AS4" s="287"/>
      <c r="AT4" s="169">
        <f t="shared" ref="AT4:AT29" si="3">SUM(O4:AS4)</f>
        <v>15.9</v>
      </c>
    </row>
    <row r="5" spans="1:46" s="378" customFormat="1" ht="15.75" customHeight="1" x14ac:dyDescent="0.35">
      <c r="A5" s="867"/>
      <c r="B5" s="862"/>
      <c r="C5" s="463" t="s">
        <v>455</v>
      </c>
      <c r="D5" s="874"/>
      <c r="E5" s="286">
        <v>1725.54</v>
      </c>
      <c r="F5" s="286">
        <v>1725.54</v>
      </c>
      <c r="G5" s="286">
        <v>1725.54</v>
      </c>
      <c r="H5" s="286">
        <f t="shared" si="0"/>
        <v>0</v>
      </c>
      <c r="I5" s="286">
        <v>1726</v>
      </c>
      <c r="J5" s="286">
        <f t="shared" ref="J5:J30" si="4">I5+AT5</f>
        <v>1729</v>
      </c>
      <c r="K5" s="286">
        <f t="shared" si="1"/>
        <v>-3.4600000000000364</v>
      </c>
      <c r="L5" s="286">
        <f t="shared" si="2"/>
        <v>100.20051693962471</v>
      </c>
      <c r="M5" s="170"/>
      <c r="N5" s="871"/>
      <c r="O5" s="285">
        <v>0</v>
      </c>
      <c r="P5" s="285">
        <v>0</v>
      </c>
      <c r="Q5" s="285">
        <v>0</v>
      </c>
      <c r="R5" s="285">
        <v>0</v>
      </c>
      <c r="S5" s="285">
        <v>0</v>
      </c>
      <c r="T5" s="289">
        <v>0</v>
      </c>
      <c r="U5" s="289">
        <v>0</v>
      </c>
      <c r="V5" s="287">
        <v>0</v>
      </c>
      <c r="W5" s="287">
        <v>0</v>
      </c>
      <c r="X5" s="287">
        <v>0</v>
      </c>
      <c r="Y5" s="289">
        <v>0</v>
      </c>
      <c r="Z5" s="289">
        <v>0</v>
      </c>
      <c r="AA5" s="287">
        <v>3</v>
      </c>
      <c r="AB5" s="289">
        <v>0</v>
      </c>
      <c r="AC5" s="289">
        <v>0</v>
      </c>
      <c r="AD5" s="289">
        <v>0</v>
      </c>
      <c r="AE5" s="289">
        <v>0</v>
      </c>
      <c r="AF5" s="289">
        <v>0</v>
      </c>
      <c r="AG5" s="286">
        <v>0</v>
      </c>
      <c r="AH5" s="286"/>
      <c r="AI5" s="287"/>
      <c r="AJ5" s="287"/>
      <c r="AK5" s="287"/>
      <c r="AL5" s="287"/>
      <c r="AM5" s="287"/>
      <c r="AN5" s="287"/>
      <c r="AO5" s="286"/>
      <c r="AP5" s="286"/>
      <c r="AQ5" s="286"/>
      <c r="AR5" s="286"/>
      <c r="AS5" s="286"/>
      <c r="AT5" s="169">
        <f t="shared" si="3"/>
        <v>3</v>
      </c>
    </row>
    <row r="6" spans="1:46" s="378" customFormat="1" ht="15.75" customHeight="1" x14ac:dyDescent="0.35">
      <c r="A6" s="867"/>
      <c r="B6" s="862"/>
      <c r="C6" s="463" t="s">
        <v>456</v>
      </c>
      <c r="D6" s="874"/>
      <c r="E6" s="287">
        <v>842</v>
      </c>
      <c r="F6" s="286">
        <v>842</v>
      </c>
      <c r="G6" s="286">
        <v>842</v>
      </c>
      <c r="H6" s="286">
        <f t="shared" si="0"/>
        <v>0</v>
      </c>
      <c r="I6" s="286">
        <f>528.9-91+72</f>
        <v>509.9</v>
      </c>
      <c r="J6" s="286">
        <f t="shared" si="4"/>
        <v>515.79999999999995</v>
      </c>
      <c r="K6" s="286">
        <f t="shared" si="1"/>
        <v>326.20000000000005</v>
      </c>
      <c r="L6" s="286">
        <f t="shared" si="2"/>
        <v>61.25890736342042</v>
      </c>
      <c r="M6" s="170"/>
      <c r="N6" s="872"/>
      <c r="O6" s="285">
        <v>0</v>
      </c>
      <c r="P6" s="285">
        <v>0</v>
      </c>
      <c r="Q6" s="285">
        <v>0</v>
      </c>
      <c r="R6" s="285">
        <v>0</v>
      </c>
      <c r="S6" s="285">
        <v>0</v>
      </c>
      <c r="T6" s="289">
        <v>0</v>
      </c>
      <c r="U6" s="289">
        <v>0</v>
      </c>
      <c r="V6" s="287">
        <v>0</v>
      </c>
      <c r="W6" s="287">
        <v>0</v>
      </c>
      <c r="X6" s="289">
        <v>2</v>
      </c>
      <c r="Y6" s="289">
        <v>0</v>
      </c>
      <c r="Z6" s="289">
        <v>0</v>
      </c>
      <c r="AA6" s="289">
        <v>0</v>
      </c>
      <c r="AB6" s="289">
        <v>0</v>
      </c>
      <c r="AC6" s="289">
        <v>0</v>
      </c>
      <c r="AD6" s="289">
        <v>0</v>
      </c>
      <c r="AE6" s="289">
        <v>0</v>
      </c>
      <c r="AF6" s="289">
        <v>0</v>
      </c>
      <c r="AG6" s="286">
        <v>3.9</v>
      </c>
      <c r="AH6" s="286"/>
      <c r="AI6" s="287"/>
      <c r="AJ6" s="287"/>
      <c r="AK6" s="287"/>
      <c r="AL6" s="287"/>
      <c r="AM6" s="287"/>
      <c r="AN6" s="287"/>
      <c r="AO6" s="286"/>
      <c r="AP6" s="286"/>
      <c r="AQ6" s="286"/>
      <c r="AR6" s="287"/>
      <c r="AS6" s="287"/>
      <c r="AT6" s="172">
        <f t="shared" si="3"/>
        <v>5.9</v>
      </c>
    </row>
    <row r="7" spans="1:46" s="378" customFormat="1" ht="15.75" customHeight="1" x14ac:dyDescent="0.35">
      <c r="A7" s="868"/>
      <c r="B7" s="862"/>
      <c r="C7" s="463" t="s">
        <v>457</v>
      </c>
      <c r="D7" s="874"/>
      <c r="E7" s="287">
        <v>89</v>
      </c>
      <c r="F7" s="286">
        <v>89</v>
      </c>
      <c r="G7" s="286">
        <f>42+47</f>
        <v>89</v>
      </c>
      <c r="H7" s="286">
        <f t="shared" si="0"/>
        <v>0</v>
      </c>
      <c r="I7" s="286">
        <v>37</v>
      </c>
      <c r="J7" s="286">
        <f t="shared" si="4"/>
        <v>37</v>
      </c>
      <c r="K7" s="286">
        <f t="shared" si="1"/>
        <v>52</v>
      </c>
      <c r="L7" s="286">
        <f t="shared" si="2"/>
        <v>41.573033707865171</v>
      </c>
      <c r="M7" s="170"/>
      <c r="N7" s="287">
        <v>0</v>
      </c>
      <c r="O7" s="285">
        <v>0</v>
      </c>
      <c r="P7" s="285">
        <v>0</v>
      </c>
      <c r="Q7" s="285">
        <v>0</v>
      </c>
      <c r="R7" s="285">
        <v>0</v>
      </c>
      <c r="S7" s="285">
        <v>0</v>
      </c>
      <c r="T7" s="289">
        <v>0</v>
      </c>
      <c r="U7" s="289">
        <v>0</v>
      </c>
      <c r="V7" s="287">
        <v>0</v>
      </c>
      <c r="W7" s="287">
        <v>0</v>
      </c>
      <c r="X7" s="289">
        <v>0</v>
      </c>
      <c r="Y7" s="289">
        <v>0</v>
      </c>
      <c r="Z7" s="289">
        <v>0</v>
      </c>
      <c r="AA7" s="289">
        <v>0</v>
      </c>
      <c r="AB7" s="289">
        <v>0</v>
      </c>
      <c r="AC7" s="289">
        <v>0</v>
      </c>
      <c r="AD7" s="289">
        <v>0</v>
      </c>
      <c r="AE7" s="289">
        <v>0</v>
      </c>
      <c r="AF7" s="289">
        <v>0</v>
      </c>
      <c r="AG7" s="286">
        <v>0</v>
      </c>
      <c r="AH7" s="286"/>
      <c r="AI7" s="287"/>
      <c r="AJ7" s="287"/>
      <c r="AK7" s="287"/>
      <c r="AL7" s="287"/>
      <c r="AM7" s="287"/>
      <c r="AN7" s="287"/>
      <c r="AO7" s="286"/>
      <c r="AP7" s="286"/>
      <c r="AQ7" s="286"/>
      <c r="AR7" s="287"/>
      <c r="AS7" s="287"/>
      <c r="AT7" s="172">
        <f t="shared" si="3"/>
        <v>0</v>
      </c>
    </row>
    <row r="8" spans="1:46" s="378" customFormat="1" ht="16.5" customHeight="1" x14ac:dyDescent="0.35">
      <c r="A8" s="414">
        <v>2</v>
      </c>
      <c r="B8" s="862"/>
      <c r="C8" s="464" t="s">
        <v>458</v>
      </c>
      <c r="D8" s="874"/>
      <c r="E8" s="286">
        <v>449.6</v>
      </c>
      <c r="F8" s="286">
        <v>449.6</v>
      </c>
      <c r="G8" s="286">
        <v>449.6</v>
      </c>
      <c r="H8" s="286">
        <f t="shared" si="0"/>
        <v>0</v>
      </c>
      <c r="I8" s="286">
        <v>130</v>
      </c>
      <c r="J8" s="286">
        <f t="shared" si="4"/>
        <v>185</v>
      </c>
      <c r="K8" s="286">
        <f t="shared" si="1"/>
        <v>264.60000000000002</v>
      </c>
      <c r="L8" s="286">
        <f t="shared" si="2"/>
        <v>41.147686832740213</v>
      </c>
      <c r="M8" s="170"/>
      <c r="N8" s="287">
        <v>50</v>
      </c>
      <c r="O8" s="285">
        <v>0</v>
      </c>
      <c r="P8" s="285">
        <v>0</v>
      </c>
      <c r="Q8" s="285">
        <v>0</v>
      </c>
      <c r="R8" s="285">
        <v>0</v>
      </c>
      <c r="S8" s="285">
        <v>0</v>
      </c>
      <c r="T8" s="289">
        <v>0</v>
      </c>
      <c r="U8" s="289">
        <v>0</v>
      </c>
      <c r="V8" s="287">
        <v>0</v>
      </c>
      <c r="W8" s="289">
        <v>33</v>
      </c>
      <c r="X8" s="289">
        <v>0</v>
      </c>
      <c r="Y8" s="289">
        <v>0</v>
      </c>
      <c r="Z8" s="289">
        <v>0</v>
      </c>
      <c r="AA8" s="287">
        <v>22</v>
      </c>
      <c r="AB8" s="289">
        <v>0</v>
      </c>
      <c r="AC8" s="289">
        <v>0</v>
      </c>
      <c r="AD8" s="289">
        <v>0</v>
      </c>
      <c r="AE8" s="289">
        <v>0</v>
      </c>
      <c r="AF8" s="289">
        <v>0</v>
      </c>
      <c r="AG8" s="286">
        <v>0</v>
      </c>
      <c r="AH8" s="286"/>
      <c r="AI8" s="287"/>
      <c r="AJ8" s="287"/>
      <c r="AK8" s="287"/>
      <c r="AL8" s="287"/>
      <c r="AM8" s="287"/>
      <c r="AN8" s="287"/>
      <c r="AO8" s="286"/>
      <c r="AP8" s="286"/>
      <c r="AQ8" s="286"/>
      <c r="AR8" s="287"/>
      <c r="AS8" s="287"/>
      <c r="AT8" s="172">
        <f t="shared" si="3"/>
        <v>55</v>
      </c>
    </row>
    <row r="9" spans="1:46" s="378" customFormat="1" x14ac:dyDescent="0.35">
      <c r="A9" s="414">
        <v>3</v>
      </c>
      <c r="B9" s="862"/>
      <c r="C9" s="465" t="s">
        <v>329</v>
      </c>
      <c r="D9" s="417">
        <v>200</v>
      </c>
      <c r="E9" s="287">
        <v>200</v>
      </c>
      <c r="F9" s="286">
        <v>200</v>
      </c>
      <c r="G9" s="286">
        <v>200</v>
      </c>
      <c r="H9" s="286">
        <f t="shared" si="0"/>
        <v>0</v>
      </c>
      <c r="I9" s="286">
        <v>9</v>
      </c>
      <c r="J9" s="286">
        <f t="shared" si="4"/>
        <v>9</v>
      </c>
      <c r="K9" s="286">
        <f t="shared" si="1"/>
        <v>191</v>
      </c>
      <c r="L9" s="286">
        <f t="shared" si="2"/>
        <v>4.5</v>
      </c>
      <c r="M9" s="173"/>
      <c r="N9" s="287">
        <v>0</v>
      </c>
      <c r="O9" s="285">
        <v>0</v>
      </c>
      <c r="P9" s="285">
        <v>0</v>
      </c>
      <c r="Q9" s="285">
        <v>0</v>
      </c>
      <c r="R9" s="285">
        <v>0</v>
      </c>
      <c r="S9" s="285">
        <v>0</v>
      </c>
      <c r="T9" s="289">
        <v>0</v>
      </c>
      <c r="U9" s="286">
        <v>0</v>
      </c>
      <c r="V9" s="287">
        <v>0</v>
      </c>
      <c r="W9" s="287">
        <v>0</v>
      </c>
      <c r="X9" s="289">
        <v>0</v>
      </c>
      <c r="Y9" s="289">
        <v>0</v>
      </c>
      <c r="Z9" s="289">
        <v>0</v>
      </c>
      <c r="AA9" s="289">
        <v>0</v>
      </c>
      <c r="AB9" s="289">
        <v>0</v>
      </c>
      <c r="AC9" s="289">
        <v>0</v>
      </c>
      <c r="AD9" s="289">
        <v>0</v>
      </c>
      <c r="AE9" s="289">
        <v>0</v>
      </c>
      <c r="AF9" s="289">
        <v>0</v>
      </c>
      <c r="AG9" s="286">
        <v>0</v>
      </c>
      <c r="AH9" s="286"/>
      <c r="AI9" s="287"/>
      <c r="AJ9" s="287"/>
      <c r="AK9" s="287"/>
      <c r="AL9" s="287"/>
      <c r="AM9" s="287"/>
      <c r="AN9" s="287"/>
      <c r="AO9" s="286"/>
      <c r="AP9" s="286"/>
      <c r="AQ9" s="286"/>
      <c r="AR9" s="287"/>
      <c r="AS9" s="287"/>
      <c r="AT9" s="172">
        <f t="shared" si="3"/>
        <v>0</v>
      </c>
    </row>
    <row r="10" spans="1:46" s="378" customFormat="1" x14ac:dyDescent="0.35">
      <c r="A10" s="866">
        <v>4</v>
      </c>
      <c r="B10" s="862"/>
      <c r="C10" s="465" t="s">
        <v>249</v>
      </c>
      <c r="D10" s="418">
        <v>5000</v>
      </c>
      <c r="E10" s="286">
        <v>8014</v>
      </c>
      <c r="F10" s="286">
        <v>8014</v>
      </c>
      <c r="G10" s="286">
        <v>8014</v>
      </c>
      <c r="H10" s="286">
        <f t="shared" si="0"/>
        <v>0</v>
      </c>
      <c r="I10" s="286">
        <f>1322.98+183+613</f>
        <v>2118.98</v>
      </c>
      <c r="J10" s="286">
        <f t="shared" si="4"/>
        <v>2376.3200000000002</v>
      </c>
      <c r="K10" s="286">
        <f t="shared" si="1"/>
        <v>5637.68</v>
      </c>
      <c r="L10" s="286">
        <f t="shared" si="2"/>
        <v>29.652108809583233</v>
      </c>
      <c r="M10" s="173"/>
      <c r="N10" s="287">
        <v>810</v>
      </c>
      <c r="O10" s="285">
        <v>0</v>
      </c>
      <c r="P10" s="285">
        <v>0</v>
      </c>
      <c r="Q10" s="285">
        <v>0</v>
      </c>
      <c r="R10" s="285">
        <v>0</v>
      </c>
      <c r="S10" s="285">
        <v>2</v>
      </c>
      <c r="T10" s="289">
        <v>0</v>
      </c>
      <c r="U10" s="289">
        <v>13.34</v>
      </c>
      <c r="V10" s="289">
        <v>6</v>
      </c>
      <c r="W10" s="287">
        <v>0</v>
      </c>
      <c r="X10" s="289">
        <v>0</v>
      </c>
      <c r="Y10" s="289">
        <v>0</v>
      </c>
      <c r="Z10" s="287">
        <v>17</v>
      </c>
      <c r="AA10" s="287">
        <v>41</v>
      </c>
      <c r="AB10" s="289">
        <v>0</v>
      </c>
      <c r="AC10" s="287">
        <v>133</v>
      </c>
      <c r="AD10" s="289">
        <v>0</v>
      </c>
      <c r="AE10" s="289">
        <v>0</v>
      </c>
      <c r="AF10" s="289">
        <v>0</v>
      </c>
      <c r="AG10" s="286">
        <v>45</v>
      </c>
      <c r="AH10" s="286"/>
      <c r="AI10" s="287"/>
      <c r="AJ10" s="287"/>
      <c r="AK10" s="287"/>
      <c r="AL10" s="287"/>
      <c r="AM10" s="287"/>
      <c r="AN10" s="287"/>
      <c r="AO10" s="286"/>
      <c r="AP10" s="286"/>
      <c r="AQ10" s="286"/>
      <c r="AR10" s="287"/>
      <c r="AS10" s="287"/>
      <c r="AT10" s="172">
        <f t="shared" si="3"/>
        <v>257.34000000000003</v>
      </c>
    </row>
    <row r="11" spans="1:46" s="378" customFormat="1" x14ac:dyDescent="0.35">
      <c r="A11" s="866"/>
      <c r="B11" s="862"/>
      <c r="C11" s="465" t="s">
        <v>459</v>
      </c>
      <c r="D11" s="417">
        <v>300</v>
      </c>
      <c r="E11" s="287">
        <v>338</v>
      </c>
      <c r="F11" s="286">
        <f>169+169</f>
        <v>338</v>
      </c>
      <c r="G11" s="286">
        <v>338</v>
      </c>
      <c r="H11" s="286">
        <f t="shared" si="0"/>
        <v>0</v>
      </c>
      <c r="I11" s="286">
        <v>0</v>
      </c>
      <c r="J11" s="286">
        <f t="shared" si="4"/>
        <v>0</v>
      </c>
      <c r="K11" s="286">
        <f t="shared" si="1"/>
        <v>338</v>
      </c>
      <c r="L11" s="286">
        <f t="shared" si="2"/>
        <v>0</v>
      </c>
      <c r="M11" s="173"/>
      <c r="N11" s="287">
        <v>0</v>
      </c>
      <c r="O11" s="285">
        <v>0</v>
      </c>
      <c r="P11" s="285">
        <v>0</v>
      </c>
      <c r="Q11" s="285">
        <v>0</v>
      </c>
      <c r="R11" s="285">
        <v>0</v>
      </c>
      <c r="S11" s="285">
        <v>0</v>
      </c>
      <c r="T11" s="289">
        <v>0</v>
      </c>
      <c r="U11" s="289">
        <v>0</v>
      </c>
      <c r="V11" s="287">
        <v>0</v>
      </c>
      <c r="W11" s="287">
        <v>0</v>
      </c>
      <c r="X11" s="289">
        <v>0</v>
      </c>
      <c r="Y11" s="289">
        <v>0</v>
      </c>
      <c r="Z11" s="289">
        <v>0</v>
      </c>
      <c r="AA11" s="289">
        <v>0</v>
      </c>
      <c r="AB11" s="289">
        <v>0</v>
      </c>
      <c r="AC11" s="289">
        <v>0</v>
      </c>
      <c r="AD11" s="289">
        <v>0</v>
      </c>
      <c r="AE11" s="289">
        <v>0</v>
      </c>
      <c r="AF11" s="289">
        <v>0</v>
      </c>
      <c r="AG11" s="286">
        <v>0</v>
      </c>
      <c r="AH11" s="286"/>
      <c r="AI11" s="287"/>
      <c r="AJ11" s="287"/>
      <c r="AK11" s="287"/>
      <c r="AL11" s="287"/>
      <c r="AM11" s="287"/>
      <c r="AN11" s="287"/>
      <c r="AO11" s="286"/>
      <c r="AP11" s="286"/>
      <c r="AQ11" s="286"/>
      <c r="AR11" s="287"/>
      <c r="AS11" s="287"/>
      <c r="AT11" s="172">
        <f t="shared" si="3"/>
        <v>0</v>
      </c>
    </row>
    <row r="12" spans="1:46" s="378" customFormat="1" x14ac:dyDescent="0.35">
      <c r="A12" s="869">
        <v>5</v>
      </c>
      <c r="B12" s="862"/>
      <c r="C12" s="465" t="s">
        <v>460</v>
      </c>
      <c r="D12" s="873">
        <v>1750</v>
      </c>
      <c r="E12" s="288">
        <v>3734</v>
      </c>
      <c r="F12" s="288">
        <v>3734</v>
      </c>
      <c r="G12" s="286">
        <v>3634</v>
      </c>
      <c r="H12" s="286">
        <f t="shared" si="0"/>
        <v>100</v>
      </c>
      <c r="I12" s="286">
        <f>1243+195</f>
        <v>1438</v>
      </c>
      <c r="J12" s="286">
        <f t="shared" si="4"/>
        <v>1887.99</v>
      </c>
      <c r="K12" s="286">
        <f t="shared" si="1"/>
        <v>1846.01</v>
      </c>
      <c r="L12" s="286">
        <f t="shared" si="2"/>
        <v>50.562131762185324</v>
      </c>
      <c r="M12" s="173"/>
      <c r="N12" s="555">
        <v>500</v>
      </c>
      <c r="O12" s="285">
        <v>0</v>
      </c>
      <c r="P12" s="285">
        <v>0</v>
      </c>
      <c r="Q12" s="287">
        <v>0</v>
      </c>
      <c r="R12" s="287">
        <v>157</v>
      </c>
      <c r="S12" s="285">
        <v>0</v>
      </c>
      <c r="T12" s="289">
        <v>0</v>
      </c>
      <c r="U12" s="289">
        <v>0</v>
      </c>
      <c r="V12" s="287">
        <v>0</v>
      </c>
      <c r="W12" s="289">
        <v>149.38999999999999</v>
      </c>
      <c r="X12" s="289">
        <v>61</v>
      </c>
      <c r="Y12" s="289">
        <v>0</v>
      </c>
      <c r="Z12" s="289">
        <v>0</v>
      </c>
      <c r="AA12" s="287">
        <v>31.6</v>
      </c>
      <c r="AB12" s="289">
        <v>0</v>
      </c>
      <c r="AC12" s="287">
        <v>51</v>
      </c>
      <c r="AD12" s="289">
        <v>0</v>
      </c>
      <c r="AE12" s="289">
        <v>0</v>
      </c>
      <c r="AF12" s="289">
        <v>0</v>
      </c>
      <c r="AG12" s="286">
        <v>0</v>
      </c>
      <c r="AH12" s="286"/>
      <c r="AI12" s="287"/>
      <c r="AJ12" s="287"/>
      <c r="AK12" s="287"/>
      <c r="AL12" s="287"/>
      <c r="AM12" s="287"/>
      <c r="AN12" s="287"/>
      <c r="AO12" s="286"/>
      <c r="AP12" s="286"/>
      <c r="AQ12" s="286"/>
      <c r="AR12" s="287"/>
      <c r="AS12" s="287"/>
      <c r="AT12" s="172">
        <f t="shared" si="3"/>
        <v>449.99</v>
      </c>
    </row>
    <row r="13" spans="1:46" s="378" customFormat="1" x14ac:dyDescent="0.35">
      <c r="A13" s="868"/>
      <c r="B13" s="862"/>
      <c r="C13" s="465" t="s">
        <v>461</v>
      </c>
      <c r="D13" s="874"/>
      <c r="E13" s="286">
        <v>20.41</v>
      </c>
      <c r="F13" s="286">
        <v>20.41</v>
      </c>
      <c r="G13" s="286">
        <v>20.41</v>
      </c>
      <c r="H13" s="286">
        <f t="shared" si="0"/>
        <v>0</v>
      </c>
      <c r="I13" s="286">
        <v>0</v>
      </c>
      <c r="J13" s="286">
        <v>0</v>
      </c>
      <c r="K13" s="286">
        <f t="shared" si="1"/>
        <v>20.41</v>
      </c>
      <c r="L13" s="286">
        <f t="shared" si="2"/>
        <v>0</v>
      </c>
      <c r="M13" s="173"/>
      <c r="N13" s="287">
        <v>0</v>
      </c>
      <c r="O13" s="285">
        <v>0</v>
      </c>
      <c r="P13" s="285">
        <v>0</v>
      </c>
      <c r="Q13" s="285">
        <v>0</v>
      </c>
      <c r="R13" s="285">
        <v>0</v>
      </c>
      <c r="S13" s="285">
        <v>0</v>
      </c>
      <c r="T13" s="289">
        <v>0</v>
      </c>
      <c r="U13" s="289">
        <v>0</v>
      </c>
      <c r="V13" s="287">
        <v>0</v>
      </c>
      <c r="W13" s="287">
        <v>0</v>
      </c>
      <c r="X13" s="289">
        <v>0</v>
      </c>
      <c r="Y13" s="289">
        <v>0</v>
      </c>
      <c r="Z13" s="289">
        <v>0</v>
      </c>
      <c r="AA13" s="289">
        <v>0</v>
      </c>
      <c r="AB13" s="289">
        <v>0</v>
      </c>
      <c r="AC13" s="289">
        <v>0</v>
      </c>
      <c r="AD13" s="289">
        <v>0</v>
      </c>
      <c r="AE13" s="289">
        <v>0</v>
      </c>
      <c r="AF13" s="289">
        <v>0</v>
      </c>
      <c r="AG13" s="286">
        <v>0</v>
      </c>
      <c r="AH13" s="286"/>
      <c r="AI13" s="287"/>
      <c r="AJ13" s="287"/>
      <c r="AK13" s="287"/>
      <c r="AL13" s="287"/>
      <c r="AM13" s="287"/>
      <c r="AN13" s="287"/>
      <c r="AO13" s="286"/>
      <c r="AP13" s="286"/>
      <c r="AQ13" s="286"/>
      <c r="AR13" s="287"/>
      <c r="AS13" s="287"/>
      <c r="AT13" s="172">
        <f t="shared" si="3"/>
        <v>0</v>
      </c>
    </row>
    <row r="14" spans="1:46" s="378" customFormat="1" x14ac:dyDescent="0.35">
      <c r="A14" s="414">
        <v>6</v>
      </c>
      <c r="B14" s="862"/>
      <c r="C14" s="464" t="s">
        <v>462</v>
      </c>
      <c r="D14" s="875"/>
      <c r="E14" s="286">
        <v>958</v>
      </c>
      <c r="F14" s="286">
        <v>958</v>
      </c>
      <c r="G14" s="286">
        <v>958</v>
      </c>
      <c r="H14" s="286">
        <f t="shared" si="0"/>
        <v>0</v>
      </c>
      <c r="I14" s="286">
        <v>131.38</v>
      </c>
      <c r="J14" s="286">
        <f t="shared" si="4"/>
        <v>131.38</v>
      </c>
      <c r="K14" s="286">
        <f t="shared" si="1"/>
        <v>826.62</v>
      </c>
      <c r="L14" s="286">
        <f t="shared" si="2"/>
        <v>13.713987473903966</v>
      </c>
      <c r="M14" s="173"/>
      <c r="N14" s="287">
        <v>0</v>
      </c>
      <c r="O14" s="285">
        <v>0</v>
      </c>
      <c r="P14" s="285">
        <v>0</v>
      </c>
      <c r="Q14" s="285">
        <v>0</v>
      </c>
      <c r="R14" s="285">
        <v>0</v>
      </c>
      <c r="S14" s="285">
        <v>0</v>
      </c>
      <c r="T14" s="289">
        <v>0</v>
      </c>
      <c r="U14" s="289">
        <v>0</v>
      </c>
      <c r="V14" s="287">
        <v>0</v>
      </c>
      <c r="W14" s="287">
        <v>0</v>
      </c>
      <c r="X14" s="289">
        <v>0</v>
      </c>
      <c r="Y14" s="289">
        <v>0</v>
      </c>
      <c r="Z14" s="289">
        <v>0</v>
      </c>
      <c r="AA14" s="289">
        <v>0</v>
      </c>
      <c r="AB14" s="289">
        <v>0</v>
      </c>
      <c r="AC14" s="289">
        <v>0</v>
      </c>
      <c r="AD14" s="289">
        <v>0</v>
      </c>
      <c r="AE14" s="289">
        <v>0</v>
      </c>
      <c r="AF14" s="289">
        <v>0</v>
      </c>
      <c r="AG14" s="286">
        <v>0</v>
      </c>
      <c r="AH14" s="286"/>
      <c r="AI14" s="287"/>
      <c r="AJ14" s="287"/>
      <c r="AK14" s="287"/>
      <c r="AL14" s="287"/>
      <c r="AM14" s="287"/>
      <c r="AN14" s="287"/>
      <c r="AO14" s="286"/>
      <c r="AP14" s="286"/>
      <c r="AQ14" s="286"/>
      <c r="AR14" s="287"/>
      <c r="AS14" s="287"/>
      <c r="AT14" s="172">
        <f t="shared" si="3"/>
        <v>0</v>
      </c>
    </row>
    <row r="15" spans="1:46" s="378" customFormat="1" x14ac:dyDescent="0.35">
      <c r="A15" s="869">
        <v>7</v>
      </c>
      <c r="B15" s="862"/>
      <c r="C15" s="464" t="s">
        <v>463</v>
      </c>
      <c r="D15" s="873">
        <v>9600</v>
      </c>
      <c r="E15" s="287">
        <v>5232</v>
      </c>
      <c r="F15" s="287">
        <v>5082</v>
      </c>
      <c r="G15" s="286">
        <v>5082</v>
      </c>
      <c r="H15" s="286">
        <f t="shared" si="0"/>
        <v>150</v>
      </c>
      <c r="I15" s="286">
        <v>4742</v>
      </c>
      <c r="J15" s="286">
        <f t="shared" si="4"/>
        <v>4801.5</v>
      </c>
      <c r="K15" s="286">
        <f t="shared" si="1"/>
        <v>430.5</v>
      </c>
      <c r="L15" s="286">
        <f t="shared" si="2"/>
        <v>91.771788990825684</v>
      </c>
      <c r="M15" s="173"/>
      <c r="N15" s="555">
        <v>150</v>
      </c>
      <c r="O15" s="285">
        <v>0</v>
      </c>
      <c r="P15" s="285">
        <v>0</v>
      </c>
      <c r="Q15" s="285">
        <v>0</v>
      </c>
      <c r="R15" s="285">
        <v>0</v>
      </c>
      <c r="S15" s="285">
        <v>0</v>
      </c>
      <c r="T15" s="289">
        <v>0.6</v>
      </c>
      <c r="U15" s="289">
        <v>41</v>
      </c>
      <c r="V15" s="289">
        <v>10</v>
      </c>
      <c r="W15" s="287">
        <v>0</v>
      </c>
      <c r="X15" s="289">
        <v>0</v>
      </c>
      <c r="Y15" s="289">
        <v>0</v>
      </c>
      <c r="Z15" s="287">
        <v>2</v>
      </c>
      <c r="AA15" s="289">
        <v>0</v>
      </c>
      <c r="AB15" s="289">
        <v>0</v>
      </c>
      <c r="AC15" s="287">
        <v>1.6</v>
      </c>
      <c r="AD15" s="289">
        <v>0</v>
      </c>
      <c r="AE15" s="289">
        <v>0</v>
      </c>
      <c r="AF15" s="289">
        <v>0</v>
      </c>
      <c r="AG15" s="286">
        <v>4.3</v>
      </c>
      <c r="AH15" s="286"/>
      <c r="AI15" s="287"/>
      <c r="AJ15" s="287"/>
      <c r="AK15" s="287"/>
      <c r="AL15" s="287"/>
      <c r="AM15" s="287"/>
      <c r="AN15" s="287"/>
      <c r="AO15" s="286"/>
      <c r="AP15" s="286"/>
      <c r="AQ15" s="286"/>
      <c r="AR15" s="287"/>
      <c r="AS15" s="287"/>
      <c r="AT15" s="172">
        <f t="shared" si="3"/>
        <v>59.5</v>
      </c>
    </row>
    <row r="16" spans="1:46" s="378" customFormat="1" x14ac:dyDescent="0.35">
      <c r="A16" s="867"/>
      <c r="B16" s="862"/>
      <c r="C16" s="464" t="s">
        <v>464</v>
      </c>
      <c r="D16" s="874"/>
      <c r="E16" s="287">
        <v>1315</v>
      </c>
      <c r="F16" s="287">
        <v>1315</v>
      </c>
      <c r="G16" s="286">
        <v>1315</v>
      </c>
      <c r="H16" s="286">
        <f t="shared" si="0"/>
        <v>0</v>
      </c>
      <c r="I16" s="286">
        <v>127</v>
      </c>
      <c r="J16" s="286">
        <f t="shared" si="4"/>
        <v>193</v>
      </c>
      <c r="K16" s="286">
        <f t="shared" si="1"/>
        <v>1122</v>
      </c>
      <c r="L16" s="286">
        <f t="shared" si="2"/>
        <v>14.67680608365019</v>
      </c>
      <c r="M16" s="173"/>
      <c r="N16" s="287">
        <v>160</v>
      </c>
      <c r="O16" s="285">
        <v>0</v>
      </c>
      <c r="P16" s="285">
        <v>0</v>
      </c>
      <c r="Q16" s="285">
        <v>0</v>
      </c>
      <c r="R16" s="285">
        <v>0</v>
      </c>
      <c r="S16" s="285">
        <v>0</v>
      </c>
      <c r="T16" s="289">
        <v>10</v>
      </c>
      <c r="U16" s="289">
        <v>0</v>
      </c>
      <c r="V16" s="287">
        <v>0</v>
      </c>
      <c r="W16" s="287">
        <v>0</v>
      </c>
      <c r="X16" s="289">
        <v>10</v>
      </c>
      <c r="Y16" s="289">
        <v>0</v>
      </c>
      <c r="Z16" s="287">
        <v>16</v>
      </c>
      <c r="AA16" s="287">
        <v>5</v>
      </c>
      <c r="AB16" s="289">
        <v>0</v>
      </c>
      <c r="AC16" s="287">
        <v>15</v>
      </c>
      <c r="AD16" s="289">
        <v>0</v>
      </c>
      <c r="AE16" s="289">
        <v>0</v>
      </c>
      <c r="AF16" s="289">
        <v>0</v>
      </c>
      <c r="AG16" s="286">
        <v>10</v>
      </c>
      <c r="AH16" s="286"/>
      <c r="AI16" s="287"/>
      <c r="AJ16" s="287"/>
      <c r="AK16" s="287"/>
      <c r="AL16" s="287"/>
      <c r="AM16" s="287"/>
      <c r="AN16" s="287"/>
      <c r="AO16" s="286"/>
      <c r="AP16" s="286"/>
      <c r="AQ16" s="286"/>
      <c r="AR16" s="287"/>
      <c r="AS16" s="287"/>
      <c r="AT16" s="172">
        <f t="shared" si="3"/>
        <v>66</v>
      </c>
    </row>
    <row r="17" spans="1:46" s="378" customFormat="1" x14ac:dyDescent="0.35">
      <c r="A17" s="867"/>
      <c r="B17" s="862"/>
      <c r="C17" s="464" t="s">
        <v>465</v>
      </c>
      <c r="D17" s="874"/>
      <c r="E17" s="287">
        <v>1120</v>
      </c>
      <c r="F17" s="287">
        <v>1120</v>
      </c>
      <c r="G17" s="286">
        <v>1120</v>
      </c>
      <c r="H17" s="286">
        <f t="shared" si="0"/>
        <v>0</v>
      </c>
      <c r="I17" s="286">
        <v>625</v>
      </c>
      <c r="J17" s="286">
        <f t="shared" si="4"/>
        <v>687</v>
      </c>
      <c r="K17" s="286">
        <f t="shared" si="1"/>
        <v>433</v>
      </c>
      <c r="L17" s="286">
        <f t="shared" si="2"/>
        <v>61.339285714285715</v>
      </c>
      <c r="M17" s="173"/>
      <c r="N17" s="555">
        <v>150</v>
      </c>
      <c r="O17" s="285">
        <v>35</v>
      </c>
      <c r="P17" s="287">
        <v>0</v>
      </c>
      <c r="Q17" s="285">
        <v>0</v>
      </c>
      <c r="R17" s="285">
        <v>0</v>
      </c>
      <c r="S17" s="285">
        <v>12</v>
      </c>
      <c r="T17" s="289">
        <v>0</v>
      </c>
      <c r="U17" s="289">
        <v>0</v>
      </c>
      <c r="V17" s="289">
        <v>3</v>
      </c>
      <c r="W17" s="287">
        <v>0</v>
      </c>
      <c r="X17" s="289">
        <v>5</v>
      </c>
      <c r="Y17" s="289">
        <v>0</v>
      </c>
      <c r="Z17" s="289">
        <v>0</v>
      </c>
      <c r="AA17" s="289">
        <v>0</v>
      </c>
      <c r="AB17" s="289">
        <v>0</v>
      </c>
      <c r="AC17" s="287">
        <v>7</v>
      </c>
      <c r="AD17" s="289">
        <v>0</v>
      </c>
      <c r="AE17" s="289">
        <v>0</v>
      </c>
      <c r="AF17" s="289">
        <v>0</v>
      </c>
      <c r="AG17" s="286">
        <v>0</v>
      </c>
      <c r="AH17" s="286"/>
      <c r="AI17" s="287"/>
      <c r="AJ17" s="287"/>
      <c r="AK17" s="287"/>
      <c r="AL17" s="287"/>
      <c r="AM17" s="287"/>
      <c r="AN17" s="287"/>
      <c r="AO17" s="286"/>
      <c r="AP17" s="286"/>
      <c r="AQ17" s="286"/>
      <c r="AR17" s="287"/>
      <c r="AS17" s="287"/>
      <c r="AT17" s="172">
        <f t="shared" si="3"/>
        <v>62</v>
      </c>
    </row>
    <row r="18" spans="1:46" s="378" customFormat="1" x14ac:dyDescent="0.35">
      <c r="A18" s="867"/>
      <c r="B18" s="862"/>
      <c r="C18" s="464" t="s">
        <v>466</v>
      </c>
      <c r="D18" s="874"/>
      <c r="E18" s="287">
        <v>145</v>
      </c>
      <c r="F18" s="287">
        <v>145</v>
      </c>
      <c r="G18" s="286">
        <v>145</v>
      </c>
      <c r="H18" s="286">
        <f t="shared" si="0"/>
        <v>0</v>
      </c>
      <c r="I18" s="286">
        <v>5</v>
      </c>
      <c r="J18" s="286">
        <f t="shared" si="4"/>
        <v>5</v>
      </c>
      <c r="K18" s="286">
        <f t="shared" si="1"/>
        <v>140</v>
      </c>
      <c r="L18" s="286">
        <f t="shared" si="2"/>
        <v>3.4482758620689653</v>
      </c>
      <c r="M18" s="173"/>
      <c r="N18" s="287">
        <v>50</v>
      </c>
      <c r="O18" s="285">
        <v>0</v>
      </c>
      <c r="P18" s="287">
        <v>0</v>
      </c>
      <c r="Q18" s="285">
        <v>0</v>
      </c>
      <c r="R18" s="285">
        <v>0</v>
      </c>
      <c r="S18" s="285">
        <v>0</v>
      </c>
      <c r="T18" s="289">
        <v>0</v>
      </c>
      <c r="U18" s="289">
        <v>0</v>
      </c>
      <c r="V18" s="289">
        <v>0</v>
      </c>
      <c r="W18" s="287">
        <v>0</v>
      </c>
      <c r="X18" s="289">
        <v>0</v>
      </c>
      <c r="Y18" s="289">
        <v>0</v>
      </c>
      <c r="Z18" s="289">
        <v>0</v>
      </c>
      <c r="AA18" s="289">
        <v>0</v>
      </c>
      <c r="AB18" s="289">
        <v>0</v>
      </c>
      <c r="AC18" s="289">
        <v>0</v>
      </c>
      <c r="AD18" s="289">
        <v>0</v>
      </c>
      <c r="AE18" s="289">
        <v>0</v>
      </c>
      <c r="AF18" s="289">
        <v>0</v>
      </c>
      <c r="AG18" s="286">
        <v>0</v>
      </c>
      <c r="AH18" s="286"/>
      <c r="AI18" s="287"/>
      <c r="AJ18" s="287"/>
      <c r="AK18" s="287"/>
      <c r="AL18" s="287"/>
      <c r="AM18" s="287"/>
      <c r="AN18" s="287"/>
      <c r="AO18" s="286"/>
      <c r="AP18" s="286"/>
      <c r="AQ18" s="286"/>
      <c r="AR18" s="287"/>
      <c r="AS18" s="287"/>
      <c r="AT18" s="172">
        <f t="shared" si="3"/>
        <v>0</v>
      </c>
    </row>
    <row r="19" spans="1:46" s="378" customFormat="1" x14ac:dyDescent="0.35">
      <c r="A19" s="867"/>
      <c r="B19" s="862"/>
      <c r="C19" s="464" t="s">
        <v>467</v>
      </c>
      <c r="D19" s="874"/>
      <c r="E19" s="287">
        <v>632</v>
      </c>
      <c r="F19" s="287">
        <v>632</v>
      </c>
      <c r="G19" s="286">
        <v>259</v>
      </c>
      <c r="H19" s="286">
        <f t="shared" si="0"/>
        <v>373</v>
      </c>
      <c r="I19" s="286">
        <v>260</v>
      </c>
      <c r="J19" s="286">
        <f t="shared" si="4"/>
        <v>260</v>
      </c>
      <c r="K19" s="286">
        <f t="shared" si="1"/>
        <v>372</v>
      </c>
      <c r="L19" s="286">
        <f t="shared" si="2"/>
        <v>41.139240506329116</v>
      </c>
      <c r="M19" s="173"/>
      <c r="N19" s="555">
        <v>0</v>
      </c>
      <c r="O19" s="285">
        <v>0</v>
      </c>
      <c r="P19" s="287">
        <v>0</v>
      </c>
      <c r="Q19" s="285">
        <v>0</v>
      </c>
      <c r="R19" s="285">
        <v>0</v>
      </c>
      <c r="S19" s="285">
        <v>0</v>
      </c>
      <c r="T19" s="289">
        <v>0</v>
      </c>
      <c r="U19" s="289">
        <v>0</v>
      </c>
      <c r="V19" s="289">
        <v>0</v>
      </c>
      <c r="W19" s="287">
        <v>0</v>
      </c>
      <c r="X19" s="289">
        <v>0</v>
      </c>
      <c r="Y19" s="289">
        <v>0</v>
      </c>
      <c r="Z19" s="289">
        <v>0</v>
      </c>
      <c r="AA19" s="289">
        <v>0</v>
      </c>
      <c r="AB19" s="289">
        <v>0</v>
      </c>
      <c r="AC19" s="289">
        <v>0</v>
      </c>
      <c r="AD19" s="289">
        <v>0</v>
      </c>
      <c r="AE19" s="289">
        <v>0</v>
      </c>
      <c r="AF19" s="289">
        <v>0</v>
      </c>
      <c r="AG19" s="286">
        <v>0</v>
      </c>
      <c r="AH19" s="286"/>
      <c r="AI19" s="287"/>
      <c r="AJ19" s="287"/>
      <c r="AK19" s="287"/>
      <c r="AL19" s="287"/>
      <c r="AM19" s="287"/>
      <c r="AN19" s="287"/>
      <c r="AO19" s="286"/>
      <c r="AP19" s="286"/>
      <c r="AQ19" s="286"/>
      <c r="AR19" s="287"/>
      <c r="AS19" s="287"/>
      <c r="AT19" s="172">
        <f t="shared" si="3"/>
        <v>0</v>
      </c>
    </row>
    <row r="20" spans="1:46" s="378" customFormat="1" x14ac:dyDescent="0.35">
      <c r="A20" s="867"/>
      <c r="B20" s="862"/>
      <c r="C20" s="464" t="s">
        <v>468</v>
      </c>
      <c r="D20" s="874"/>
      <c r="E20" s="287">
        <v>1514</v>
      </c>
      <c r="F20" s="287">
        <v>1514</v>
      </c>
      <c r="G20" s="286">
        <v>1514</v>
      </c>
      <c r="H20" s="286">
        <f t="shared" si="0"/>
        <v>0</v>
      </c>
      <c r="I20" s="286">
        <v>90</v>
      </c>
      <c r="J20" s="286">
        <f t="shared" si="4"/>
        <v>134</v>
      </c>
      <c r="K20" s="286">
        <f t="shared" si="1"/>
        <v>1380</v>
      </c>
      <c r="L20" s="286">
        <f t="shared" si="2"/>
        <v>8.8507265521796565</v>
      </c>
      <c r="M20" s="173"/>
      <c r="N20" s="555">
        <v>80</v>
      </c>
      <c r="O20" s="285">
        <v>0</v>
      </c>
      <c r="P20" s="287">
        <v>0</v>
      </c>
      <c r="Q20" s="287">
        <v>0</v>
      </c>
      <c r="R20" s="287">
        <v>23</v>
      </c>
      <c r="S20" s="285">
        <v>0</v>
      </c>
      <c r="T20" s="289">
        <v>0</v>
      </c>
      <c r="U20" s="289">
        <v>0</v>
      </c>
      <c r="V20" s="289">
        <v>0</v>
      </c>
      <c r="W20" s="287">
        <v>0</v>
      </c>
      <c r="X20" s="289">
        <v>0</v>
      </c>
      <c r="Y20" s="289">
        <v>0</v>
      </c>
      <c r="Z20" s="289">
        <v>0</v>
      </c>
      <c r="AA20" s="289">
        <v>0</v>
      </c>
      <c r="AB20" s="289">
        <v>0</v>
      </c>
      <c r="AC20" s="287">
        <v>21</v>
      </c>
      <c r="AD20" s="289">
        <v>0</v>
      </c>
      <c r="AE20" s="289">
        <v>0</v>
      </c>
      <c r="AF20" s="289">
        <v>0</v>
      </c>
      <c r="AG20" s="286">
        <v>0</v>
      </c>
      <c r="AH20" s="286"/>
      <c r="AI20" s="287"/>
      <c r="AJ20" s="287"/>
      <c r="AK20" s="287"/>
      <c r="AL20" s="287"/>
      <c r="AM20" s="287"/>
      <c r="AN20" s="287"/>
      <c r="AO20" s="286"/>
      <c r="AP20" s="286"/>
      <c r="AQ20" s="286"/>
      <c r="AR20" s="287"/>
      <c r="AS20" s="287"/>
      <c r="AT20" s="172">
        <f t="shared" si="3"/>
        <v>44</v>
      </c>
    </row>
    <row r="21" spans="1:46" s="378" customFormat="1" x14ac:dyDescent="0.35">
      <c r="A21" s="868"/>
      <c r="B21" s="862"/>
      <c r="C21" s="464" t="s">
        <v>469</v>
      </c>
      <c r="D21" s="875"/>
      <c r="E21" s="285">
        <v>1500</v>
      </c>
      <c r="F21" s="285">
        <f>176+118+176+125+131</f>
        <v>726</v>
      </c>
      <c r="G21" s="286">
        <v>356</v>
      </c>
      <c r="H21" s="286">
        <f t="shared" si="0"/>
        <v>1144</v>
      </c>
      <c r="I21" s="286">
        <v>0</v>
      </c>
      <c r="J21" s="286">
        <f>I21+AT21</f>
        <v>0</v>
      </c>
      <c r="K21" s="286">
        <f t="shared" si="1"/>
        <v>1500</v>
      </c>
      <c r="L21" s="286">
        <f t="shared" si="2"/>
        <v>0</v>
      </c>
      <c r="M21" s="173"/>
      <c r="N21" s="287">
        <v>0</v>
      </c>
      <c r="O21" s="285">
        <v>0</v>
      </c>
      <c r="P21" s="287">
        <v>0</v>
      </c>
      <c r="Q21" s="285">
        <v>0</v>
      </c>
      <c r="R21" s="285">
        <v>0</v>
      </c>
      <c r="S21" s="285">
        <v>0</v>
      </c>
      <c r="T21" s="289">
        <v>0</v>
      </c>
      <c r="U21" s="289">
        <v>0</v>
      </c>
      <c r="V21" s="289">
        <v>0</v>
      </c>
      <c r="W21" s="287">
        <v>0</v>
      </c>
      <c r="X21" s="289">
        <v>0</v>
      </c>
      <c r="Y21" s="289">
        <v>0</v>
      </c>
      <c r="Z21" s="289">
        <v>0</v>
      </c>
      <c r="AA21" s="289">
        <v>0</v>
      </c>
      <c r="AB21" s="289">
        <v>0</v>
      </c>
      <c r="AC21" s="289">
        <v>0</v>
      </c>
      <c r="AD21" s="289">
        <v>0</v>
      </c>
      <c r="AE21" s="289">
        <v>0</v>
      </c>
      <c r="AF21" s="289">
        <v>0</v>
      </c>
      <c r="AG21" s="286">
        <v>0</v>
      </c>
      <c r="AH21" s="286"/>
      <c r="AI21" s="287"/>
      <c r="AJ21" s="287"/>
      <c r="AK21" s="287"/>
      <c r="AL21" s="287"/>
      <c r="AM21" s="287"/>
      <c r="AN21" s="287"/>
      <c r="AO21" s="286"/>
      <c r="AP21" s="286"/>
      <c r="AQ21" s="286"/>
      <c r="AR21" s="287"/>
      <c r="AS21" s="287"/>
      <c r="AT21" s="172">
        <f t="shared" si="3"/>
        <v>0</v>
      </c>
    </row>
    <row r="22" spans="1:46" s="378" customFormat="1" x14ac:dyDescent="0.35">
      <c r="A22" s="414">
        <v>8</v>
      </c>
      <c r="B22" s="862"/>
      <c r="C22" s="465" t="s">
        <v>470</v>
      </c>
      <c r="D22" s="419">
        <v>600</v>
      </c>
      <c r="E22" s="287">
        <v>643</v>
      </c>
      <c r="F22" s="286">
        <v>643</v>
      </c>
      <c r="G22" s="286">
        <v>643.35</v>
      </c>
      <c r="H22" s="286">
        <f t="shared" si="0"/>
        <v>-0.35000000000002274</v>
      </c>
      <c r="I22" s="286">
        <f>468.8+10</f>
        <v>478.8</v>
      </c>
      <c r="J22" s="286">
        <f t="shared" si="4"/>
        <v>480.8</v>
      </c>
      <c r="K22" s="286">
        <f t="shared" si="1"/>
        <v>162.19999999999999</v>
      </c>
      <c r="L22" s="286">
        <f t="shared" si="2"/>
        <v>74.774494556765177</v>
      </c>
      <c r="M22" s="173"/>
      <c r="N22" s="555">
        <v>60</v>
      </c>
      <c r="O22" s="285">
        <v>0</v>
      </c>
      <c r="P22" s="287">
        <v>0</v>
      </c>
      <c r="Q22" s="285">
        <v>0</v>
      </c>
      <c r="R22" s="285">
        <v>0</v>
      </c>
      <c r="S22" s="285">
        <v>0</v>
      </c>
      <c r="T22" s="289">
        <v>0</v>
      </c>
      <c r="U22" s="289">
        <v>0</v>
      </c>
      <c r="V22" s="289">
        <v>0</v>
      </c>
      <c r="W22" s="287">
        <v>0</v>
      </c>
      <c r="X22" s="289">
        <v>0</v>
      </c>
      <c r="Y22" s="289">
        <v>0</v>
      </c>
      <c r="Z22" s="289">
        <v>0</v>
      </c>
      <c r="AA22" s="289">
        <v>0</v>
      </c>
      <c r="AB22" s="289">
        <v>0</v>
      </c>
      <c r="AC22" s="289">
        <v>0</v>
      </c>
      <c r="AD22" s="289">
        <v>0</v>
      </c>
      <c r="AE22" s="289">
        <v>0</v>
      </c>
      <c r="AF22" s="289">
        <v>0</v>
      </c>
      <c r="AG22" s="286">
        <v>2</v>
      </c>
      <c r="AH22" s="286"/>
      <c r="AI22" s="287"/>
      <c r="AJ22" s="287"/>
      <c r="AK22" s="287"/>
      <c r="AL22" s="287"/>
      <c r="AM22" s="287"/>
      <c r="AN22" s="287"/>
      <c r="AO22" s="286"/>
      <c r="AP22" s="286"/>
      <c r="AQ22" s="286"/>
      <c r="AR22" s="287"/>
      <c r="AS22" s="287"/>
      <c r="AT22" s="172">
        <f t="shared" si="3"/>
        <v>2</v>
      </c>
    </row>
    <row r="23" spans="1:46" s="378" customFormat="1" x14ac:dyDescent="0.35">
      <c r="A23" s="414">
        <v>9</v>
      </c>
      <c r="B23" s="862"/>
      <c r="C23" s="465" t="s">
        <v>471</v>
      </c>
      <c r="D23" s="419">
        <v>400</v>
      </c>
      <c r="E23" s="286">
        <v>152.13999999999999</v>
      </c>
      <c r="F23" s="286">
        <v>152.13999999999999</v>
      </c>
      <c r="G23" s="286">
        <v>152.13999999999999</v>
      </c>
      <c r="H23" s="286">
        <f t="shared" si="0"/>
        <v>0</v>
      </c>
      <c r="I23" s="286">
        <v>0</v>
      </c>
      <c r="J23" s="286">
        <f t="shared" si="4"/>
        <v>0</v>
      </c>
      <c r="K23" s="286">
        <f t="shared" si="1"/>
        <v>152.13999999999999</v>
      </c>
      <c r="L23" s="286">
        <f t="shared" si="2"/>
        <v>0</v>
      </c>
      <c r="M23" s="173"/>
      <c r="N23" s="287">
        <v>0</v>
      </c>
      <c r="O23" s="285">
        <v>0</v>
      </c>
      <c r="P23" s="287">
        <v>0</v>
      </c>
      <c r="Q23" s="285">
        <v>0</v>
      </c>
      <c r="R23" s="285">
        <v>0</v>
      </c>
      <c r="S23" s="285">
        <v>0</v>
      </c>
      <c r="T23" s="289">
        <v>0</v>
      </c>
      <c r="U23" s="289">
        <v>0</v>
      </c>
      <c r="V23" s="289">
        <v>0</v>
      </c>
      <c r="W23" s="287">
        <v>0</v>
      </c>
      <c r="X23" s="289">
        <v>0</v>
      </c>
      <c r="Y23" s="289">
        <v>0</v>
      </c>
      <c r="Z23" s="289">
        <v>0</v>
      </c>
      <c r="AA23" s="289">
        <v>0</v>
      </c>
      <c r="AB23" s="289">
        <v>0</v>
      </c>
      <c r="AC23" s="289">
        <v>0</v>
      </c>
      <c r="AD23" s="289">
        <v>0</v>
      </c>
      <c r="AE23" s="289">
        <v>0</v>
      </c>
      <c r="AF23" s="289">
        <v>0</v>
      </c>
      <c r="AG23" s="286">
        <v>0</v>
      </c>
      <c r="AH23" s="286"/>
      <c r="AI23" s="287"/>
      <c r="AJ23" s="287"/>
      <c r="AK23" s="287"/>
      <c r="AL23" s="287"/>
      <c r="AM23" s="287"/>
      <c r="AN23" s="287"/>
      <c r="AO23" s="286"/>
      <c r="AP23" s="286"/>
      <c r="AQ23" s="286"/>
      <c r="AR23" s="287"/>
      <c r="AS23" s="287"/>
      <c r="AT23" s="172">
        <f t="shared" si="3"/>
        <v>0</v>
      </c>
    </row>
    <row r="24" spans="1:46" s="378" customFormat="1" x14ac:dyDescent="0.35">
      <c r="A24" s="414">
        <v>11</v>
      </c>
      <c r="B24" s="862"/>
      <c r="C24" s="465" t="s">
        <v>472</v>
      </c>
      <c r="D24" s="419">
        <v>100</v>
      </c>
      <c r="E24" s="287">
        <v>396</v>
      </c>
      <c r="F24" s="286">
        <v>396</v>
      </c>
      <c r="G24" s="286">
        <v>396.1</v>
      </c>
      <c r="H24" s="286">
        <f t="shared" si="0"/>
        <v>-0.10000000000002274</v>
      </c>
      <c r="I24" s="286">
        <f>16+20</f>
        <v>36</v>
      </c>
      <c r="J24" s="286">
        <f t="shared" si="4"/>
        <v>66</v>
      </c>
      <c r="K24" s="286">
        <f t="shared" si="1"/>
        <v>330</v>
      </c>
      <c r="L24" s="286">
        <f t="shared" si="2"/>
        <v>16.666666666666664</v>
      </c>
      <c r="M24" s="173"/>
      <c r="N24" s="287">
        <v>50</v>
      </c>
      <c r="O24" s="285">
        <v>0</v>
      </c>
      <c r="P24" s="287">
        <v>0</v>
      </c>
      <c r="Q24" s="285">
        <v>0</v>
      </c>
      <c r="R24" s="285">
        <v>0</v>
      </c>
      <c r="S24" s="285">
        <v>0</v>
      </c>
      <c r="T24" s="289">
        <v>0</v>
      </c>
      <c r="U24" s="289">
        <v>0</v>
      </c>
      <c r="V24" s="289">
        <v>0</v>
      </c>
      <c r="W24" s="289">
        <v>30</v>
      </c>
      <c r="X24" s="289">
        <v>0</v>
      </c>
      <c r="Y24" s="289">
        <v>0</v>
      </c>
      <c r="Z24" s="289">
        <v>0</v>
      </c>
      <c r="AA24" s="289">
        <v>0</v>
      </c>
      <c r="AB24" s="289">
        <v>0</v>
      </c>
      <c r="AC24" s="289">
        <v>0</v>
      </c>
      <c r="AD24" s="289">
        <v>0</v>
      </c>
      <c r="AE24" s="289">
        <v>0</v>
      </c>
      <c r="AF24" s="289">
        <v>0</v>
      </c>
      <c r="AG24" s="286">
        <v>0</v>
      </c>
      <c r="AH24" s="286"/>
      <c r="AI24" s="287"/>
      <c r="AJ24" s="287"/>
      <c r="AK24" s="287"/>
      <c r="AL24" s="287"/>
      <c r="AM24" s="287"/>
      <c r="AN24" s="287"/>
      <c r="AO24" s="286"/>
      <c r="AP24" s="286"/>
      <c r="AQ24" s="286"/>
      <c r="AR24" s="287"/>
      <c r="AS24" s="287"/>
      <c r="AT24" s="172">
        <f t="shared" si="3"/>
        <v>30</v>
      </c>
    </row>
    <row r="25" spans="1:46" s="378" customFormat="1" ht="31" x14ac:dyDescent="0.35">
      <c r="A25" s="414">
        <v>12</v>
      </c>
      <c r="B25" s="862"/>
      <c r="C25" s="465" t="s">
        <v>473</v>
      </c>
      <c r="D25" s="419">
        <v>250</v>
      </c>
      <c r="E25" s="621">
        <f>80+178.361</f>
        <v>258.36099999999999</v>
      </c>
      <c r="F25" s="621">
        <f>80+178.361</f>
        <v>258.36099999999999</v>
      </c>
      <c r="G25" s="621">
        <f>80+178.361</f>
        <v>258.36099999999999</v>
      </c>
      <c r="H25" s="286">
        <f t="shared" si="0"/>
        <v>0</v>
      </c>
      <c r="I25" s="286">
        <v>0</v>
      </c>
      <c r="J25" s="286">
        <f t="shared" si="4"/>
        <v>0</v>
      </c>
      <c r="K25" s="286">
        <f t="shared" si="1"/>
        <v>258.36099999999999</v>
      </c>
      <c r="L25" s="286">
        <f t="shared" si="2"/>
        <v>0</v>
      </c>
      <c r="M25" s="173"/>
      <c r="N25" s="287">
        <v>0</v>
      </c>
      <c r="O25" s="285">
        <v>0</v>
      </c>
      <c r="P25" s="287">
        <v>0</v>
      </c>
      <c r="Q25" s="285">
        <v>0</v>
      </c>
      <c r="R25" s="285">
        <v>0</v>
      </c>
      <c r="S25" s="285">
        <v>0</v>
      </c>
      <c r="T25" s="289">
        <v>0</v>
      </c>
      <c r="U25" s="289">
        <v>0</v>
      </c>
      <c r="V25" s="289">
        <v>0</v>
      </c>
      <c r="W25" s="287">
        <v>0</v>
      </c>
      <c r="X25" s="289">
        <v>0</v>
      </c>
      <c r="Y25" s="289">
        <v>0</v>
      </c>
      <c r="Z25" s="289">
        <v>0</v>
      </c>
      <c r="AA25" s="289">
        <v>0</v>
      </c>
      <c r="AB25" s="289">
        <v>0</v>
      </c>
      <c r="AC25" s="289">
        <v>0</v>
      </c>
      <c r="AD25" s="289">
        <v>0</v>
      </c>
      <c r="AE25" s="289">
        <v>0</v>
      </c>
      <c r="AF25" s="289">
        <v>0</v>
      </c>
      <c r="AG25" s="286">
        <v>0</v>
      </c>
      <c r="AH25" s="286"/>
      <c r="AI25" s="287"/>
      <c r="AJ25" s="287"/>
      <c r="AK25" s="287"/>
      <c r="AL25" s="287"/>
      <c r="AM25" s="287"/>
      <c r="AN25" s="287"/>
      <c r="AO25" s="286"/>
      <c r="AP25" s="286"/>
      <c r="AQ25" s="286"/>
      <c r="AR25" s="287"/>
      <c r="AS25" s="287"/>
      <c r="AT25" s="172">
        <f t="shared" si="3"/>
        <v>0</v>
      </c>
    </row>
    <row r="26" spans="1:46" s="378" customFormat="1" x14ac:dyDescent="0.35">
      <c r="A26" s="414">
        <v>14</v>
      </c>
      <c r="B26" s="862"/>
      <c r="C26" s="465" t="s">
        <v>474</v>
      </c>
      <c r="D26" s="419">
        <v>1000</v>
      </c>
      <c r="E26" s="287">
        <v>721</v>
      </c>
      <c r="F26" s="286">
        <v>721</v>
      </c>
      <c r="G26" s="286">
        <v>721</v>
      </c>
      <c r="H26" s="286">
        <f t="shared" si="0"/>
        <v>0</v>
      </c>
      <c r="I26" s="286">
        <v>0</v>
      </c>
      <c r="J26" s="286">
        <f t="shared" si="4"/>
        <v>0</v>
      </c>
      <c r="K26" s="286">
        <f t="shared" si="1"/>
        <v>721</v>
      </c>
      <c r="L26" s="286">
        <f t="shared" si="2"/>
        <v>0</v>
      </c>
      <c r="M26" s="173"/>
      <c r="N26" s="287">
        <v>0</v>
      </c>
      <c r="O26" s="285">
        <v>0</v>
      </c>
      <c r="P26" s="287">
        <v>0</v>
      </c>
      <c r="Q26" s="285">
        <v>0</v>
      </c>
      <c r="R26" s="285">
        <v>0</v>
      </c>
      <c r="S26" s="285">
        <v>0</v>
      </c>
      <c r="T26" s="289">
        <v>0</v>
      </c>
      <c r="U26" s="289">
        <v>0</v>
      </c>
      <c r="V26" s="289">
        <v>0</v>
      </c>
      <c r="W26" s="287">
        <v>0</v>
      </c>
      <c r="X26" s="289">
        <v>0</v>
      </c>
      <c r="Y26" s="289">
        <v>0</v>
      </c>
      <c r="Z26" s="289">
        <v>0</v>
      </c>
      <c r="AA26" s="289">
        <v>0</v>
      </c>
      <c r="AB26" s="289">
        <v>0</v>
      </c>
      <c r="AC26" s="289">
        <v>0</v>
      </c>
      <c r="AD26" s="289">
        <v>0</v>
      </c>
      <c r="AE26" s="289">
        <v>0</v>
      </c>
      <c r="AF26" s="289">
        <v>0</v>
      </c>
      <c r="AG26" s="286">
        <v>0</v>
      </c>
      <c r="AH26" s="286"/>
      <c r="AI26" s="287"/>
      <c r="AJ26" s="287"/>
      <c r="AK26" s="287"/>
      <c r="AL26" s="287"/>
      <c r="AM26" s="287"/>
      <c r="AN26" s="287"/>
      <c r="AO26" s="286"/>
      <c r="AP26" s="286"/>
      <c r="AQ26" s="286"/>
      <c r="AR26" s="287"/>
      <c r="AS26" s="287"/>
      <c r="AT26" s="172">
        <f t="shared" si="3"/>
        <v>0</v>
      </c>
    </row>
    <row r="27" spans="1:46" s="378" customFormat="1" x14ac:dyDescent="0.35">
      <c r="A27" s="414">
        <v>16</v>
      </c>
      <c r="B27" s="862"/>
      <c r="C27" s="465" t="s">
        <v>475</v>
      </c>
      <c r="D27" s="419">
        <v>500</v>
      </c>
      <c r="E27" s="621">
        <f>267.4+42</f>
        <v>309.39999999999998</v>
      </c>
      <c r="F27" s="621">
        <f>267.4+42</f>
        <v>309.39999999999998</v>
      </c>
      <c r="G27" s="621">
        <f>267.4+42</f>
        <v>309.39999999999998</v>
      </c>
      <c r="H27" s="286">
        <f t="shared" si="0"/>
        <v>0</v>
      </c>
      <c r="I27" s="286">
        <v>0</v>
      </c>
      <c r="J27" s="286">
        <f t="shared" si="4"/>
        <v>0</v>
      </c>
      <c r="K27" s="286">
        <f t="shared" si="1"/>
        <v>309.39999999999998</v>
      </c>
      <c r="L27" s="286">
        <f t="shared" si="2"/>
        <v>0</v>
      </c>
      <c r="M27" s="173"/>
      <c r="N27" s="287">
        <v>0</v>
      </c>
      <c r="O27" s="285">
        <v>0</v>
      </c>
      <c r="P27" s="287">
        <v>0</v>
      </c>
      <c r="Q27" s="285">
        <v>0</v>
      </c>
      <c r="R27" s="285">
        <v>0</v>
      </c>
      <c r="S27" s="285">
        <v>0</v>
      </c>
      <c r="T27" s="289">
        <v>0</v>
      </c>
      <c r="U27" s="289">
        <v>0</v>
      </c>
      <c r="V27" s="289">
        <v>0</v>
      </c>
      <c r="W27" s="287">
        <v>0</v>
      </c>
      <c r="X27" s="289">
        <v>0</v>
      </c>
      <c r="Y27" s="289">
        <v>0</v>
      </c>
      <c r="Z27" s="289">
        <v>0</v>
      </c>
      <c r="AA27" s="289">
        <v>0</v>
      </c>
      <c r="AB27" s="289">
        <v>0</v>
      </c>
      <c r="AC27" s="289">
        <v>0</v>
      </c>
      <c r="AD27" s="289">
        <v>0</v>
      </c>
      <c r="AE27" s="289">
        <v>0</v>
      </c>
      <c r="AF27" s="289">
        <v>0</v>
      </c>
      <c r="AG27" s="286">
        <v>0</v>
      </c>
      <c r="AH27" s="286"/>
      <c r="AI27" s="287"/>
      <c r="AJ27" s="287"/>
      <c r="AK27" s="287"/>
      <c r="AL27" s="287"/>
      <c r="AM27" s="287"/>
      <c r="AN27" s="287"/>
      <c r="AO27" s="286"/>
      <c r="AP27" s="286"/>
      <c r="AQ27" s="286"/>
      <c r="AR27" s="287"/>
      <c r="AS27" s="287"/>
      <c r="AT27" s="172">
        <f t="shared" si="3"/>
        <v>0</v>
      </c>
    </row>
    <row r="28" spans="1:46" s="378" customFormat="1" x14ac:dyDescent="0.35">
      <c r="A28" s="339">
        <v>17</v>
      </c>
      <c r="B28" s="862"/>
      <c r="C28" s="465" t="s">
        <v>476</v>
      </c>
      <c r="D28" s="419">
        <v>0</v>
      </c>
      <c r="E28" s="287">
        <v>125</v>
      </c>
      <c r="F28" s="286">
        <v>0</v>
      </c>
      <c r="G28" s="286">
        <v>0</v>
      </c>
      <c r="H28" s="286">
        <f t="shared" si="0"/>
        <v>125</v>
      </c>
      <c r="I28" s="286">
        <v>0</v>
      </c>
      <c r="J28" s="286">
        <f t="shared" si="4"/>
        <v>0</v>
      </c>
      <c r="K28" s="286">
        <f t="shared" si="1"/>
        <v>125</v>
      </c>
      <c r="L28" s="286">
        <f t="shared" si="2"/>
        <v>0</v>
      </c>
      <c r="M28" s="173"/>
      <c r="N28" s="287">
        <v>0</v>
      </c>
      <c r="O28" s="285">
        <v>0</v>
      </c>
      <c r="P28" s="287">
        <v>0</v>
      </c>
      <c r="Q28" s="285">
        <v>0</v>
      </c>
      <c r="R28" s="285">
        <v>0</v>
      </c>
      <c r="S28" s="285">
        <v>0</v>
      </c>
      <c r="T28" s="289">
        <v>0</v>
      </c>
      <c r="U28" s="289">
        <v>0</v>
      </c>
      <c r="V28" s="289">
        <v>0</v>
      </c>
      <c r="W28" s="287">
        <v>0</v>
      </c>
      <c r="X28" s="289">
        <v>0</v>
      </c>
      <c r="Y28" s="289">
        <v>0</v>
      </c>
      <c r="Z28" s="289">
        <v>0</v>
      </c>
      <c r="AA28" s="289">
        <v>0</v>
      </c>
      <c r="AB28" s="289">
        <v>0</v>
      </c>
      <c r="AC28" s="289">
        <v>0</v>
      </c>
      <c r="AD28" s="289">
        <v>0</v>
      </c>
      <c r="AE28" s="289">
        <v>0</v>
      </c>
      <c r="AF28" s="289">
        <v>0</v>
      </c>
      <c r="AG28" s="286">
        <v>0</v>
      </c>
      <c r="AH28" s="286"/>
      <c r="AI28" s="287"/>
      <c r="AJ28" s="287"/>
      <c r="AK28" s="287"/>
      <c r="AL28" s="287"/>
      <c r="AM28" s="287"/>
      <c r="AN28" s="287"/>
      <c r="AO28" s="286"/>
      <c r="AP28" s="286"/>
      <c r="AQ28" s="286"/>
      <c r="AR28" s="287"/>
      <c r="AS28" s="287"/>
      <c r="AT28" s="201">
        <f t="shared" si="3"/>
        <v>0</v>
      </c>
    </row>
    <row r="29" spans="1:46" s="378" customFormat="1" x14ac:dyDescent="0.35">
      <c r="A29" s="414">
        <v>18</v>
      </c>
      <c r="B29" s="862"/>
      <c r="C29" s="466" t="s">
        <v>477</v>
      </c>
      <c r="D29" s="418">
        <v>0</v>
      </c>
      <c r="E29" s="690">
        <v>34</v>
      </c>
      <c r="F29" s="245">
        <v>34</v>
      </c>
      <c r="G29" s="286">
        <v>34</v>
      </c>
      <c r="H29" s="286">
        <f t="shared" si="0"/>
        <v>0</v>
      </c>
      <c r="I29" s="288">
        <v>28</v>
      </c>
      <c r="J29" s="286">
        <f t="shared" si="4"/>
        <v>28</v>
      </c>
      <c r="K29" s="288">
        <f t="shared" si="1"/>
        <v>6</v>
      </c>
      <c r="L29" s="286">
        <f t="shared" si="2"/>
        <v>82.35294117647058</v>
      </c>
      <c r="M29" s="231"/>
      <c r="N29" s="287">
        <v>0</v>
      </c>
      <c r="O29" s="285">
        <v>0</v>
      </c>
      <c r="P29" s="287">
        <v>0</v>
      </c>
      <c r="Q29" s="285">
        <v>0</v>
      </c>
      <c r="R29" s="285">
        <v>0</v>
      </c>
      <c r="S29" s="285">
        <v>0</v>
      </c>
      <c r="T29" s="289">
        <v>0</v>
      </c>
      <c r="U29" s="289">
        <v>0</v>
      </c>
      <c r="V29" s="289">
        <v>0</v>
      </c>
      <c r="W29" s="287">
        <v>0</v>
      </c>
      <c r="X29" s="289">
        <v>0</v>
      </c>
      <c r="Y29" s="289">
        <v>0</v>
      </c>
      <c r="Z29" s="289">
        <v>0</v>
      </c>
      <c r="AA29" s="289">
        <v>0</v>
      </c>
      <c r="AB29" s="289">
        <v>0</v>
      </c>
      <c r="AC29" s="289">
        <v>0</v>
      </c>
      <c r="AD29" s="289">
        <v>0</v>
      </c>
      <c r="AE29" s="289">
        <v>0</v>
      </c>
      <c r="AF29" s="289">
        <v>0</v>
      </c>
      <c r="AG29" s="286">
        <v>0</v>
      </c>
      <c r="AH29" s="696"/>
      <c r="AI29" s="695"/>
      <c r="AJ29" s="695"/>
      <c r="AK29" s="287"/>
      <c r="AL29" s="287"/>
      <c r="AM29" s="287"/>
      <c r="AN29" s="287"/>
      <c r="AO29" s="286"/>
      <c r="AP29" s="286"/>
      <c r="AQ29" s="286"/>
      <c r="AR29" s="287"/>
      <c r="AS29" s="287"/>
      <c r="AT29" s="201">
        <f t="shared" si="3"/>
        <v>0</v>
      </c>
    </row>
    <row r="30" spans="1:46" s="378" customFormat="1" ht="16" thickBot="1" x14ac:dyDescent="0.4">
      <c r="A30" s="414">
        <v>19</v>
      </c>
      <c r="B30" s="862"/>
      <c r="C30" s="466" t="s">
        <v>316</v>
      </c>
      <c r="D30" s="691">
        <v>180</v>
      </c>
      <c r="E30" s="690">
        <v>180</v>
      </c>
      <c r="F30" s="245">
        <v>180</v>
      </c>
      <c r="G30" s="286">
        <v>180</v>
      </c>
      <c r="H30" s="286">
        <f t="shared" si="0"/>
        <v>0</v>
      </c>
      <c r="I30" s="697">
        <v>0</v>
      </c>
      <c r="J30" s="286">
        <f t="shared" si="4"/>
        <v>0</v>
      </c>
      <c r="K30" s="288">
        <f t="shared" si="1"/>
        <v>180</v>
      </c>
      <c r="L30" s="286">
        <f t="shared" si="2"/>
        <v>0</v>
      </c>
      <c r="M30" s="231"/>
      <c r="N30" s="695">
        <v>0</v>
      </c>
      <c r="O30" s="285">
        <v>0</v>
      </c>
      <c r="P30" s="287">
        <v>0</v>
      </c>
      <c r="Q30" s="285">
        <v>0</v>
      </c>
      <c r="R30" s="285">
        <v>0</v>
      </c>
      <c r="S30" s="285">
        <v>0</v>
      </c>
      <c r="T30" s="289">
        <v>0</v>
      </c>
      <c r="U30" s="289">
        <v>0</v>
      </c>
      <c r="V30" s="289">
        <v>0</v>
      </c>
      <c r="W30" s="287">
        <v>0</v>
      </c>
      <c r="X30" s="289">
        <v>0</v>
      </c>
      <c r="Y30" s="289">
        <v>0</v>
      </c>
      <c r="Z30" s="289">
        <v>0</v>
      </c>
      <c r="AA30" s="289">
        <v>0</v>
      </c>
      <c r="AB30" s="289">
        <v>0</v>
      </c>
      <c r="AC30" s="289">
        <v>0</v>
      </c>
      <c r="AD30" s="289">
        <v>0</v>
      </c>
      <c r="AE30" s="289">
        <v>0</v>
      </c>
      <c r="AF30" s="289">
        <v>0</v>
      </c>
      <c r="AG30" s="286">
        <v>0</v>
      </c>
      <c r="AH30" s="696"/>
      <c r="AI30" s="695"/>
      <c r="AJ30" s="695"/>
      <c r="AK30" s="287"/>
      <c r="AL30" s="287"/>
      <c r="AM30" s="287"/>
      <c r="AN30" s="287"/>
      <c r="AO30" s="286"/>
      <c r="AP30" s="286"/>
      <c r="AQ30" s="286"/>
      <c r="AR30" s="287"/>
      <c r="AS30" s="287"/>
      <c r="AT30" s="182"/>
    </row>
    <row r="31" spans="1:46" s="168" customFormat="1" ht="16" thickBot="1" x14ac:dyDescent="0.4">
      <c r="A31" s="209"/>
      <c r="B31" s="863"/>
      <c r="C31" s="210" t="s">
        <v>225</v>
      </c>
      <c r="D31" s="420">
        <f>SUM(D4:D30)</f>
        <v>22880</v>
      </c>
      <c r="E31" s="211">
        <f>SUM(E3:E30)</f>
        <v>31531.451000000001</v>
      </c>
      <c r="F31" s="211">
        <f t="shared" ref="F31:K31" si="5">SUM(F3:F30)</f>
        <v>30482.451000000001</v>
      </c>
      <c r="G31" s="211">
        <f>SUM(G3:G30)</f>
        <v>29639.950999999997</v>
      </c>
      <c r="H31" s="211">
        <f t="shared" si="5"/>
        <v>1891.5</v>
      </c>
      <c r="I31" s="211">
        <f t="shared" si="5"/>
        <v>13375.759999999998</v>
      </c>
      <c r="J31" s="211">
        <f>SUM(J3:J30)</f>
        <v>14426.39</v>
      </c>
      <c r="K31" s="211">
        <f t="shared" si="5"/>
        <v>17105.061000000002</v>
      </c>
      <c r="L31" s="233">
        <f t="shared" si="2"/>
        <v>45.752382280155771</v>
      </c>
      <c r="M31" s="212"/>
      <c r="N31" s="97">
        <f t="shared" ref="N31:AT31" si="6">SUM(N4:N29)</f>
        <v>2316</v>
      </c>
      <c r="O31" s="97">
        <f t="shared" si="6"/>
        <v>35</v>
      </c>
      <c r="P31" s="97">
        <f t="shared" si="6"/>
        <v>0</v>
      </c>
      <c r="Q31" s="97">
        <f t="shared" si="6"/>
        <v>0</v>
      </c>
      <c r="R31" s="97">
        <f t="shared" si="6"/>
        <v>180</v>
      </c>
      <c r="S31" s="97">
        <f t="shared" si="6"/>
        <v>14</v>
      </c>
      <c r="T31" s="257">
        <f t="shared" si="6"/>
        <v>17.850000000000001</v>
      </c>
      <c r="U31" s="257">
        <f t="shared" si="6"/>
        <v>60.59</v>
      </c>
      <c r="V31" s="257">
        <f t="shared" si="6"/>
        <v>21.4</v>
      </c>
      <c r="W31" s="97">
        <f t="shared" si="6"/>
        <v>212.39</v>
      </c>
      <c r="X31" s="97">
        <f t="shared" si="6"/>
        <v>78</v>
      </c>
      <c r="Y31" s="97">
        <f t="shared" si="6"/>
        <v>0</v>
      </c>
      <c r="Z31" s="97">
        <f t="shared" si="6"/>
        <v>35</v>
      </c>
      <c r="AA31" s="741">
        <f t="shared" si="6"/>
        <v>102.6</v>
      </c>
      <c r="AB31" s="97">
        <f t="shared" si="6"/>
        <v>0</v>
      </c>
      <c r="AC31" s="97">
        <f t="shared" si="6"/>
        <v>228.6</v>
      </c>
      <c r="AD31" s="97">
        <f t="shared" si="6"/>
        <v>0</v>
      </c>
      <c r="AE31" s="97">
        <f t="shared" si="6"/>
        <v>0</v>
      </c>
      <c r="AF31" s="97">
        <f t="shared" si="6"/>
        <v>0</v>
      </c>
      <c r="AG31" s="257">
        <f t="shared" si="6"/>
        <v>65.199999999999989</v>
      </c>
      <c r="AH31" s="97">
        <f t="shared" si="6"/>
        <v>0</v>
      </c>
      <c r="AI31" s="97">
        <f t="shared" si="6"/>
        <v>0</v>
      </c>
      <c r="AJ31" s="97">
        <f t="shared" si="6"/>
        <v>0</v>
      </c>
      <c r="AK31" s="97">
        <f t="shared" si="6"/>
        <v>0</v>
      </c>
      <c r="AL31" s="97">
        <f t="shared" si="6"/>
        <v>0</v>
      </c>
      <c r="AM31" s="97">
        <f t="shared" si="6"/>
        <v>0</v>
      </c>
      <c r="AN31" s="97">
        <f t="shared" si="6"/>
        <v>0</v>
      </c>
      <c r="AO31" s="97">
        <f t="shared" si="6"/>
        <v>0</v>
      </c>
      <c r="AP31" s="97">
        <f t="shared" si="6"/>
        <v>0</v>
      </c>
      <c r="AQ31" s="257">
        <f t="shared" si="6"/>
        <v>0</v>
      </c>
      <c r="AR31" s="257">
        <f t="shared" si="6"/>
        <v>0</v>
      </c>
      <c r="AS31" s="257">
        <f t="shared" si="6"/>
        <v>0</v>
      </c>
      <c r="AT31" s="97">
        <f t="shared" si="6"/>
        <v>1050.6300000000001</v>
      </c>
    </row>
    <row r="32" spans="1:46" s="197" customFormat="1" ht="8.15" customHeight="1" x14ac:dyDescent="0.35">
      <c r="A32" s="202"/>
      <c r="B32" s="227"/>
      <c r="C32" s="203"/>
      <c r="D32" s="203"/>
      <c r="E32" s="191"/>
      <c r="F32" s="191"/>
      <c r="G32" s="191"/>
      <c r="H32" s="191"/>
      <c r="I32" s="191"/>
      <c r="J32" s="191"/>
      <c r="K32" s="191"/>
      <c r="L32" s="204"/>
      <c r="M32" s="205"/>
      <c r="N32" s="202"/>
      <c r="O32" s="191"/>
      <c r="P32" s="191"/>
      <c r="Q32" s="191"/>
      <c r="R32" s="191"/>
      <c r="S32" s="191"/>
      <c r="T32" s="191"/>
      <c r="U32" s="206"/>
      <c r="V32" s="206"/>
      <c r="W32" s="191"/>
      <c r="X32" s="206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206"/>
      <c r="AK32" s="191"/>
      <c r="AL32" s="191"/>
      <c r="AM32" s="191"/>
      <c r="AN32" s="191"/>
      <c r="AO32" s="191"/>
      <c r="AP32" s="191"/>
      <c r="AQ32" s="206"/>
      <c r="AR32" s="191"/>
      <c r="AS32" s="207"/>
      <c r="AT32" s="208"/>
    </row>
    <row r="33" spans="1:46" s="176" customFormat="1" ht="16" thickBot="1" x14ac:dyDescent="0.4">
      <c r="A33" s="445">
        <v>1</v>
      </c>
      <c r="B33" s="860" t="s">
        <v>125</v>
      </c>
      <c r="C33" s="446" t="s">
        <v>478</v>
      </c>
      <c r="D33" s="447">
        <v>3000</v>
      </c>
      <c r="E33" s="147">
        <v>4290</v>
      </c>
      <c r="F33" s="147">
        <v>3122</v>
      </c>
      <c r="G33" s="147">
        <v>3122</v>
      </c>
      <c r="H33" s="147">
        <f>E33-G33</f>
        <v>1168</v>
      </c>
      <c r="I33" s="161">
        <v>2548.788</v>
      </c>
      <c r="J33" s="161">
        <f>I33+AT33</f>
        <v>2637.788</v>
      </c>
      <c r="K33" s="161">
        <f>E33-J33</f>
        <v>1652.212</v>
      </c>
      <c r="L33" s="448">
        <f>J33/E33%</f>
        <v>61.486899766899768</v>
      </c>
      <c r="M33" s="449"/>
      <c r="N33" s="445">
        <v>0</v>
      </c>
      <c r="O33" s="147">
        <v>0</v>
      </c>
      <c r="P33" s="147">
        <v>2</v>
      </c>
      <c r="Q33" s="147">
        <v>0</v>
      </c>
      <c r="R33" s="147">
        <v>0</v>
      </c>
      <c r="S33" s="147">
        <v>0</v>
      </c>
      <c r="T33" s="147">
        <v>2</v>
      </c>
      <c r="U33" s="161">
        <v>5</v>
      </c>
      <c r="V33" s="161">
        <v>3</v>
      </c>
      <c r="W33" s="147">
        <v>8</v>
      </c>
      <c r="X33" s="161">
        <v>5</v>
      </c>
      <c r="Y33" s="147">
        <v>0</v>
      </c>
      <c r="Z33" s="147">
        <v>3</v>
      </c>
      <c r="AA33" s="147">
        <v>5</v>
      </c>
      <c r="AB33" s="147">
        <v>8</v>
      </c>
      <c r="AC33" s="147">
        <v>0</v>
      </c>
      <c r="AD33" s="147">
        <v>8</v>
      </c>
      <c r="AE33" s="161">
        <v>0</v>
      </c>
      <c r="AF33" s="161">
        <v>40</v>
      </c>
      <c r="AG33" s="147"/>
      <c r="AH33" s="147"/>
      <c r="AI33" s="450"/>
      <c r="AJ33" s="161"/>
      <c r="AK33" s="147"/>
      <c r="AL33" s="147"/>
      <c r="AM33" s="147"/>
      <c r="AN33" s="147"/>
      <c r="AO33" s="147"/>
      <c r="AP33" s="147"/>
      <c r="AQ33" s="161"/>
      <c r="AR33" s="147"/>
      <c r="AS33" s="451"/>
      <c r="AT33" s="452">
        <f>SUM(O33:AS33)</f>
        <v>89</v>
      </c>
    </row>
    <row r="34" spans="1:46" s="176" customFormat="1" ht="16" thickBot="1" x14ac:dyDescent="0.4">
      <c r="A34" s="453"/>
      <c r="B34" s="861"/>
      <c r="C34" s="454" t="s">
        <v>231</v>
      </c>
      <c r="D34" s="447">
        <f>D33</f>
        <v>3000</v>
      </c>
      <c r="E34" s="455">
        <f>SUM(E33)</f>
        <v>4290</v>
      </c>
      <c r="F34" s="455">
        <f>SUM(F33)</f>
        <v>3122</v>
      </c>
      <c r="G34" s="456">
        <f>SUM(G33)</f>
        <v>3122</v>
      </c>
      <c r="H34" s="457">
        <f>E34-G34</f>
        <v>1168</v>
      </c>
      <c r="I34" s="458">
        <f>I33</f>
        <v>2548.788</v>
      </c>
      <c r="J34" s="459">
        <f>J33</f>
        <v>2637.788</v>
      </c>
      <c r="K34" s="460">
        <f>E34-J34</f>
        <v>1652.212</v>
      </c>
      <c r="L34" s="461">
        <f>J34/E34%</f>
        <v>61.486899766899768</v>
      </c>
      <c r="M34" s="458"/>
      <c r="N34" s="462">
        <f>N33</f>
        <v>0</v>
      </c>
      <c r="O34" s="462">
        <f t="shared" ref="O34:AS34" si="7">O33</f>
        <v>0</v>
      </c>
      <c r="P34" s="462">
        <f t="shared" si="7"/>
        <v>2</v>
      </c>
      <c r="Q34" s="462">
        <f t="shared" si="7"/>
        <v>0</v>
      </c>
      <c r="R34" s="462">
        <f t="shared" si="7"/>
        <v>0</v>
      </c>
      <c r="S34" s="462">
        <f t="shared" si="7"/>
        <v>0</v>
      </c>
      <c r="T34" s="462">
        <f t="shared" si="7"/>
        <v>2</v>
      </c>
      <c r="U34" s="462">
        <f t="shared" si="7"/>
        <v>5</v>
      </c>
      <c r="V34" s="462">
        <f t="shared" si="7"/>
        <v>3</v>
      </c>
      <c r="W34" s="462">
        <f t="shared" si="7"/>
        <v>8</v>
      </c>
      <c r="X34" s="462">
        <f t="shared" si="7"/>
        <v>5</v>
      </c>
      <c r="Y34" s="462">
        <f t="shared" si="7"/>
        <v>0</v>
      </c>
      <c r="Z34" s="462">
        <f t="shared" si="7"/>
        <v>3</v>
      </c>
      <c r="AA34" s="462">
        <f t="shared" si="7"/>
        <v>5</v>
      </c>
      <c r="AB34" s="462">
        <f t="shared" si="7"/>
        <v>8</v>
      </c>
      <c r="AC34" s="462">
        <f t="shared" si="7"/>
        <v>0</v>
      </c>
      <c r="AD34" s="462">
        <f t="shared" si="7"/>
        <v>8</v>
      </c>
      <c r="AE34" s="462">
        <f t="shared" si="7"/>
        <v>0</v>
      </c>
      <c r="AF34" s="462">
        <f t="shared" si="7"/>
        <v>40</v>
      </c>
      <c r="AG34" s="462">
        <f t="shared" si="7"/>
        <v>0</v>
      </c>
      <c r="AH34" s="462">
        <f t="shared" si="7"/>
        <v>0</v>
      </c>
      <c r="AI34" s="462">
        <f t="shared" si="7"/>
        <v>0</v>
      </c>
      <c r="AJ34" s="462">
        <f t="shared" si="7"/>
        <v>0</v>
      </c>
      <c r="AK34" s="462">
        <f t="shared" si="7"/>
        <v>0</v>
      </c>
      <c r="AL34" s="462">
        <f t="shared" si="7"/>
        <v>0</v>
      </c>
      <c r="AM34" s="462">
        <f t="shared" si="7"/>
        <v>0</v>
      </c>
      <c r="AN34" s="462">
        <f t="shared" si="7"/>
        <v>0</v>
      </c>
      <c r="AO34" s="462">
        <f t="shared" si="7"/>
        <v>0</v>
      </c>
      <c r="AP34" s="462">
        <f t="shared" si="7"/>
        <v>0</v>
      </c>
      <c r="AQ34" s="594">
        <f t="shared" si="7"/>
        <v>0</v>
      </c>
      <c r="AR34" s="462">
        <f t="shared" si="7"/>
        <v>0</v>
      </c>
      <c r="AS34" s="462">
        <f t="shared" si="7"/>
        <v>0</v>
      </c>
      <c r="AT34" s="462">
        <f>AT33</f>
        <v>89</v>
      </c>
    </row>
    <row r="35" spans="1:46" s="197" customFormat="1" ht="8.15" customHeight="1" x14ac:dyDescent="0.35">
      <c r="A35" s="202"/>
      <c r="B35" s="227"/>
      <c r="C35" s="203"/>
      <c r="D35" s="203"/>
      <c r="E35" s="191"/>
      <c r="F35" s="191"/>
      <c r="G35" s="191"/>
      <c r="H35" s="191"/>
      <c r="I35" s="191"/>
      <c r="J35" s="191"/>
      <c r="K35" s="191"/>
      <c r="L35" s="204"/>
      <c r="M35" s="205"/>
      <c r="N35" s="202"/>
      <c r="O35" s="191"/>
      <c r="P35" s="191"/>
      <c r="Q35" s="191"/>
      <c r="R35" s="191"/>
      <c r="S35" s="191"/>
      <c r="T35" s="191"/>
      <c r="U35" s="206"/>
      <c r="V35" s="206"/>
      <c r="W35" s="191"/>
      <c r="X35" s="206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206"/>
      <c r="AK35" s="191"/>
      <c r="AL35" s="191"/>
      <c r="AM35" s="191"/>
      <c r="AN35" s="191"/>
      <c r="AO35" s="191"/>
      <c r="AP35" s="191"/>
      <c r="AQ35" s="206"/>
      <c r="AR35" s="191"/>
      <c r="AS35" s="207"/>
      <c r="AT35" s="208"/>
    </row>
    <row r="36" spans="1:46" s="378" customFormat="1" x14ac:dyDescent="0.35">
      <c r="A36" s="425">
        <v>1</v>
      </c>
      <c r="B36" s="864" t="s">
        <v>126</v>
      </c>
      <c r="C36" s="426" t="s">
        <v>316</v>
      </c>
      <c r="D36" s="421">
        <v>800</v>
      </c>
      <c r="E36" s="427">
        <v>800</v>
      </c>
      <c r="F36" s="427">
        <f>94+219+94</f>
        <v>407</v>
      </c>
      <c r="G36" s="427">
        <f>94+219+94</f>
        <v>407</v>
      </c>
      <c r="H36" s="428">
        <f t="shared" ref="H36:H43" si="8">E36-G36</f>
        <v>393</v>
      </c>
      <c r="I36" s="428">
        <v>0</v>
      </c>
      <c r="J36" s="428">
        <f>I36+AT36</f>
        <v>0</v>
      </c>
      <c r="K36" s="428">
        <f t="shared" ref="K36:K44" si="9">E36-J36</f>
        <v>800</v>
      </c>
      <c r="L36" s="429">
        <f t="shared" ref="L36:L44" si="10">J36/E36*100</f>
        <v>0</v>
      </c>
      <c r="M36" s="430"/>
      <c r="N36" s="425">
        <v>0</v>
      </c>
      <c r="O36" s="427">
        <v>0</v>
      </c>
      <c r="P36" s="427">
        <v>0</v>
      </c>
      <c r="Q36" s="427">
        <v>0</v>
      </c>
      <c r="R36" s="427">
        <v>0</v>
      </c>
      <c r="S36" s="427">
        <v>0</v>
      </c>
      <c r="T36" s="427">
        <v>0</v>
      </c>
      <c r="U36" s="427">
        <v>0</v>
      </c>
      <c r="V36" s="428">
        <v>0</v>
      </c>
      <c r="W36" s="428">
        <v>0</v>
      </c>
      <c r="X36" s="428">
        <v>0</v>
      </c>
      <c r="Y36" s="428">
        <v>0</v>
      </c>
      <c r="Z36" s="428">
        <v>0</v>
      </c>
      <c r="AA36" s="428">
        <v>0</v>
      </c>
      <c r="AB36" s="428">
        <v>0</v>
      </c>
      <c r="AC36" s="428">
        <v>0</v>
      </c>
      <c r="AD36" s="428">
        <v>0</v>
      </c>
      <c r="AE36" s="427">
        <v>0</v>
      </c>
      <c r="AF36" s="427">
        <v>0</v>
      </c>
      <c r="AG36" s="427">
        <v>0</v>
      </c>
      <c r="AH36" s="427"/>
      <c r="AI36" s="427"/>
      <c r="AJ36" s="428"/>
      <c r="AK36" s="428"/>
      <c r="AL36" s="428"/>
      <c r="AM36" s="427"/>
      <c r="AN36" s="427"/>
      <c r="AO36" s="427"/>
      <c r="AP36" s="427"/>
      <c r="AQ36" s="428"/>
      <c r="AR36" s="427"/>
      <c r="AS36" s="431"/>
      <c r="AT36" s="432">
        <f>SUM(O36:AS36)</f>
        <v>0</v>
      </c>
    </row>
    <row r="37" spans="1:46" s="378" customFormat="1" ht="31" x14ac:dyDescent="0.35">
      <c r="A37" s="425">
        <v>2</v>
      </c>
      <c r="B37" s="865"/>
      <c r="C37" s="426" t="s">
        <v>479</v>
      </c>
      <c r="D37" s="421">
        <v>750</v>
      </c>
      <c r="E37" s="427">
        <v>770</v>
      </c>
      <c r="F37" s="427">
        <v>770</v>
      </c>
      <c r="G37" s="427">
        <v>770</v>
      </c>
      <c r="H37" s="428">
        <f t="shared" si="8"/>
        <v>0</v>
      </c>
      <c r="I37" s="428">
        <v>774.77</v>
      </c>
      <c r="J37" s="428">
        <f t="shared" ref="J37:J43" si="11">I37+AT37</f>
        <v>774.77</v>
      </c>
      <c r="K37" s="428">
        <f t="shared" si="9"/>
        <v>-4.7699999999999818</v>
      </c>
      <c r="L37" s="429">
        <f t="shared" si="10"/>
        <v>100.6194805194805</v>
      </c>
      <c r="M37" s="430"/>
      <c r="N37" s="425">
        <v>0</v>
      </c>
      <c r="O37" s="427">
        <v>0</v>
      </c>
      <c r="P37" s="427">
        <v>0</v>
      </c>
      <c r="Q37" s="427">
        <v>0</v>
      </c>
      <c r="R37" s="427">
        <v>0</v>
      </c>
      <c r="S37" s="427">
        <v>0</v>
      </c>
      <c r="T37" s="427">
        <v>0</v>
      </c>
      <c r="U37" s="427">
        <v>0</v>
      </c>
      <c r="V37" s="428">
        <v>0</v>
      </c>
      <c r="W37" s="428">
        <v>0</v>
      </c>
      <c r="X37" s="428">
        <v>0</v>
      </c>
      <c r="Y37" s="428">
        <v>0</v>
      </c>
      <c r="Z37" s="428">
        <v>0</v>
      </c>
      <c r="AA37" s="428">
        <v>0</v>
      </c>
      <c r="AB37" s="428">
        <v>0</v>
      </c>
      <c r="AC37" s="428">
        <v>0</v>
      </c>
      <c r="AD37" s="428">
        <v>0</v>
      </c>
      <c r="AE37" s="427">
        <v>0</v>
      </c>
      <c r="AF37" s="428">
        <v>0</v>
      </c>
      <c r="AG37" s="428">
        <v>0</v>
      </c>
      <c r="AH37" s="427"/>
      <c r="AI37" s="427"/>
      <c r="AJ37" s="428"/>
      <c r="AK37" s="428"/>
      <c r="AL37" s="428"/>
      <c r="AM37" s="427"/>
      <c r="AN37" s="427"/>
      <c r="AO37" s="427"/>
      <c r="AP37" s="427"/>
      <c r="AQ37" s="428"/>
      <c r="AR37" s="427"/>
      <c r="AS37" s="431"/>
      <c r="AT37" s="429">
        <f>SUM(O37:AS37)</f>
        <v>0</v>
      </c>
    </row>
    <row r="38" spans="1:46" s="378" customFormat="1" ht="31" x14ac:dyDescent="0.35">
      <c r="A38" s="425">
        <v>4</v>
      </c>
      <c r="B38" s="865"/>
      <c r="C38" s="426" t="s">
        <v>480</v>
      </c>
      <c r="D38" s="421">
        <v>250</v>
      </c>
      <c r="E38" s="421">
        <v>252</v>
      </c>
      <c r="F38" s="421">
        <v>252</v>
      </c>
      <c r="G38" s="421">
        <v>252</v>
      </c>
      <c r="H38" s="428">
        <f t="shared" si="8"/>
        <v>0</v>
      </c>
      <c r="I38" s="428">
        <v>0</v>
      </c>
      <c r="J38" s="428">
        <f t="shared" si="11"/>
        <v>0</v>
      </c>
      <c r="K38" s="428">
        <f t="shared" si="9"/>
        <v>252</v>
      </c>
      <c r="L38" s="429">
        <f t="shared" si="10"/>
        <v>0</v>
      </c>
      <c r="M38" s="430"/>
      <c r="N38" s="425">
        <v>0</v>
      </c>
      <c r="O38" s="427">
        <v>0</v>
      </c>
      <c r="P38" s="427">
        <v>0</v>
      </c>
      <c r="Q38" s="427">
        <v>0</v>
      </c>
      <c r="R38" s="427">
        <v>0</v>
      </c>
      <c r="S38" s="427">
        <v>0</v>
      </c>
      <c r="T38" s="427">
        <v>0</v>
      </c>
      <c r="U38" s="427">
        <v>0</v>
      </c>
      <c r="V38" s="428">
        <v>0</v>
      </c>
      <c r="W38" s="428">
        <v>0</v>
      </c>
      <c r="X38" s="428">
        <v>0</v>
      </c>
      <c r="Y38" s="428">
        <v>0</v>
      </c>
      <c r="Z38" s="428">
        <v>0</v>
      </c>
      <c r="AA38" s="428">
        <v>0</v>
      </c>
      <c r="AB38" s="428">
        <v>0</v>
      </c>
      <c r="AC38" s="428">
        <v>0</v>
      </c>
      <c r="AD38" s="428">
        <v>0</v>
      </c>
      <c r="AE38" s="427">
        <v>0</v>
      </c>
      <c r="AF38" s="428">
        <v>0</v>
      </c>
      <c r="AG38" s="428">
        <v>0</v>
      </c>
      <c r="AH38" s="427"/>
      <c r="AI38" s="427"/>
      <c r="AJ38" s="428"/>
      <c r="AK38" s="428"/>
      <c r="AL38" s="428"/>
      <c r="AM38" s="427"/>
      <c r="AN38" s="427"/>
      <c r="AO38" s="427"/>
      <c r="AP38" s="427"/>
      <c r="AQ38" s="428"/>
      <c r="AR38" s="427"/>
      <c r="AS38" s="431"/>
      <c r="AT38" s="432">
        <f>SUM(O38:AS38)</f>
        <v>0</v>
      </c>
    </row>
    <row r="39" spans="1:46" s="378" customFormat="1" x14ac:dyDescent="0.35">
      <c r="A39" s="425">
        <v>5</v>
      </c>
      <c r="B39" s="865"/>
      <c r="C39" s="426" t="s">
        <v>398</v>
      </c>
      <c r="D39" s="421">
        <v>2600</v>
      </c>
      <c r="E39" s="427">
        <v>1400</v>
      </c>
      <c r="F39" s="427">
        <v>1400</v>
      </c>
      <c r="G39" s="427">
        <v>1400</v>
      </c>
      <c r="H39" s="428">
        <f t="shared" si="8"/>
        <v>0</v>
      </c>
      <c r="I39" s="428">
        <v>0</v>
      </c>
      <c r="J39" s="428">
        <f t="shared" si="11"/>
        <v>0</v>
      </c>
      <c r="K39" s="428">
        <f t="shared" si="9"/>
        <v>1400</v>
      </c>
      <c r="L39" s="429">
        <f t="shared" si="10"/>
        <v>0</v>
      </c>
      <c r="M39" s="430"/>
      <c r="N39" s="425">
        <v>0</v>
      </c>
      <c r="O39" s="427">
        <v>0</v>
      </c>
      <c r="P39" s="427">
        <v>0</v>
      </c>
      <c r="Q39" s="427">
        <v>0</v>
      </c>
      <c r="R39" s="427">
        <v>0</v>
      </c>
      <c r="S39" s="427">
        <v>0</v>
      </c>
      <c r="T39" s="427">
        <v>0</v>
      </c>
      <c r="U39" s="427">
        <v>0</v>
      </c>
      <c r="V39" s="428">
        <v>0</v>
      </c>
      <c r="W39" s="428">
        <v>0</v>
      </c>
      <c r="X39" s="428">
        <v>0</v>
      </c>
      <c r="Y39" s="428">
        <v>0</v>
      </c>
      <c r="Z39" s="428">
        <v>0</v>
      </c>
      <c r="AA39" s="428">
        <v>0</v>
      </c>
      <c r="AB39" s="428">
        <v>0</v>
      </c>
      <c r="AC39" s="428">
        <v>0</v>
      </c>
      <c r="AD39" s="428">
        <v>0</v>
      </c>
      <c r="AE39" s="427">
        <v>0</v>
      </c>
      <c r="AF39" s="428">
        <v>0</v>
      </c>
      <c r="AG39" s="428">
        <v>0</v>
      </c>
      <c r="AH39" s="427"/>
      <c r="AI39" s="427"/>
      <c r="AJ39" s="428"/>
      <c r="AK39" s="428"/>
      <c r="AL39" s="428"/>
      <c r="AM39" s="427"/>
      <c r="AN39" s="427"/>
      <c r="AO39" s="427"/>
      <c r="AP39" s="427"/>
      <c r="AQ39" s="428"/>
      <c r="AR39" s="427"/>
      <c r="AS39" s="431"/>
      <c r="AT39" s="432">
        <f t="shared" ref="AT39:AT43" si="12">SUM(O39:AS39)</f>
        <v>0</v>
      </c>
    </row>
    <row r="40" spans="1:46" s="378" customFormat="1" x14ac:dyDescent="0.35">
      <c r="A40" s="425">
        <v>6</v>
      </c>
      <c r="B40" s="865"/>
      <c r="C40" s="426" t="s">
        <v>481</v>
      </c>
      <c r="D40" s="421">
        <v>350</v>
      </c>
      <c r="E40" s="428">
        <v>115.26</v>
      </c>
      <c r="F40" s="428">
        <v>115.26</v>
      </c>
      <c r="G40" s="428">
        <v>115.26</v>
      </c>
      <c r="H40" s="428">
        <f t="shared" si="8"/>
        <v>0</v>
      </c>
      <c r="I40" s="428">
        <v>0</v>
      </c>
      <c r="J40" s="428">
        <f t="shared" si="11"/>
        <v>0</v>
      </c>
      <c r="K40" s="428">
        <f t="shared" si="9"/>
        <v>115.26</v>
      </c>
      <c r="L40" s="429">
        <f t="shared" si="10"/>
        <v>0</v>
      </c>
      <c r="M40" s="430"/>
      <c r="N40" s="425">
        <v>0</v>
      </c>
      <c r="O40" s="427">
        <v>0</v>
      </c>
      <c r="P40" s="427">
        <v>0</v>
      </c>
      <c r="Q40" s="427">
        <v>0</v>
      </c>
      <c r="R40" s="427">
        <v>0</v>
      </c>
      <c r="S40" s="427">
        <v>0</v>
      </c>
      <c r="T40" s="427">
        <v>0</v>
      </c>
      <c r="U40" s="427">
        <v>0</v>
      </c>
      <c r="V40" s="428">
        <v>0</v>
      </c>
      <c r="W40" s="428">
        <v>0</v>
      </c>
      <c r="X40" s="428">
        <v>0</v>
      </c>
      <c r="Y40" s="428">
        <v>0</v>
      </c>
      <c r="Z40" s="428">
        <v>0</v>
      </c>
      <c r="AA40" s="428">
        <v>0</v>
      </c>
      <c r="AB40" s="428">
        <v>0</v>
      </c>
      <c r="AC40" s="428">
        <v>0</v>
      </c>
      <c r="AD40" s="428">
        <v>0</v>
      </c>
      <c r="AE40" s="427">
        <v>0</v>
      </c>
      <c r="AF40" s="428">
        <v>0</v>
      </c>
      <c r="AG40" s="428">
        <v>0</v>
      </c>
      <c r="AH40" s="427"/>
      <c r="AI40" s="427"/>
      <c r="AJ40" s="428"/>
      <c r="AK40" s="428"/>
      <c r="AL40" s="428"/>
      <c r="AM40" s="427"/>
      <c r="AN40" s="427"/>
      <c r="AO40" s="427"/>
      <c r="AP40" s="427"/>
      <c r="AQ40" s="428"/>
      <c r="AR40" s="427"/>
      <c r="AS40" s="431"/>
      <c r="AT40" s="432">
        <f t="shared" si="12"/>
        <v>0</v>
      </c>
    </row>
    <row r="41" spans="1:46" s="378" customFormat="1" x14ac:dyDescent="0.35">
      <c r="A41" s="425">
        <v>7</v>
      </c>
      <c r="B41" s="865"/>
      <c r="C41" s="426" t="s">
        <v>310</v>
      </c>
      <c r="D41" s="421">
        <v>500</v>
      </c>
      <c r="E41" s="427">
        <v>583</v>
      </c>
      <c r="F41" s="427">
        <v>583</v>
      </c>
      <c r="G41" s="427">
        <v>583</v>
      </c>
      <c r="H41" s="428">
        <f t="shared" si="8"/>
        <v>0</v>
      </c>
      <c r="I41" s="428">
        <v>321.01</v>
      </c>
      <c r="J41" s="428">
        <f t="shared" si="11"/>
        <v>493.76</v>
      </c>
      <c r="K41" s="428">
        <f t="shared" si="9"/>
        <v>89.240000000000009</v>
      </c>
      <c r="L41" s="429">
        <f t="shared" si="10"/>
        <v>84.692967409948537</v>
      </c>
      <c r="M41" s="430"/>
      <c r="N41" s="425">
        <v>150</v>
      </c>
      <c r="O41" s="427">
        <v>0</v>
      </c>
      <c r="P41" s="427">
        <v>48.23</v>
      </c>
      <c r="Q41" s="427">
        <v>0</v>
      </c>
      <c r="R41" s="427">
        <v>16.5</v>
      </c>
      <c r="S41" s="427">
        <v>0</v>
      </c>
      <c r="T41" s="427">
        <v>0</v>
      </c>
      <c r="U41" s="427">
        <v>0</v>
      </c>
      <c r="V41" s="428">
        <v>0</v>
      </c>
      <c r="W41" s="428">
        <v>0</v>
      </c>
      <c r="X41" s="428">
        <v>15.47</v>
      </c>
      <c r="Y41" s="428">
        <v>0</v>
      </c>
      <c r="Z41" s="428">
        <v>48.89</v>
      </c>
      <c r="AA41" s="428">
        <v>16.79</v>
      </c>
      <c r="AB41" s="428">
        <v>0</v>
      </c>
      <c r="AC41" s="428">
        <v>0</v>
      </c>
      <c r="AD41" s="428">
        <v>26.87</v>
      </c>
      <c r="AE41" s="427">
        <v>0</v>
      </c>
      <c r="AF41" s="428">
        <v>0</v>
      </c>
      <c r="AG41" s="428">
        <v>0</v>
      </c>
      <c r="AH41" s="427"/>
      <c r="AI41" s="427"/>
      <c r="AJ41" s="428"/>
      <c r="AK41" s="428"/>
      <c r="AL41" s="428"/>
      <c r="AM41" s="427"/>
      <c r="AN41" s="427"/>
      <c r="AO41" s="427"/>
      <c r="AP41" s="427"/>
      <c r="AQ41" s="428"/>
      <c r="AR41" s="428"/>
      <c r="AS41" s="431"/>
      <c r="AT41" s="432">
        <f t="shared" si="12"/>
        <v>172.74999999999997</v>
      </c>
    </row>
    <row r="42" spans="1:46" s="378" customFormat="1" x14ac:dyDescent="0.35">
      <c r="A42" s="425">
        <v>9</v>
      </c>
      <c r="B42" s="865"/>
      <c r="C42" s="426" t="s">
        <v>482</v>
      </c>
      <c r="D42" s="421">
        <v>1000</v>
      </c>
      <c r="E42" s="427">
        <f>89+1600+14</f>
        <v>1703</v>
      </c>
      <c r="F42" s="427">
        <f>89+14</f>
        <v>103</v>
      </c>
      <c r="G42" s="427">
        <f>89+14</f>
        <v>103</v>
      </c>
      <c r="H42" s="428">
        <f t="shared" si="8"/>
        <v>1600</v>
      </c>
      <c r="I42" s="428">
        <v>0</v>
      </c>
      <c r="J42" s="428">
        <f t="shared" si="11"/>
        <v>0</v>
      </c>
      <c r="K42" s="428">
        <f t="shared" si="9"/>
        <v>1703</v>
      </c>
      <c r="L42" s="429">
        <f t="shared" si="10"/>
        <v>0</v>
      </c>
      <c r="M42" s="430"/>
      <c r="N42" s="425">
        <v>0</v>
      </c>
      <c r="O42" s="427">
        <v>0</v>
      </c>
      <c r="P42" s="427">
        <v>0</v>
      </c>
      <c r="Q42" s="427">
        <v>0</v>
      </c>
      <c r="R42" s="427">
        <v>0</v>
      </c>
      <c r="S42" s="427">
        <v>0</v>
      </c>
      <c r="T42" s="427">
        <v>0</v>
      </c>
      <c r="U42" s="427">
        <v>0</v>
      </c>
      <c r="V42" s="428">
        <v>0</v>
      </c>
      <c r="W42" s="428">
        <v>0</v>
      </c>
      <c r="X42" s="428">
        <v>0</v>
      </c>
      <c r="Y42" s="428">
        <v>0</v>
      </c>
      <c r="Z42" s="428">
        <v>0</v>
      </c>
      <c r="AA42" s="428">
        <v>0</v>
      </c>
      <c r="AB42" s="428">
        <v>0</v>
      </c>
      <c r="AC42" s="428">
        <v>0</v>
      </c>
      <c r="AD42" s="428">
        <v>0</v>
      </c>
      <c r="AE42" s="427">
        <v>0</v>
      </c>
      <c r="AF42" s="428">
        <v>0</v>
      </c>
      <c r="AG42" s="428">
        <v>0</v>
      </c>
      <c r="AH42" s="427"/>
      <c r="AI42" s="427"/>
      <c r="AJ42" s="428"/>
      <c r="AK42" s="428"/>
      <c r="AL42" s="428"/>
      <c r="AM42" s="427"/>
      <c r="AN42" s="427"/>
      <c r="AO42" s="427"/>
      <c r="AP42" s="427"/>
      <c r="AQ42" s="428"/>
      <c r="AR42" s="428"/>
      <c r="AS42" s="431"/>
      <c r="AT42" s="432">
        <f t="shared" si="12"/>
        <v>0</v>
      </c>
    </row>
    <row r="43" spans="1:46" s="378" customFormat="1" ht="16" thickBot="1" x14ac:dyDescent="0.4">
      <c r="A43" s="425">
        <v>10</v>
      </c>
      <c r="B43" s="865"/>
      <c r="C43" s="433" t="s">
        <v>483</v>
      </c>
      <c r="D43" s="422">
        <v>700</v>
      </c>
      <c r="E43" s="434">
        <v>1122</v>
      </c>
      <c r="F43" s="427">
        <v>1122</v>
      </c>
      <c r="G43" s="427">
        <v>1122</v>
      </c>
      <c r="H43" s="428">
        <f t="shared" si="8"/>
        <v>0</v>
      </c>
      <c r="I43" s="428">
        <v>1160.7400000000002</v>
      </c>
      <c r="J43" s="428">
        <f t="shared" si="11"/>
        <v>1160.7400000000002</v>
      </c>
      <c r="K43" s="428">
        <f t="shared" si="9"/>
        <v>-38.740000000000236</v>
      </c>
      <c r="L43" s="429">
        <f t="shared" si="10"/>
        <v>103.45276292335117</v>
      </c>
      <c r="M43" s="430"/>
      <c r="N43" s="425">
        <v>500</v>
      </c>
      <c r="O43" s="427">
        <v>0</v>
      </c>
      <c r="P43" s="427">
        <v>0</v>
      </c>
      <c r="Q43" s="427">
        <v>0</v>
      </c>
      <c r="R43" s="427">
        <v>0</v>
      </c>
      <c r="S43" s="427">
        <v>0</v>
      </c>
      <c r="T43" s="427">
        <v>0</v>
      </c>
      <c r="U43" s="427">
        <v>0</v>
      </c>
      <c r="V43" s="428">
        <v>0</v>
      </c>
      <c r="W43" s="428">
        <v>0</v>
      </c>
      <c r="X43" s="428">
        <v>0</v>
      </c>
      <c r="Y43" s="428">
        <v>0</v>
      </c>
      <c r="Z43" s="428">
        <v>0</v>
      </c>
      <c r="AA43" s="428">
        <v>0</v>
      </c>
      <c r="AB43" s="428">
        <v>0</v>
      </c>
      <c r="AC43" s="428">
        <v>0</v>
      </c>
      <c r="AD43" s="428">
        <v>0</v>
      </c>
      <c r="AE43" s="427">
        <v>0</v>
      </c>
      <c r="AF43" s="428">
        <v>0</v>
      </c>
      <c r="AG43" s="428">
        <v>0</v>
      </c>
      <c r="AH43" s="427"/>
      <c r="AI43" s="427"/>
      <c r="AJ43" s="428"/>
      <c r="AK43" s="428"/>
      <c r="AL43" s="428"/>
      <c r="AM43" s="427"/>
      <c r="AN43" s="427"/>
      <c r="AO43" s="428"/>
      <c r="AP43" s="427"/>
      <c r="AQ43" s="428"/>
      <c r="AR43" s="428"/>
      <c r="AS43" s="431"/>
      <c r="AT43" s="429">
        <f t="shared" si="12"/>
        <v>0</v>
      </c>
    </row>
    <row r="44" spans="1:46" s="177" customFormat="1" ht="16" thickBot="1" x14ac:dyDescent="0.4">
      <c r="A44" s="436"/>
      <c r="B44" s="437"/>
      <c r="C44" s="438" t="s">
        <v>484</v>
      </c>
      <c r="D44" s="439">
        <f>SUM(D36:D43)</f>
        <v>6950</v>
      </c>
      <c r="E44" s="543">
        <f>SUM(E36:E43)</f>
        <v>6745.26</v>
      </c>
      <c r="F44" s="543">
        <f>SUM(F36:F43)</f>
        <v>4752.26</v>
      </c>
      <c r="G44" s="441">
        <f>SUM(G36:G43)</f>
        <v>4752.26</v>
      </c>
      <c r="H44" s="442">
        <f t="shared" ref="H44" si="13">E44-G44</f>
        <v>1993</v>
      </c>
      <c r="I44" s="443">
        <f>SUM(I36:I43)</f>
        <v>2256.5200000000004</v>
      </c>
      <c r="J44" s="442">
        <f>I44+AT44</f>
        <v>2429.2700000000004</v>
      </c>
      <c r="K44" s="444">
        <f t="shared" si="9"/>
        <v>4315.99</v>
      </c>
      <c r="L44" s="442">
        <f t="shared" si="10"/>
        <v>36.014475350097705</v>
      </c>
      <c r="M44" s="443"/>
      <c r="N44" s="436">
        <f t="shared" ref="N44:AT44" si="14">SUM(N36:N43)</f>
        <v>650</v>
      </c>
      <c r="O44" s="592">
        <f t="shared" si="14"/>
        <v>0</v>
      </c>
      <c r="P44" s="592">
        <f t="shared" si="14"/>
        <v>48.23</v>
      </c>
      <c r="Q44" s="592">
        <f t="shared" si="14"/>
        <v>0</v>
      </c>
      <c r="R44" s="592">
        <f>SUM(R36:R43)</f>
        <v>16.5</v>
      </c>
      <c r="S44" s="592">
        <f t="shared" si="14"/>
        <v>0</v>
      </c>
      <c r="T44" s="592">
        <f t="shared" si="14"/>
        <v>0</v>
      </c>
      <c r="U44" s="592">
        <f t="shared" si="14"/>
        <v>0</v>
      </c>
      <c r="V44" s="592">
        <f t="shared" si="14"/>
        <v>0</v>
      </c>
      <c r="W44" s="592">
        <f t="shared" si="14"/>
        <v>0</v>
      </c>
      <c r="X44" s="592">
        <f t="shared" si="14"/>
        <v>15.47</v>
      </c>
      <c r="Y44" s="592">
        <f t="shared" si="14"/>
        <v>0</v>
      </c>
      <c r="Z44" s="592">
        <f t="shared" si="14"/>
        <v>48.89</v>
      </c>
      <c r="AA44" s="592">
        <f t="shared" si="14"/>
        <v>16.79</v>
      </c>
      <c r="AB44" s="592">
        <f t="shared" si="14"/>
        <v>0</v>
      </c>
      <c r="AC44" s="592">
        <f t="shared" si="14"/>
        <v>0</v>
      </c>
      <c r="AD44" s="592">
        <f t="shared" si="14"/>
        <v>26.87</v>
      </c>
      <c r="AE44" s="592">
        <f t="shared" si="14"/>
        <v>0</v>
      </c>
      <c r="AF44" s="592">
        <f t="shared" si="14"/>
        <v>0</v>
      </c>
      <c r="AG44" s="592">
        <f t="shared" si="14"/>
        <v>0</v>
      </c>
      <c r="AH44" s="592">
        <f t="shared" si="14"/>
        <v>0</v>
      </c>
      <c r="AI44" s="436">
        <f t="shared" si="14"/>
        <v>0</v>
      </c>
      <c r="AJ44" s="436">
        <f t="shared" si="14"/>
        <v>0</v>
      </c>
      <c r="AK44" s="436">
        <f t="shared" si="14"/>
        <v>0</v>
      </c>
      <c r="AL44" s="436">
        <f t="shared" si="14"/>
        <v>0</v>
      </c>
      <c r="AM44" s="436">
        <f t="shared" si="14"/>
        <v>0</v>
      </c>
      <c r="AN44" s="436">
        <f t="shared" si="14"/>
        <v>0</v>
      </c>
      <c r="AO44" s="592">
        <f t="shared" si="14"/>
        <v>0</v>
      </c>
      <c r="AP44" s="436">
        <f t="shared" si="14"/>
        <v>0</v>
      </c>
      <c r="AQ44" s="592">
        <f t="shared" si="14"/>
        <v>0</v>
      </c>
      <c r="AR44" s="592">
        <f t="shared" si="14"/>
        <v>0</v>
      </c>
      <c r="AS44" s="436">
        <f t="shared" si="14"/>
        <v>0</v>
      </c>
      <c r="AT44" s="592">
        <f t="shared" si="14"/>
        <v>172.74999999999997</v>
      </c>
    </row>
    <row r="45" spans="1:46" s="197" customFormat="1" ht="8.15" customHeight="1" x14ac:dyDescent="0.35">
      <c r="A45" s="202"/>
      <c r="B45" s="227"/>
      <c r="C45" s="203"/>
      <c r="D45" s="203"/>
      <c r="E45" s="191"/>
      <c r="F45" s="191"/>
      <c r="G45" s="191"/>
      <c r="H45" s="191"/>
      <c r="I45" s="191"/>
      <c r="J45" s="191"/>
      <c r="K45" s="191"/>
      <c r="L45" s="204"/>
      <c r="M45" s="205"/>
      <c r="N45" s="202"/>
      <c r="O45" s="191"/>
      <c r="P45" s="191"/>
      <c r="Q45" s="191"/>
      <c r="R45" s="191"/>
      <c r="S45" s="191"/>
      <c r="T45" s="191"/>
      <c r="U45" s="206"/>
      <c r="V45" s="206"/>
      <c r="W45" s="191"/>
      <c r="X45" s="206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206"/>
      <c r="AK45" s="191"/>
      <c r="AL45" s="191"/>
      <c r="AM45" s="191"/>
      <c r="AN45" s="191"/>
      <c r="AO45" s="191"/>
      <c r="AP45" s="191"/>
      <c r="AQ45" s="206"/>
      <c r="AR45" s="191"/>
      <c r="AS45" s="207"/>
      <c r="AT45" s="208"/>
    </row>
    <row r="46" spans="1:46" s="178" customFormat="1" ht="15.65" customHeight="1" x14ac:dyDescent="0.35">
      <c r="A46" s="485">
        <v>1</v>
      </c>
      <c r="B46" s="632" t="s">
        <v>485</v>
      </c>
      <c r="C46" s="486" t="s">
        <v>486</v>
      </c>
      <c r="D46" s="423">
        <v>0</v>
      </c>
      <c r="E46" s="555">
        <v>200</v>
      </c>
      <c r="F46" s="487">
        <v>200</v>
      </c>
      <c r="G46" s="487">
        <v>200</v>
      </c>
      <c r="H46" s="487">
        <f>E46-G46</f>
        <v>0</v>
      </c>
      <c r="I46" s="487">
        <v>0</v>
      </c>
      <c r="J46" s="487">
        <f>I46+AT46</f>
        <v>0</v>
      </c>
      <c r="K46" s="487">
        <f>E46-J46</f>
        <v>200</v>
      </c>
      <c r="L46" s="488">
        <v>0</v>
      </c>
      <c r="M46" s="489"/>
      <c r="N46" s="485">
        <v>0</v>
      </c>
      <c r="O46" s="487">
        <v>0</v>
      </c>
      <c r="P46" s="487">
        <v>0</v>
      </c>
      <c r="Q46" s="487">
        <v>0</v>
      </c>
      <c r="R46" s="487">
        <v>0</v>
      </c>
      <c r="S46" s="487">
        <v>0</v>
      </c>
      <c r="T46" s="487">
        <v>0</v>
      </c>
      <c r="U46" s="487">
        <v>0</v>
      </c>
      <c r="V46" s="487">
        <v>0</v>
      </c>
      <c r="W46" s="487">
        <v>0</v>
      </c>
      <c r="X46" s="487">
        <v>0</v>
      </c>
      <c r="Y46" s="487">
        <v>0</v>
      </c>
      <c r="Z46" s="487">
        <v>0</v>
      </c>
      <c r="AA46" s="487">
        <v>0</v>
      </c>
      <c r="AB46" s="487">
        <v>0</v>
      </c>
      <c r="AC46" s="487">
        <v>0</v>
      </c>
      <c r="AD46" s="487">
        <v>0</v>
      </c>
      <c r="AE46" s="487">
        <v>0</v>
      </c>
      <c r="AF46" s="487">
        <v>0</v>
      </c>
      <c r="AG46" s="487">
        <v>0</v>
      </c>
      <c r="AH46" s="487"/>
      <c r="AI46" s="487"/>
      <c r="AJ46" s="157"/>
      <c r="AK46" s="157"/>
      <c r="AL46" s="157"/>
      <c r="AM46" s="487"/>
      <c r="AN46" s="487"/>
      <c r="AO46" s="487"/>
      <c r="AP46" s="487"/>
      <c r="AQ46" s="157"/>
      <c r="AR46" s="487"/>
      <c r="AS46" s="490"/>
      <c r="AT46" s="491">
        <f>SUM(O46:AS46)</f>
        <v>0</v>
      </c>
    </row>
    <row r="47" spans="1:46" s="178" customFormat="1" ht="16" thickBot="1" x14ac:dyDescent="0.4">
      <c r="A47" s="492">
        <v>2</v>
      </c>
      <c r="B47" s="632" t="s">
        <v>128</v>
      </c>
      <c r="C47" s="493" t="s">
        <v>487</v>
      </c>
      <c r="D47" s="424">
        <v>0</v>
      </c>
      <c r="E47" s="687">
        <v>300</v>
      </c>
      <c r="F47" s="494">
        <v>0</v>
      </c>
      <c r="G47" s="494">
        <v>0</v>
      </c>
      <c r="H47" s="494">
        <f>E47-G47</f>
        <v>300</v>
      </c>
      <c r="I47" s="494">
        <v>0</v>
      </c>
      <c r="J47" s="494">
        <f>I47+AT47</f>
        <v>0</v>
      </c>
      <c r="K47" s="494">
        <f>E47-J47</f>
        <v>300</v>
      </c>
      <c r="L47" s="495">
        <v>0</v>
      </c>
      <c r="M47" s="496"/>
      <c r="N47" s="492">
        <v>0</v>
      </c>
      <c r="O47" s="494">
        <v>0</v>
      </c>
      <c r="P47" s="494">
        <v>0</v>
      </c>
      <c r="Q47" s="494">
        <v>0</v>
      </c>
      <c r="R47" s="494">
        <v>0</v>
      </c>
      <c r="S47" s="494">
        <v>0</v>
      </c>
      <c r="T47" s="487">
        <v>0</v>
      </c>
      <c r="U47" s="487">
        <v>0</v>
      </c>
      <c r="V47" s="487">
        <v>0</v>
      </c>
      <c r="W47" s="487">
        <v>0</v>
      </c>
      <c r="X47" s="487">
        <v>0</v>
      </c>
      <c r="Y47" s="487">
        <v>0</v>
      </c>
      <c r="Z47" s="487">
        <v>0</v>
      </c>
      <c r="AA47" s="487">
        <v>0</v>
      </c>
      <c r="AB47" s="487">
        <v>0</v>
      </c>
      <c r="AC47" s="487">
        <v>0</v>
      </c>
      <c r="AD47" s="487">
        <v>0</v>
      </c>
      <c r="AE47" s="494">
        <v>0</v>
      </c>
      <c r="AF47" s="487">
        <v>0</v>
      </c>
      <c r="AG47" s="494">
        <v>0</v>
      </c>
      <c r="AH47" s="494"/>
      <c r="AI47" s="494"/>
      <c r="AJ47" s="497"/>
      <c r="AK47" s="157"/>
      <c r="AL47" s="157"/>
      <c r="AM47" s="487"/>
      <c r="AN47" s="494"/>
      <c r="AO47" s="494"/>
      <c r="AP47" s="494"/>
      <c r="AQ47" s="497"/>
      <c r="AR47" s="494"/>
      <c r="AS47" s="490"/>
      <c r="AT47" s="498">
        <f>SUM(O47:AS47)</f>
        <v>0</v>
      </c>
    </row>
    <row r="48" spans="1:46" s="178" customFormat="1" ht="16" thickBot="1" x14ac:dyDescent="0.4">
      <c r="A48" s="499"/>
      <c r="B48" s="500"/>
      <c r="C48" s="501" t="s">
        <v>488</v>
      </c>
      <c r="D48" s="502">
        <f>SUM(D46:D47)</f>
        <v>0</v>
      </c>
      <c r="E48" s="503">
        <f>SUM(E46:E47)</f>
        <v>500</v>
      </c>
      <c r="F48" s="503">
        <f>SUM(F46:F47)</f>
        <v>200</v>
      </c>
      <c r="G48" s="504">
        <f>SUM(G46:G47)</f>
        <v>200</v>
      </c>
      <c r="H48" s="505">
        <f>E48-G48</f>
        <v>300</v>
      </c>
      <c r="I48" s="506">
        <v>0</v>
      </c>
      <c r="J48" s="505">
        <f>I48+AT48</f>
        <v>0</v>
      </c>
      <c r="K48" s="500">
        <f>E48-J48</f>
        <v>500</v>
      </c>
      <c r="L48" s="507">
        <v>0</v>
      </c>
      <c r="M48" s="508"/>
      <c r="N48" s="499">
        <f>SUM(N46:N47)</f>
        <v>0</v>
      </c>
      <c r="O48" s="499">
        <f t="shared" ref="O48:AS48" si="15">SUM(O46:O47)</f>
        <v>0</v>
      </c>
      <c r="P48" s="499">
        <f t="shared" si="15"/>
        <v>0</v>
      </c>
      <c r="Q48" s="499">
        <f t="shared" si="15"/>
        <v>0</v>
      </c>
      <c r="R48" s="499">
        <f t="shared" si="15"/>
        <v>0</v>
      </c>
      <c r="S48" s="499">
        <f t="shared" si="15"/>
        <v>0</v>
      </c>
      <c r="T48" s="499">
        <f t="shared" si="15"/>
        <v>0</v>
      </c>
      <c r="U48" s="499">
        <f t="shared" si="15"/>
        <v>0</v>
      </c>
      <c r="V48" s="499">
        <f t="shared" si="15"/>
        <v>0</v>
      </c>
      <c r="W48" s="499">
        <f t="shared" si="15"/>
        <v>0</v>
      </c>
      <c r="X48" s="499">
        <f t="shared" si="15"/>
        <v>0</v>
      </c>
      <c r="Y48" s="499">
        <f t="shared" si="15"/>
        <v>0</v>
      </c>
      <c r="Z48" s="499">
        <f t="shared" si="15"/>
        <v>0</v>
      </c>
      <c r="AA48" s="499">
        <f t="shared" si="15"/>
        <v>0</v>
      </c>
      <c r="AB48" s="499">
        <f t="shared" si="15"/>
        <v>0</v>
      </c>
      <c r="AC48" s="499">
        <f t="shared" si="15"/>
        <v>0</v>
      </c>
      <c r="AD48" s="499">
        <f t="shared" si="15"/>
        <v>0</v>
      </c>
      <c r="AE48" s="499">
        <f t="shared" si="15"/>
        <v>0</v>
      </c>
      <c r="AF48" s="499">
        <f t="shared" si="15"/>
        <v>0</v>
      </c>
      <c r="AG48" s="499">
        <f t="shared" si="15"/>
        <v>0</v>
      </c>
      <c r="AH48" s="499">
        <f t="shared" si="15"/>
        <v>0</v>
      </c>
      <c r="AI48" s="499">
        <f t="shared" si="15"/>
        <v>0</v>
      </c>
      <c r="AJ48" s="499">
        <f t="shared" si="15"/>
        <v>0</v>
      </c>
      <c r="AK48" s="499">
        <f t="shared" si="15"/>
        <v>0</v>
      </c>
      <c r="AL48" s="499">
        <f t="shared" si="15"/>
        <v>0</v>
      </c>
      <c r="AM48" s="499">
        <f t="shared" si="15"/>
        <v>0</v>
      </c>
      <c r="AN48" s="499">
        <f t="shared" si="15"/>
        <v>0</v>
      </c>
      <c r="AO48" s="499">
        <f t="shared" si="15"/>
        <v>0</v>
      </c>
      <c r="AP48" s="499">
        <f t="shared" si="15"/>
        <v>0</v>
      </c>
      <c r="AQ48" s="499">
        <f t="shared" si="15"/>
        <v>0</v>
      </c>
      <c r="AR48" s="499">
        <f t="shared" si="15"/>
        <v>0</v>
      </c>
      <c r="AS48" s="499">
        <f t="shared" si="15"/>
        <v>0</v>
      </c>
      <c r="AT48" s="499">
        <f>SUM(AT46:AT47)</f>
        <v>0</v>
      </c>
    </row>
    <row r="49" spans="1:47" ht="33" customHeight="1" thickBot="1" x14ac:dyDescent="0.4">
      <c r="A49" s="86"/>
      <c r="B49" s="228"/>
      <c r="C49" s="198" t="s">
        <v>489</v>
      </c>
      <c r="D49" s="198">
        <f>SUM(D31+D34+D44+D48)</f>
        <v>32830</v>
      </c>
      <c r="E49" s="234">
        <f t="shared" ref="E49:K49" si="16">E31+E34+E44+E48</f>
        <v>43066.711000000003</v>
      </c>
      <c r="F49" s="234">
        <f t="shared" si="16"/>
        <v>38556.711000000003</v>
      </c>
      <c r="G49" s="234">
        <f t="shared" si="16"/>
        <v>37714.210999999996</v>
      </c>
      <c r="H49" s="234">
        <f t="shared" si="16"/>
        <v>5352.5</v>
      </c>
      <c r="I49" s="234">
        <f t="shared" si="16"/>
        <v>18181.067999999999</v>
      </c>
      <c r="J49" s="234">
        <f t="shared" si="16"/>
        <v>19493.448</v>
      </c>
      <c r="K49" s="234">
        <f t="shared" si="16"/>
        <v>23573.262999999999</v>
      </c>
      <c r="L49" s="234">
        <f>J49/E49%</f>
        <v>45.263377553953447</v>
      </c>
      <c r="M49" s="235"/>
      <c r="N49" s="234">
        <f t="shared" ref="N49:AT49" si="17">N31+N34+N44+N48</f>
        <v>2966</v>
      </c>
      <c r="O49" s="234">
        <f t="shared" si="17"/>
        <v>35</v>
      </c>
      <c r="P49" s="234">
        <f t="shared" si="17"/>
        <v>50.23</v>
      </c>
      <c r="Q49" s="234">
        <f t="shared" si="17"/>
        <v>0</v>
      </c>
      <c r="R49" s="234">
        <f t="shared" si="17"/>
        <v>196.5</v>
      </c>
      <c r="S49" s="234">
        <f t="shared" si="17"/>
        <v>14</v>
      </c>
      <c r="T49" s="234">
        <f t="shared" si="17"/>
        <v>19.850000000000001</v>
      </c>
      <c r="U49" s="234">
        <f t="shared" si="17"/>
        <v>65.59</v>
      </c>
      <c r="V49" s="234">
        <f t="shared" si="17"/>
        <v>24.4</v>
      </c>
      <c r="W49" s="234">
        <f t="shared" si="17"/>
        <v>220.39</v>
      </c>
      <c r="X49" s="234">
        <f t="shared" si="17"/>
        <v>98.47</v>
      </c>
      <c r="Y49" s="234">
        <f t="shared" si="17"/>
        <v>0</v>
      </c>
      <c r="Z49" s="234">
        <f t="shared" si="17"/>
        <v>86.89</v>
      </c>
      <c r="AA49" s="234">
        <f t="shared" si="17"/>
        <v>124.38999999999999</v>
      </c>
      <c r="AB49" s="234">
        <f t="shared" si="17"/>
        <v>8</v>
      </c>
      <c r="AC49" s="234">
        <f t="shared" si="17"/>
        <v>228.6</v>
      </c>
      <c r="AD49" s="234">
        <f t="shared" si="17"/>
        <v>34.870000000000005</v>
      </c>
      <c r="AE49" s="234">
        <f t="shared" si="17"/>
        <v>0</v>
      </c>
      <c r="AF49" s="234">
        <f t="shared" si="17"/>
        <v>40</v>
      </c>
      <c r="AG49" s="234">
        <f t="shared" si="17"/>
        <v>65.199999999999989</v>
      </c>
      <c r="AH49" s="234">
        <f t="shared" si="17"/>
        <v>0</v>
      </c>
      <c r="AI49" s="234">
        <f t="shared" si="17"/>
        <v>0</v>
      </c>
      <c r="AJ49" s="234">
        <f t="shared" si="17"/>
        <v>0</v>
      </c>
      <c r="AK49" s="234">
        <f t="shared" si="17"/>
        <v>0</v>
      </c>
      <c r="AL49" s="234">
        <f t="shared" si="17"/>
        <v>0</v>
      </c>
      <c r="AM49" s="234">
        <f t="shared" si="17"/>
        <v>0</v>
      </c>
      <c r="AN49" s="234">
        <f t="shared" si="17"/>
        <v>0</v>
      </c>
      <c r="AO49" s="234">
        <f t="shared" si="17"/>
        <v>0</v>
      </c>
      <c r="AP49" s="234">
        <f t="shared" si="17"/>
        <v>0</v>
      </c>
      <c r="AQ49" s="234">
        <f t="shared" si="17"/>
        <v>0</v>
      </c>
      <c r="AR49" s="234">
        <f t="shared" si="17"/>
        <v>0</v>
      </c>
      <c r="AS49" s="234">
        <f t="shared" si="17"/>
        <v>0</v>
      </c>
      <c r="AT49" s="234">
        <f t="shared" si="17"/>
        <v>1312.38</v>
      </c>
    </row>
    <row r="50" spans="1:47" ht="20.5" thickBot="1" x14ac:dyDescent="0.45">
      <c r="A50" s="857" t="s">
        <v>490</v>
      </c>
      <c r="B50" s="858"/>
      <c r="C50" s="858"/>
      <c r="D50" s="858"/>
      <c r="E50" s="858"/>
      <c r="F50" s="858"/>
      <c r="G50" s="858"/>
      <c r="H50" s="858"/>
      <c r="I50" s="858"/>
      <c r="J50" s="858"/>
      <c r="K50" s="858"/>
      <c r="L50" s="859"/>
      <c r="M50" s="50"/>
      <c r="N50" s="853">
        <v>44826</v>
      </c>
      <c r="O50" s="854"/>
      <c r="P50" s="854"/>
      <c r="Q50" s="854"/>
      <c r="R50" s="854"/>
      <c r="S50" s="854"/>
      <c r="T50" s="854"/>
      <c r="U50" s="854"/>
      <c r="V50" s="854"/>
      <c r="W50" s="854"/>
      <c r="X50" s="854"/>
      <c r="Y50" s="854"/>
      <c r="Z50" s="854"/>
      <c r="AA50" s="854"/>
      <c r="AB50" s="854"/>
      <c r="AC50" s="854"/>
      <c r="AD50" s="854"/>
      <c r="AE50" s="854"/>
      <c r="AF50" s="854"/>
      <c r="AG50" s="854"/>
      <c r="AH50" s="854"/>
      <c r="AI50" s="854"/>
      <c r="AJ50" s="854"/>
      <c r="AK50" s="854"/>
      <c r="AL50" s="854"/>
      <c r="AM50" s="854"/>
      <c r="AN50" s="854"/>
      <c r="AO50" s="854"/>
      <c r="AP50" s="854"/>
      <c r="AQ50" s="854"/>
      <c r="AR50" s="854"/>
      <c r="AS50" s="855"/>
      <c r="AT50" s="856"/>
    </row>
    <row r="51" spans="1:47" ht="75" customHeight="1" thickBot="1" x14ac:dyDescent="0.4">
      <c r="A51" s="41" t="s">
        <v>234</v>
      </c>
      <c r="B51" s="82"/>
      <c r="C51" s="42" t="s">
        <v>235</v>
      </c>
      <c r="D51" s="553" t="s">
        <v>448</v>
      </c>
      <c r="E51" s="82" t="s">
        <v>449</v>
      </c>
      <c r="F51" s="82" t="s">
        <v>450</v>
      </c>
      <c r="G51" s="352" t="s">
        <v>237</v>
      </c>
      <c r="H51" s="290" t="s">
        <v>238</v>
      </c>
      <c r="I51" s="42" t="s">
        <v>451</v>
      </c>
      <c r="J51" s="253" t="s">
        <v>452</v>
      </c>
      <c r="K51" s="82" t="s">
        <v>241</v>
      </c>
      <c r="L51" s="43" t="s">
        <v>242</v>
      </c>
      <c r="M51" s="68"/>
      <c r="N51" s="59" t="s">
        <v>243</v>
      </c>
      <c r="O51" s="658">
        <f>O2</f>
        <v>44805</v>
      </c>
      <c r="P51" s="658">
        <f t="shared" ref="P51:AS51" si="18">P2</f>
        <v>44806</v>
      </c>
      <c r="Q51" s="658">
        <f t="shared" si="18"/>
        <v>44807</v>
      </c>
      <c r="R51" s="658">
        <f t="shared" si="18"/>
        <v>44808</v>
      </c>
      <c r="S51" s="658">
        <f t="shared" si="18"/>
        <v>44809</v>
      </c>
      <c r="T51" s="658">
        <f t="shared" si="18"/>
        <v>44810</v>
      </c>
      <c r="U51" s="658">
        <f t="shared" si="18"/>
        <v>44811</v>
      </c>
      <c r="V51" s="658">
        <f t="shared" si="18"/>
        <v>44812</v>
      </c>
      <c r="W51" s="658">
        <f t="shared" si="18"/>
        <v>44813</v>
      </c>
      <c r="X51" s="658">
        <f t="shared" si="18"/>
        <v>44814</v>
      </c>
      <c r="Y51" s="658">
        <f t="shared" si="18"/>
        <v>44815</v>
      </c>
      <c r="Z51" s="658">
        <f t="shared" si="18"/>
        <v>44816</v>
      </c>
      <c r="AA51" s="658">
        <f t="shared" si="18"/>
        <v>44817</v>
      </c>
      <c r="AB51" s="658">
        <f t="shared" si="18"/>
        <v>44818</v>
      </c>
      <c r="AC51" s="658">
        <f t="shared" si="18"/>
        <v>44819</v>
      </c>
      <c r="AD51" s="658">
        <f t="shared" si="18"/>
        <v>44820</v>
      </c>
      <c r="AE51" s="658">
        <f t="shared" si="18"/>
        <v>44821</v>
      </c>
      <c r="AF51" s="658">
        <f t="shared" si="18"/>
        <v>44822</v>
      </c>
      <c r="AG51" s="658">
        <f t="shared" si="18"/>
        <v>44823</v>
      </c>
      <c r="AH51" s="658">
        <f t="shared" si="18"/>
        <v>44824</v>
      </c>
      <c r="AI51" s="658">
        <f t="shared" si="18"/>
        <v>44825</v>
      </c>
      <c r="AJ51" s="658">
        <f t="shared" si="18"/>
        <v>44826</v>
      </c>
      <c r="AK51" s="658">
        <f t="shared" si="18"/>
        <v>44827</v>
      </c>
      <c r="AL51" s="658">
        <f t="shared" si="18"/>
        <v>44828</v>
      </c>
      <c r="AM51" s="658">
        <f t="shared" si="18"/>
        <v>44829</v>
      </c>
      <c r="AN51" s="658">
        <f t="shared" si="18"/>
        <v>44830</v>
      </c>
      <c r="AO51" s="658">
        <f t="shared" si="18"/>
        <v>44831</v>
      </c>
      <c r="AP51" s="658">
        <f t="shared" si="18"/>
        <v>44832</v>
      </c>
      <c r="AQ51" s="658">
        <f t="shared" si="18"/>
        <v>44833</v>
      </c>
      <c r="AR51" s="658">
        <f t="shared" si="18"/>
        <v>44834</v>
      </c>
      <c r="AS51" s="658">
        <f t="shared" si="18"/>
        <v>44835</v>
      </c>
      <c r="AT51" s="34" t="s">
        <v>244</v>
      </c>
    </row>
    <row r="52" spans="1:47" s="378" customFormat="1" x14ac:dyDescent="0.35">
      <c r="A52" s="415">
        <v>1</v>
      </c>
      <c r="B52" s="878" t="s">
        <v>113</v>
      </c>
      <c r="C52" s="179" t="s">
        <v>491</v>
      </c>
      <c r="D52" s="287">
        <v>1500</v>
      </c>
      <c r="E52" s="285">
        <v>1347</v>
      </c>
      <c r="F52" s="467">
        <v>1347</v>
      </c>
      <c r="G52" s="467">
        <v>1347</v>
      </c>
      <c r="H52" s="467">
        <f t="shared" ref="H52:H77" si="19">E52-G52</f>
        <v>0</v>
      </c>
      <c r="I52" s="289">
        <v>1347</v>
      </c>
      <c r="J52" s="289">
        <f t="shared" ref="J52:J77" si="20">I52+AT52</f>
        <v>1347</v>
      </c>
      <c r="K52" s="289">
        <f>G52-J52</f>
        <v>0</v>
      </c>
      <c r="L52" s="468">
        <f>J52/G52%</f>
        <v>100</v>
      </c>
      <c r="M52" s="469"/>
      <c r="N52" s="287">
        <v>0</v>
      </c>
      <c r="O52" s="285">
        <v>0</v>
      </c>
      <c r="P52" s="285">
        <v>0</v>
      </c>
      <c r="Q52" s="285">
        <v>0</v>
      </c>
      <c r="R52" s="285">
        <v>0</v>
      </c>
      <c r="S52" s="285">
        <v>0</v>
      </c>
      <c r="T52" s="285">
        <v>0</v>
      </c>
      <c r="U52" s="289">
        <v>0</v>
      </c>
      <c r="V52" s="289">
        <v>0</v>
      </c>
      <c r="W52" s="289">
        <v>0</v>
      </c>
      <c r="X52" s="289"/>
      <c r="Y52" s="289">
        <v>0</v>
      </c>
      <c r="Z52" s="289">
        <v>0</v>
      </c>
      <c r="AA52" s="289">
        <v>0</v>
      </c>
      <c r="AB52" s="289">
        <v>0</v>
      </c>
      <c r="AC52" s="289">
        <v>0</v>
      </c>
      <c r="AD52" s="289">
        <v>0</v>
      </c>
      <c r="AE52" s="289">
        <v>0</v>
      </c>
      <c r="AF52" s="289">
        <v>0</v>
      </c>
      <c r="AG52" s="285">
        <v>0</v>
      </c>
      <c r="AH52" s="285"/>
      <c r="AI52" s="285"/>
      <c r="AJ52" s="285"/>
      <c r="AK52" s="285"/>
      <c r="AL52" s="287"/>
      <c r="AM52" s="285"/>
      <c r="AN52" s="285"/>
      <c r="AO52" s="285"/>
      <c r="AP52" s="285"/>
      <c r="AQ52" s="289"/>
      <c r="AR52" s="285"/>
      <c r="AS52" s="166"/>
      <c r="AT52" s="167">
        <f>SUM(O52:AS52)</f>
        <v>0</v>
      </c>
      <c r="AU52" s="168"/>
    </row>
    <row r="53" spans="1:47" s="378" customFormat="1" ht="15.75" customHeight="1" x14ac:dyDescent="0.35">
      <c r="A53" s="414">
        <v>2</v>
      </c>
      <c r="B53" s="862"/>
      <c r="C53" s="470" t="s">
        <v>492</v>
      </c>
      <c r="D53" s="287">
        <v>200</v>
      </c>
      <c r="E53" s="287">
        <v>199</v>
      </c>
      <c r="F53" s="471">
        <v>199</v>
      </c>
      <c r="G53" s="467">
        <v>199</v>
      </c>
      <c r="H53" s="467">
        <f t="shared" si="19"/>
        <v>0</v>
      </c>
      <c r="I53" s="286">
        <v>114</v>
      </c>
      <c r="J53" s="289">
        <f t="shared" si="20"/>
        <v>114</v>
      </c>
      <c r="K53" s="286">
        <f t="shared" ref="K53:K88" si="21">G53-J53</f>
        <v>85</v>
      </c>
      <c r="L53" s="472">
        <f>J53/G53%</f>
        <v>57.286432160804019</v>
      </c>
      <c r="M53" s="469"/>
      <c r="N53" s="287">
        <v>0</v>
      </c>
      <c r="O53" s="285">
        <v>0</v>
      </c>
      <c r="P53" s="285">
        <v>0</v>
      </c>
      <c r="Q53" s="285">
        <v>0</v>
      </c>
      <c r="R53" s="285">
        <v>0</v>
      </c>
      <c r="S53" s="285">
        <v>0</v>
      </c>
      <c r="T53" s="287">
        <v>0</v>
      </c>
      <c r="U53" s="289">
        <v>0</v>
      </c>
      <c r="V53" s="289">
        <v>0</v>
      </c>
      <c r="W53" s="289">
        <v>0</v>
      </c>
      <c r="X53" s="289"/>
      <c r="Y53" s="289">
        <v>0</v>
      </c>
      <c r="Z53" s="289">
        <v>0</v>
      </c>
      <c r="AA53" s="289">
        <v>0</v>
      </c>
      <c r="AB53" s="289">
        <v>0</v>
      </c>
      <c r="AC53" s="289">
        <v>0</v>
      </c>
      <c r="AD53" s="289">
        <v>0</v>
      </c>
      <c r="AE53" s="289">
        <v>0</v>
      </c>
      <c r="AF53" s="289">
        <v>0</v>
      </c>
      <c r="AG53" s="285">
        <v>0</v>
      </c>
      <c r="AH53" s="285"/>
      <c r="AI53" s="285"/>
      <c r="AJ53" s="285"/>
      <c r="AK53" s="285"/>
      <c r="AL53" s="287"/>
      <c r="AM53" s="285"/>
      <c r="AN53" s="285"/>
      <c r="AO53" s="285"/>
      <c r="AP53" s="285"/>
      <c r="AQ53" s="289"/>
      <c r="AR53" s="285"/>
      <c r="AS53" s="166"/>
      <c r="AT53" s="167">
        <f t="shared" ref="AT53:AT88" si="22">SUM(O53:AS53)</f>
        <v>0</v>
      </c>
      <c r="AU53" s="168"/>
    </row>
    <row r="54" spans="1:47" s="378" customFormat="1" x14ac:dyDescent="0.35">
      <c r="A54" s="414">
        <v>3</v>
      </c>
      <c r="B54" s="862"/>
      <c r="C54" s="470" t="s">
        <v>493</v>
      </c>
      <c r="D54" s="287">
        <v>400</v>
      </c>
      <c r="E54" s="287">
        <v>411</v>
      </c>
      <c r="F54" s="471">
        <f>380.6+30</f>
        <v>410.6</v>
      </c>
      <c r="G54" s="467">
        <f>380.6+30</f>
        <v>410.6</v>
      </c>
      <c r="H54" s="467">
        <f t="shared" si="19"/>
        <v>0.39999999999997726</v>
      </c>
      <c r="I54" s="286">
        <v>304.64999999999998</v>
      </c>
      <c r="J54" s="289">
        <f t="shared" si="20"/>
        <v>308.64999999999998</v>
      </c>
      <c r="K54" s="286">
        <f t="shared" si="21"/>
        <v>101.95000000000005</v>
      </c>
      <c r="L54" s="472">
        <f>J54/G54%</f>
        <v>75.170482221139793</v>
      </c>
      <c r="M54" s="469"/>
      <c r="N54" s="287">
        <v>25</v>
      </c>
      <c r="O54" s="285">
        <v>0</v>
      </c>
      <c r="P54" s="285">
        <v>0</v>
      </c>
      <c r="Q54" s="285">
        <v>0</v>
      </c>
      <c r="R54" s="285">
        <v>0</v>
      </c>
      <c r="S54" s="285">
        <v>0</v>
      </c>
      <c r="T54" s="287">
        <v>0</v>
      </c>
      <c r="U54" s="289">
        <v>0</v>
      </c>
      <c r="V54" s="289">
        <v>4</v>
      </c>
      <c r="W54" s="289">
        <v>0</v>
      </c>
      <c r="X54" s="289"/>
      <c r="Y54" s="289">
        <v>0</v>
      </c>
      <c r="Z54" s="289">
        <v>0</v>
      </c>
      <c r="AA54" s="289">
        <v>0</v>
      </c>
      <c r="AB54" s="289">
        <v>0</v>
      </c>
      <c r="AC54" s="289">
        <v>0</v>
      </c>
      <c r="AD54" s="289">
        <v>0</v>
      </c>
      <c r="AE54" s="289">
        <v>0</v>
      </c>
      <c r="AF54" s="289">
        <v>0</v>
      </c>
      <c r="AG54" s="285">
        <v>0</v>
      </c>
      <c r="AH54" s="285"/>
      <c r="AI54" s="285"/>
      <c r="AJ54" s="285"/>
      <c r="AK54" s="285"/>
      <c r="AL54" s="287"/>
      <c r="AM54" s="285"/>
      <c r="AN54" s="285"/>
      <c r="AO54" s="285"/>
      <c r="AP54" s="285"/>
      <c r="AQ54" s="289"/>
      <c r="AR54" s="285"/>
      <c r="AS54" s="166"/>
      <c r="AT54" s="167">
        <f t="shared" si="22"/>
        <v>4</v>
      </c>
      <c r="AU54" s="168"/>
    </row>
    <row r="55" spans="1:47" s="378" customFormat="1" x14ac:dyDescent="0.35">
      <c r="A55" s="869">
        <v>4</v>
      </c>
      <c r="B55" s="862"/>
      <c r="C55" s="470" t="s">
        <v>494</v>
      </c>
      <c r="D55" s="474"/>
      <c r="E55" s="286">
        <f>746.45+812.25</f>
        <v>1558.7</v>
      </c>
      <c r="F55" s="286">
        <f>746.45+812.25</f>
        <v>1558.7</v>
      </c>
      <c r="G55" s="286">
        <f>746.45+812.25</f>
        <v>1558.7</v>
      </c>
      <c r="H55" s="467">
        <f t="shared" si="19"/>
        <v>0</v>
      </c>
      <c r="I55" s="286">
        <v>0</v>
      </c>
      <c r="J55" s="289">
        <f t="shared" si="20"/>
        <v>0</v>
      </c>
      <c r="K55" s="286">
        <f t="shared" si="21"/>
        <v>1558.7</v>
      </c>
      <c r="L55" s="472">
        <v>0</v>
      </c>
      <c r="M55" s="469"/>
      <c r="N55" s="287">
        <v>0</v>
      </c>
      <c r="O55" s="285">
        <v>0</v>
      </c>
      <c r="P55" s="285">
        <v>0</v>
      </c>
      <c r="Q55" s="285">
        <v>0</v>
      </c>
      <c r="R55" s="285">
        <v>0</v>
      </c>
      <c r="S55" s="285">
        <v>0</v>
      </c>
      <c r="T55" s="287">
        <v>0</v>
      </c>
      <c r="U55" s="289">
        <v>0</v>
      </c>
      <c r="V55" s="289">
        <v>0</v>
      </c>
      <c r="W55" s="289">
        <v>0</v>
      </c>
      <c r="X55" s="289"/>
      <c r="Y55" s="289">
        <v>0</v>
      </c>
      <c r="Z55" s="289">
        <v>0</v>
      </c>
      <c r="AA55" s="289">
        <v>0</v>
      </c>
      <c r="AB55" s="289">
        <v>0</v>
      </c>
      <c r="AC55" s="289">
        <v>0</v>
      </c>
      <c r="AD55" s="289">
        <v>0</v>
      </c>
      <c r="AE55" s="289">
        <v>0</v>
      </c>
      <c r="AF55" s="289">
        <v>0</v>
      </c>
      <c r="AG55" s="285">
        <v>0</v>
      </c>
      <c r="AH55" s="285"/>
      <c r="AI55" s="285"/>
      <c r="AJ55" s="285"/>
      <c r="AK55" s="285"/>
      <c r="AL55" s="287"/>
      <c r="AM55" s="285"/>
      <c r="AN55" s="285"/>
      <c r="AO55" s="285"/>
      <c r="AP55" s="285"/>
      <c r="AQ55" s="289"/>
      <c r="AR55" s="285"/>
      <c r="AS55" s="166"/>
      <c r="AT55" s="167">
        <f t="shared" si="22"/>
        <v>0</v>
      </c>
      <c r="AU55" s="168"/>
    </row>
    <row r="56" spans="1:47" s="378" customFormat="1" x14ac:dyDescent="0.35">
      <c r="A56" s="868"/>
      <c r="B56" s="862"/>
      <c r="C56" s="470" t="s">
        <v>495</v>
      </c>
      <c r="D56" s="287"/>
      <c r="E56" s="285">
        <v>60</v>
      </c>
      <c r="F56" s="471">
        <v>60</v>
      </c>
      <c r="G56" s="467">
        <v>60</v>
      </c>
      <c r="H56" s="467">
        <f t="shared" si="19"/>
        <v>0</v>
      </c>
      <c r="I56" s="286">
        <v>0</v>
      </c>
      <c r="J56" s="289">
        <f t="shared" si="20"/>
        <v>0</v>
      </c>
      <c r="K56" s="286">
        <f>G56-J56</f>
        <v>60</v>
      </c>
      <c r="L56" s="472">
        <f>J56/F56</f>
        <v>0</v>
      </c>
      <c r="M56" s="469"/>
      <c r="N56" s="287">
        <v>0</v>
      </c>
      <c r="O56" s="285">
        <v>0</v>
      </c>
      <c r="P56" s="285">
        <v>0</v>
      </c>
      <c r="Q56" s="285">
        <v>0</v>
      </c>
      <c r="R56" s="285">
        <v>0</v>
      </c>
      <c r="S56" s="285">
        <v>0</v>
      </c>
      <c r="T56" s="287">
        <v>0</v>
      </c>
      <c r="U56" s="289">
        <v>0</v>
      </c>
      <c r="V56" s="289">
        <v>0</v>
      </c>
      <c r="W56" s="289">
        <v>0</v>
      </c>
      <c r="X56" s="289"/>
      <c r="Y56" s="289">
        <v>0</v>
      </c>
      <c r="Z56" s="289">
        <v>0</v>
      </c>
      <c r="AA56" s="289">
        <v>0</v>
      </c>
      <c r="AB56" s="289">
        <v>0</v>
      </c>
      <c r="AC56" s="289">
        <v>0</v>
      </c>
      <c r="AD56" s="289">
        <v>0</v>
      </c>
      <c r="AE56" s="289">
        <v>0</v>
      </c>
      <c r="AF56" s="289">
        <v>0</v>
      </c>
      <c r="AG56" s="285">
        <v>0</v>
      </c>
      <c r="AH56" s="285"/>
      <c r="AI56" s="285"/>
      <c r="AJ56" s="285"/>
      <c r="AK56" s="285"/>
      <c r="AL56" s="287"/>
      <c r="AM56" s="285"/>
      <c r="AN56" s="285"/>
      <c r="AO56" s="285"/>
      <c r="AP56" s="285"/>
      <c r="AQ56" s="289"/>
      <c r="AR56" s="285"/>
      <c r="AS56" s="166"/>
      <c r="AT56" s="167">
        <f t="shared" si="22"/>
        <v>0</v>
      </c>
      <c r="AU56" s="168"/>
    </row>
    <row r="57" spans="1:47" s="378" customFormat="1" x14ac:dyDescent="0.35">
      <c r="A57" s="414">
        <v>5</v>
      </c>
      <c r="B57" s="862"/>
      <c r="C57" s="470" t="s">
        <v>496</v>
      </c>
      <c r="D57" s="287">
        <v>2600</v>
      </c>
      <c r="E57" s="287">
        <f>1925+78</f>
        <v>2003</v>
      </c>
      <c r="F57" s="287">
        <f>1925+78</f>
        <v>2003</v>
      </c>
      <c r="G57" s="287">
        <f>1925+78</f>
        <v>2003</v>
      </c>
      <c r="H57" s="467">
        <f t="shared" si="19"/>
        <v>0</v>
      </c>
      <c r="I57" s="286">
        <v>1761.54</v>
      </c>
      <c r="J57" s="289">
        <f t="shared" si="20"/>
        <v>1761.54</v>
      </c>
      <c r="K57" s="286">
        <f t="shared" si="21"/>
        <v>241.46000000000004</v>
      </c>
      <c r="L57" s="472">
        <f>J57/G57%</f>
        <v>87.945082376435337</v>
      </c>
      <c r="M57" s="469"/>
      <c r="N57" s="287">
        <v>0</v>
      </c>
      <c r="O57" s="285">
        <v>0</v>
      </c>
      <c r="P57" s="285">
        <v>0</v>
      </c>
      <c r="Q57" s="285">
        <v>0</v>
      </c>
      <c r="R57" s="285">
        <v>0</v>
      </c>
      <c r="S57" s="285">
        <v>0</v>
      </c>
      <c r="T57" s="287">
        <v>0</v>
      </c>
      <c r="U57" s="289">
        <v>0</v>
      </c>
      <c r="V57" s="289">
        <v>0</v>
      </c>
      <c r="W57" s="289">
        <v>0</v>
      </c>
      <c r="X57" s="289"/>
      <c r="Y57" s="289">
        <v>0</v>
      </c>
      <c r="Z57" s="289">
        <v>0</v>
      </c>
      <c r="AA57" s="289">
        <v>0</v>
      </c>
      <c r="AB57" s="289">
        <v>0</v>
      </c>
      <c r="AC57" s="289">
        <v>0</v>
      </c>
      <c r="AD57" s="289">
        <v>0</v>
      </c>
      <c r="AE57" s="289">
        <v>0</v>
      </c>
      <c r="AF57" s="289">
        <v>0</v>
      </c>
      <c r="AG57" s="285">
        <v>0</v>
      </c>
      <c r="AH57" s="285"/>
      <c r="AI57" s="285"/>
      <c r="AJ57" s="285"/>
      <c r="AK57" s="285"/>
      <c r="AL57" s="287"/>
      <c r="AM57" s="285"/>
      <c r="AN57" s="285"/>
      <c r="AO57" s="285"/>
      <c r="AP57" s="285"/>
      <c r="AQ57" s="289"/>
      <c r="AR57" s="285"/>
      <c r="AS57" s="166"/>
      <c r="AT57" s="163">
        <f t="shared" si="22"/>
        <v>0</v>
      </c>
      <c r="AU57" s="168"/>
    </row>
    <row r="58" spans="1:47" s="378" customFormat="1" x14ac:dyDescent="0.35">
      <c r="A58" s="414">
        <v>6</v>
      </c>
      <c r="B58" s="862"/>
      <c r="C58" s="470" t="s">
        <v>497</v>
      </c>
      <c r="D58" s="287">
        <v>300</v>
      </c>
      <c r="E58" s="287">
        <v>317</v>
      </c>
      <c r="F58" s="471">
        <v>317</v>
      </c>
      <c r="G58" s="467">
        <f>237+80</f>
        <v>317</v>
      </c>
      <c r="H58" s="467">
        <f t="shared" si="19"/>
        <v>0</v>
      </c>
      <c r="I58" s="286">
        <v>191</v>
      </c>
      <c r="J58" s="289">
        <f t="shared" si="20"/>
        <v>191</v>
      </c>
      <c r="K58" s="286">
        <f t="shared" si="21"/>
        <v>126</v>
      </c>
      <c r="L58" s="472">
        <v>0</v>
      </c>
      <c r="M58" s="469"/>
      <c r="N58" s="287">
        <v>18</v>
      </c>
      <c r="O58" s="285">
        <v>0</v>
      </c>
      <c r="P58" s="285">
        <v>0</v>
      </c>
      <c r="Q58" s="285">
        <v>0</v>
      </c>
      <c r="R58" s="285">
        <v>0</v>
      </c>
      <c r="S58" s="285">
        <v>0</v>
      </c>
      <c r="T58" s="287">
        <v>0</v>
      </c>
      <c r="U58" s="289">
        <v>0</v>
      </c>
      <c r="V58" s="289">
        <v>0</v>
      </c>
      <c r="W58" s="289">
        <v>0</v>
      </c>
      <c r="X58" s="289"/>
      <c r="Y58" s="289">
        <v>0</v>
      </c>
      <c r="Z58" s="289">
        <v>0</v>
      </c>
      <c r="AA58" s="289">
        <v>0</v>
      </c>
      <c r="AB58" s="289">
        <v>0</v>
      </c>
      <c r="AC58" s="289">
        <v>0</v>
      </c>
      <c r="AD58" s="289">
        <v>0</v>
      </c>
      <c r="AE58" s="289">
        <v>0</v>
      </c>
      <c r="AF58" s="289">
        <v>0</v>
      </c>
      <c r="AG58" s="285">
        <v>0</v>
      </c>
      <c r="AH58" s="285"/>
      <c r="AI58" s="285"/>
      <c r="AJ58" s="285"/>
      <c r="AK58" s="285"/>
      <c r="AL58" s="287"/>
      <c r="AM58" s="285"/>
      <c r="AN58" s="285"/>
      <c r="AO58" s="285"/>
      <c r="AP58" s="285"/>
      <c r="AQ58" s="289"/>
      <c r="AR58" s="285"/>
      <c r="AS58" s="166"/>
      <c r="AT58" s="167">
        <f t="shared" si="22"/>
        <v>0</v>
      </c>
      <c r="AU58" s="168"/>
    </row>
    <row r="59" spans="1:47" s="378" customFormat="1" x14ac:dyDescent="0.35">
      <c r="A59" s="414">
        <v>7</v>
      </c>
      <c r="B59" s="862"/>
      <c r="C59" s="470" t="s">
        <v>498</v>
      </c>
      <c r="D59" s="870">
        <v>610</v>
      </c>
      <c r="E59" s="287">
        <v>202</v>
      </c>
      <c r="F59" s="471">
        <v>202.33</v>
      </c>
      <c r="G59" s="467">
        <v>202.33</v>
      </c>
      <c r="H59" s="467">
        <f t="shared" si="19"/>
        <v>-0.33000000000001251</v>
      </c>
      <c r="I59" s="286">
        <v>56.5</v>
      </c>
      <c r="J59" s="289">
        <f t="shared" si="20"/>
        <v>56.5</v>
      </c>
      <c r="K59" s="286">
        <f t="shared" si="21"/>
        <v>145.83000000000001</v>
      </c>
      <c r="L59" s="472">
        <v>0</v>
      </c>
      <c r="M59" s="469"/>
      <c r="N59" s="689">
        <v>0</v>
      </c>
      <c r="O59" s="285">
        <v>0</v>
      </c>
      <c r="P59" s="285">
        <v>0</v>
      </c>
      <c r="Q59" s="285">
        <v>0</v>
      </c>
      <c r="R59" s="285">
        <v>0</v>
      </c>
      <c r="S59" s="285">
        <v>0</v>
      </c>
      <c r="T59" s="287">
        <v>0</v>
      </c>
      <c r="U59" s="289">
        <v>0</v>
      </c>
      <c r="V59" s="289">
        <v>0</v>
      </c>
      <c r="W59" s="289">
        <v>0</v>
      </c>
      <c r="X59" s="289"/>
      <c r="Y59" s="289">
        <v>0</v>
      </c>
      <c r="Z59" s="289">
        <v>0</v>
      </c>
      <c r="AA59" s="289">
        <v>0</v>
      </c>
      <c r="AB59" s="289">
        <v>0</v>
      </c>
      <c r="AC59" s="289">
        <v>0</v>
      </c>
      <c r="AD59" s="289">
        <v>0</v>
      </c>
      <c r="AE59" s="289">
        <v>0</v>
      </c>
      <c r="AF59" s="289">
        <v>0</v>
      </c>
      <c r="AG59" s="285">
        <v>0</v>
      </c>
      <c r="AH59" s="285"/>
      <c r="AI59" s="285"/>
      <c r="AJ59" s="285"/>
      <c r="AK59" s="285"/>
      <c r="AL59" s="287"/>
      <c r="AM59" s="285"/>
      <c r="AN59" s="285"/>
      <c r="AO59" s="285"/>
      <c r="AP59" s="285"/>
      <c r="AQ59" s="289"/>
      <c r="AR59" s="285"/>
      <c r="AS59" s="166"/>
      <c r="AT59" s="167">
        <f t="shared" si="22"/>
        <v>0</v>
      </c>
      <c r="AU59" s="168"/>
    </row>
    <row r="60" spans="1:47" s="378" customFormat="1" x14ac:dyDescent="0.35">
      <c r="A60" s="414">
        <v>8</v>
      </c>
      <c r="B60" s="862"/>
      <c r="C60" s="470" t="s">
        <v>499</v>
      </c>
      <c r="D60" s="871"/>
      <c r="E60" s="287">
        <v>183</v>
      </c>
      <c r="F60" s="471">
        <v>183</v>
      </c>
      <c r="G60" s="467">
        <v>183</v>
      </c>
      <c r="H60" s="467">
        <f t="shared" si="19"/>
        <v>0</v>
      </c>
      <c r="I60" s="286">
        <v>0</v>
      </c>
      <c r="J60" s="289">
        <f t="shared" si="20"/>
        <v>0</v>
      </c>
      <c r="K60" s="286">
        <f t="shared" si="21"/>
        <v>183</v>
      </c>
      <c r="L60" s="472">
        <v>0</v>
      </c>
      <c r="M60" s="469"/>
      <c r="N60" s="689">
        <v>0</v>
      </c>
      <c r="O60" s="285">
        <v>0</v>
      </c>
      <c r="P60" s="285">
        <v>0</v>
      </c>
      <c r="Q60" s="285">
        <v>0</v>
      </c>
      <c r="R60" s="285">
        <v>0</v>
      </c>
      <c r="S60" s="285">
        <v>0</v>
      </c>
      <c r="T60" s="287">
        <v>0</v>
      </c>
      <c r="U60" s="289">
        <v>0</v>
      </c>
      <c r="V60" s="289">
        <v>0</v>
      </c>
      <c r="W60" s="289">
        <v>0</v>
      </c>
      <c r="X60" s="289"/>
      <c r="Y60" s="289">
        <v>0</v>
      </c>
      <c r="Z60" s="289">
        <v>0</v>
      </c>
      <c r="AA60" s="289">
        <v>0</v>
      </c>
      <c r="AB60" s="289">
        <v>0</v>
      </c>
      <c r="AC60" s="289">
        <v>0</v>
      </c>
      <c r="AD60" s="289">
        <v>0</v>
      </c>
      <c r="AE60" s="289">
        <v>0</v>
      </c>
      <c r="AF60" s="289">
        <v>0</v>
      </c>
      <c r="AG60" s="285">
        <v>0</v>
      </c>
      <c r="AH60" s="285"/>
      <c r="AI60" s="285"/>
      <c r="AJ60" s="285"/>
      <c r="AK60" s="285"/>
      <c r="AL60" s="287"/>
      <c r="AM60" s="285"/>
      <c r="AN60" s="285"/>
      <c r="AO60" s="285"/>
      <c r="AP60" s="285"/>
      <c r="AQ60" s="289"/>
      <c r="AR60" s="285"/>
      <c r="AS60" s="166"/>
      <c r="AT60" s="167">
        <f t="shared" si="22"/>
        <v>0</v>
      </c>
      <c r="AU60" s="168"/>
    </row>
    <row r="61" spans="1:47" s="379" customFormat="1" x14ac:dyDescent="0.35">
      <c r="A61" s="473">
        <v>9</v>
      </c>
      <c r="B61" s="862"/>
      <c r="C61" s="622" t="s">
        <v>500</v>
      </c>
      <c r="D61" s="872"/>
      <c r="E61" s="595">
        <v>22.27</v>
      </c>
      <c r="F61" s="623">
        <v>22</v>
      </c>
      <c r="G61" s="624">
        <v>22.27</v>
      </c>
      <c r="H61" s="624">
        <f t="shared" si="19"/>
        <v>0</v>
      </c>
      <c r="I61" s="625">
        <v>0</v>
      </c>
      <c r="J61" s="479">
        <f t="shared" si="20"/>
        <v>0</v>
      </c>
      <c r="K61" s="625">
        <f t="shared" si="21"/>
        <v>22.27</v>
      </c>
      <c r="L61" s="626">
        <v>0</v>
      </c>
      <c r="M61" s="476"/>
      <c r="N61" s="689">
        <v>0</v>
      </c>
      <c r="O61" s="285">
        <v>0</v>
      </c>
      <c r="P61" s="285">
        <v>0</v>
      </c>
      <c r="Q61" s="285">
        <v>0</v>
      </c>
      <c r="R61" s="285">
        <v>0</v>
      </c>
      <c r="S61" s="285">
        <v>0</v>
      </c>
      <c r="T61" s="287">
        <v>0</v>
      </c>
      <c r="U61" s="289">
        <v>0</v>
      </c>
      <c r="V61" s="289">
        <v>0</v>
      </c>
      <c r="W61" s="289">
        <v>0</v>
      </c>
      <c r="X61" s="289"/>
      <c r="Y61" s="289">
        <v>0</v>
      </c>
      <c r="Z61" s="289">
        <v>0</v>
      </c>
      <c r="AA61" s="289">
        <v>0</v>
      </c>
      <c r="AB61" s="289">
        <v>0</v>
      </c>
      <c r="AC61" s="289">
        <v>0</v>
      </c>
      <c r="AD61" s="289">
        <v>0</v>
      </c>
      <c r="AE61" s="289">
        <v>0</v>
      </c>
      <c r="AF61" s="289">
        <v>0</v>
      </c>
      <c r="AG61" s="285">
        <v>0</v>
      </c>
      <c r="AH61" s="285"/>
      <c r="AI61" s="285"/>
      <c r="AJ61" s="285"/>
      <c r="AK61" s="285"/>
      <c r="AL61" s="287"/>
      <c r="AM61" s="285"/>
      <c r="AN61" s="285"/>
      <c r="AO61" s="285"/>
      <c r="AP61" s="285"/>
      <c r="AQ61" s="289"/>
      <c r="AR61" s="285"/>
      <c r="AS61" s="166"/>
      <c r="AT61" s="477">
        <f t="shared" si="22"/>
        <v>0</v>
      </c>
      <c r="AU61" s="478"/>
    </row>
    <row r="62" spans="1:47" s="378" customFormat="1" x14ac:dyDescent="0.35">
      <c r="A62" s="414">
        <v>10</v>
      </c>
      <c r="B62" s="862"/>
      <c r="C62" s="470" t="s">
        <v>266</v>
      </c>
      <c r="D62" s="287">
        <v>200</v>
      </c>
      <c r="E62" s="287">
        <v>275</v>
      </c>
      <c r="F62" s="471">
        <v>275</v>
      </c>
      <c r="G62" s="467">
        <f>275</f>
        <v>275</v>
      </c>
      <c r="H62" s="467">
        <f t="shared" si="19"/>
        <v>0</v>
      </c>
      <c r="I62" s="286">
        <v>216.34</v>
      </c>
      <c r="J62" s="289">
        <f t="shared" si="20"/>
        <v>226.34</v>
      </c>
      <c r="K62" s="286">
        <f t="shared" si="21"/>
        <v>48.66</v>
      </c>
      <c r="L62" s="472">
        <v>0</v>
      </c>
      <c r="M62" s="469"/>
      <c r="N62" s="287">
        <v>33</v>
      </c>
      <c r="O62" s="285">
        <v>0</v>
      </c>
      <c r="P62" s="285">
        <v>0</v>
      </c>
      <c r="Q62" s="285">
        <v>0</v>
      </c>
      <c r="R62" s="285">
        <v>0</v>
      </c>
      <c r="S62" s="285">
        <v>0</v>
      </c>
      <c r="T62" s="287">
        <v>0</v>
      </c>
      <c r="U62" s="289">
        <v>0</v>
      </c>
      <c r="V62" s="289">
        <v>0</v>
      </c>
      <c r="W62" s="289">
        <v>0</v>
      </c>
      <c r="X62" s="289"/>
      <c r="Y62" s="289">
        <v>0</v>
      </c>
      <c r="Z62" s="289">
        <v>0</v>
      </c>
      <c r="AA62" s="289">
        <v>0</v>
      </c>
      <c r="AB62" s="289">
        <v>10</v>
      </c>
      <c r="AC62" s="289">
        <v>0</v>
      </c>
      <c r="AD62" s="289">
        <v>0</v>
      </c>
      <c r="AE62" s="289">
        <v>0</v>
      </c>
      <c r="AF62" s="289">
        <v>0</v>
      </c>
      <c r="AG62" s="285">
        <v>0</v>
      </c>
      <c r="AH62" s="285"/>
      <c r="AI62" s="285"/>
      <c r="AJ62" s="285"/>
      <c r="AK62" s="285"/>
      <c r="AL62" s="287"/>
      <c r="AM62" s="285"/>
      <c r="AN62" s="285"/>
      <c r="AO62" s="285"/>
      <c r="AP62" s="285"/>
      <c r="AQ62" s="289"/>
      <c r="AR62" s="285"/>
      <c r="AS62" s="166"/>
      <c r="AT62" s="167">
        <f t="shared" si="22"/>
        <v>10</v>
      </c>
      <c r="AU62" s="168"/>
    </row>
    <row r="63" spans="1:47" s="378" customFormat="1" x14ac:dyDescent="0.35">
      <c r="A63" s="414">
        <v>11</v>
      </c>
      <c r="B63" s="862"/>
      <c r="C63" s="470" t="s">
        <v>501</v>
      </c>
      <c r="D63" s="287">
        <v>250</v>
      </c>
      <c r="E63" s="287">
        <v>433</v>
      </c>
      <c r="F63" s="471">
        <v>432.57</v>
      </c>
      <c r="G63" s="467">
        <v>432.57</v>
      </c>
      <c r="H63" s="467">
        <f t="shared" si="19"/>
        <v>0.43000000000000682</v>
      </c>
      <c r="I63" s="286">
        <v>70</v>
      </c>
      <c r="J63" s="289">
        <f t="shared" si="20"/>
        <v>146.1</v>
      </c>
      <c r="K63" s="286">
        <f t="shared" si="21"/>
        <v>286.47000000000003</v>
      </c>
      <c r="L63" s="472">
        <v>0</v>
      </c>
      <c r="M63" s="469"/>
      <c r="N63" s="287">
        <v>90</v>
      </c>
      <c r="O63" s="285">
        <v>1</v>
      </c>
      <c r="P63" s="285">
        <v>3</v>
      </c>
      <c r="Q63" s="285">
        <v>0</v>
      </c>
      <c r="R63" s="285">
        <v>4</v>
      </c>
      <c r="S63" s="285">
        <v>2</v>
      </c>
      <c r="T63" s="287">
        <v>0</v>
      </c>
      <c r="U63" s="289">
        <v>8.1</v>
      </c>
      <c r="V63" s="289">
        <v>5</v>
      </c>
      <c r="W63" s="289">
        <v>7</v>
      </c>
      <c r="X63" s="289">
        <v>5</v>
      </c>
      <c r="Y63" s="289">
        <v>0</v>
      </c>
      <c r="Z63" s="285">
        <v>12</v>
      </c>
      <c r="AA63" s="285">
        <v>8</v>
      </c>
      <c r="AB63" s="289">
        <v>0</v>
      </c>
      <c r="AC63" s="289">
        <v>0</v>
      </c>
      <c r="AD63" s="285">
        <v>10</v>
      </c>
      <c r="AE63" s="289">
        <v>0</v>
      </c>
      <c r="AF63" s="289">
        <v>0</v>
      </c>
      <c r="AG63" s="285">
        <v>11</v>
      </c>
      <c r="AH63" s="285"/>
      <c r="AI63" s="285"/>
      <c r="AJ63" s="285"/>
      <c r="AK63" s="285"/>
      <c r="AL63" s="287"/>
      <c r="AM63" s="285"/>
      <c r="AN63" s="285"/>
      <c r="AO63" s="285"/>
      <c r="AP63" s="285"/>
      <c r="AQ63" s="289"/>
      <c r="AR63" s="285"/>
      <c r="AS63" s="166"/>
      <c r="AT63" s="167">
        <f t="shared" si="22"/>
        <v>76.099999999999994</v>
      </c>
      <c r="AU63" s="168"/>
    </row>
    <row r="64" spans="1:47" s="378" customFormat="1" x14ac:dyDescent="0.35">
      <c r="A64" s="414">
        <v>12</v>
      </c>
      <c r="B64" s="862"/>
      <c r="C64" s="470" t="s">
        <v>502</v>
      </c>
      <c r="D64" s="287">
        <v>90</v>
      </c>
      <c r="E64" s="287">
        <v>102.5</v>
      </c>
      <c r="F64" s="287">
        <v>102.5</v>
      </c>
      <c r="G64" s="467">
        <v>102.5</v>
      </c>
      <c r="H64" s="467">
        <f t="shared" si="19"/>
        <v>0</v>
      </c>
      <c r="I64" s="287">
        <v>0</v>
      </c>
      <c r="J64" s="289">
        <f t="shared" si="20"/>
        <v>0</v>
      </c>
      <c r="K64" s="287">
        <f>G64-J64</f>
        <v>102.5</v>
      </c>
      <c r="L64" s="171">
        <v>0</v>
      </c>
      <c r="M64" s="469"/>
      <c r="N64" s="287">
        <v>0</v>
      </c>
      <c r="O64" s="285">
        <v>0</v>
      </c>
      <c r="P64" s="285">
        <v>0</v>
      </c>
      <c r="Q64" s="285">
        <v>0</v>
      </c>
      <c r="R64" s="285">
        <v>0</v>
      </c>
      <c r="S64" s="285">
        <v>0</v>
      </c>
      <c r="T64" s="287">
        <v>0</v>
      </c>
      <c r="U64" s="289">
        <v>0</v>
      </c>
      <c r="V64" s="289">
        <v>0</v>
      </c>
      <c r="W64" s="289">
        <v>0</v>
      </c>
      <c r="X64" s="289"/>
      <c r="Y64" s="289">
        <v>0</v>
      </c>
      <c r="Z64" s="289">
        <v>0</v>
      </c>
      <c r="AA64" s="289">
        <v>0</v>
      </c>
      <c r="AB64" s="289">
        <v>0</v>
      </c>
      <c r="AC64" s="289">
        <v>0</v>
      </c>
      <c r="AD64" s="289">
        <v>0</v>
      </c>
      <c r="AE64" s="289">
        <v>0</v>
      </c>
      <c r="AF64" s="289">
        <v>0</v>
      </c>
      <c r="AG64" s="285">
        <v>0</v>
      </c>
      <c r="AH64" s="285"/>
      <c r="AI64" s="285"/>
      <c r="AJ64" s="285"/>
      <c r="AK64" s="285"/>
      <c r="AL64" s="287"/>
      <c r="AM64" s="285"/>
      <c r="AN64" s="285"/>
      <c r="AO64" s="285"/>
      <c r="AP64" s="285"/>
      <c r="AQ64" s="289"/>
      <c r="AR64" s="285"/>
      <c r="AS64" s="166"/>
      <c r="AT64" s="167">
        <f t="shared" si="22"/>
        <v>0</v>
      </c>
      <c r="AU64" s="168"/>
    </row>
    <row r="65" spans="1:47" s="378" customFormat="1" x14ac:dyDescent="0.35">
      <c r="A65" s="414">
        <v>13</v>
      </c>
      <c r="B65" s="862"/>
      <c r="C65" s="470" t="s">
        <v>503</v>
      </c>
      <c r="D65" s="287">
        <v>60</v>
      </c>
      <c r="E65" s="287">
        <v>18</v>
      </c>
      <c r="F65" s="286">
        <v>18.3</v>
      </c>
      <c r="G65" s="467">
        <v>18</v>
      </c>
      <c r="H65" s="467">
        <f t="shared" si="19"/>
        <v>0</v>
      </c>
      <c r="I65" s="287">
        <v>0</v>
      </c>
      <c r="J65" s="289">
        <f t="shared" si="20"/>
        <v>0</v>
      </c>
      <c r="K65" s="287">
        <f t="shared" si="21"/>
        <v>18</v>
      </c>
      <c r="L65" s="171">
        <v>0</v>
      </c>
      <c r="M65" s="469"/>
      <c r="N65" s="287">
        <v>0</v>
      </c>
      <c r="O65" s="285">
        <v>0</v>
      </c>
      <c r="P65" s="285">
        <v>0</v>
      </c>
      <c r="Q65" s="285">
        <v>0</v>
      </c>
      <c r="R65" s="285">
        <v>0</v>
      </c>
      <c r="S65" s="285">
        <v>0</v>
      </c>
      <c r="T65" s="287">
        <v>0</v>
      </c>
      <c r="U65" s="289">
        <v>0</v>
      </c>
      <c r="V65" s="289">
        <v>0</v>
      </c>
      <c r="W65" s="289">
        <v>0</v>
      </c>
      <c r="X65" s="289"/>
      <c r="Y65" s="289">
        <v>0</v>
      </c>
      <c r="Z65" s="289">
        <v>0</v>
      </c>
      <c r="AA65" s="289">
        <v>0</v>
      </c>
      <c r="AB65" s="289">
        <v>0</v>
      </c>
      <c r="AC65" s="289">
        <v>0</v>
      </c>
      <c r="AD65" s="289">
        <v>0</v>
      </c>
      <c r="AE65" s="289">
        <v>0</v>
      </c>
      <c r="AF65" s="289">
        <v>0</v>
      </c>
      <c r="AG65" s="285">
        <v>0</v>
      </c>
      <c r="AH65" s="285"/>
      <c r="AI65" s="285"/>
      <c r="AJ65" s="285"/>
      <c r="AK65" s="285"/>
      <c r="AL65" s="287"/>
      <c r="AM65" s="285"/>
      <c r="AN65" s="285"/>
      <c r="AO65" s="285"/>
      <c r="AP65" s="285"/>
      <c r="AQ65" s="289"/>
      <c r="AR65" s="285"/>
      <c r="AS65" s="166"/>
      <c r="AT65" s="167">
        <f t="shared" si="22"/>
        <v>0</v>
      </c>
      <c r="AU65" s="168"/>
    </row>
    <row r="66" spans="1:47" s="378" customFormat="1" x14ac:dyDescent="0.35">
      <c r="A66" s="414">
        <v>15</v>
      </c>
      <c r="B66" s="862"/>
      <c r="C66" s="470" t="s">
        <v>504</v>
      </c>
      <c r="D66" s="870">
        <v>6200</v>
      </c>
      <c r="E66" s="689">
        <v>5170</v>
      </c>
      <c r="F66" s="689">
        <v>5170</v>
      </c>
      <c r="G66" s="467">
        <v>5170</v>
      </c>
      <c r="H66" s="467">
        <f t="shared" si="19"/>
        <v>0</v>
      </c>
      <c r="I66" s="286">
        <v>4877</v>
      </c>
      <c r="J66" s="289">
        <f t="shared" si="20"/>
        <v>4895</v>
      </c>
      <c r="K66" s="286">
        <f t="shared" si="21"/>
        <v>275</v>
      </c>
      <c r="L66" s="472">
        <f>J66/G66%</f>
        <v>94.680851063829778</v>
      </c>
      <c r="M66" s="469"/>
      <c r="N66" s="287">
        <v>0</v>
      </c>
      <c r="O66" s="285">
        <v>0</v>
      </c>
      <c r="P66" s="285">
        <v>0</v>
      </c>
      <c r="Q66" s="285">
        <v>0</v>
      </c>
      <c r="R66" s="285">
        <v>0</v>
      </c>
      <c r="S66" s="285">
        <v>0</v>
      </c>
      <c r="T66" s="287">
        <v>0</v>
      </c>
      <c r="U66" s="289">
        <v>0</v>
      </c>
      <c r="V66" s="289">
        <v>0</v>
      </c>
      <c r="W66" s="289">
        <v>0</v>
      </c>
      <c r="X66" s="289">
        <v>15</v>
      </c>
      <c r="Y66" s="289">
        <v>0</v>
      </c>
      <c r="Z66" s="289">
        <v>0</v>
      </c>
      <c r="AA66" s="289">
        <v>0</v>
      </c>
      <c r="AB66" s="289">
        <v>0</v>
      </c>
      <c r="AC66" s="289">
        <v>0</v>
      </c>
      <c r="AD66" s="289">
        <v>0</v>
      </c>
      <c r="AE66" s="289">
        <v>0</v>
      </c>
      <c r="AF66" s="289">
        <v>0</v>
      </c>
      <c r="AG66" s="285">
        <v>3</v>
      </c>
      <c r="AH66" s="285"/>
      <c r="AI66" s="285"/>
      <c r="AJ66" s="285"/>
      <c r="AK66" s="285"/>
      <c r="AL66" s="287"/>
      <c r="AM66" s="285"/>
      <c r="AN66" s="285"/>
      <c r="AO66" s="285"/>
      <c r="AP66" s="285"/>
      <c r="AQ66" s="289"/>
      <c r="AR66" s="285"/>
      <c r="AS66" s="166"/>
      <c r="AT66" s="167">
        <f t="shared" si="22"/>
        <v>18</v>
      </c>
      <c r="AU66" s="168"/>
    </row>
    <row r="67" spans="1:47" s="378" customFormat="1" x14ac:dyDescent="0.35">
      <c r="A67" s="414">
        <v>16</v>
      </c>
      <c r="B67" s="862"/>
      <c r="C67" s="470" t="s">
        <v>209</v>
      </c>
      <c r="D67" s="871"/>
      <c r="E67" s="285">
        <v>1053</v>
      </c>
      <c r="F67" s="285">
        <v>1053</v>
      </c>
      <c r="G67" s="467">
        <v>1053</v>
      </c>
      <c r="H67" s="467">
        <f t="shared" si="19"/>
        <v>0</v>
      </c>
      <c r="I67" s="286">
        <v>996</v>
      </c>
      <c r="J67" s="289">
        <f t="shared" si="20"/>
        <v>1022</v>
      </c>
      <c r="K67" s="286">
        <f t="shared" si="21"/>
        <v>31</v>
      </c>
      <c r="L67" s="472">
        <f>J67/G67%</f>
        <v>97.056030389363727</v>
      </c>
      <c r="M67" s="469"/>
      <c r="N67" s="287">
        <v>83</v>
      </c>
      <c r="O67" s="285">
        <v>0</v>
      </c>
      <c r="P67" s="285">
        <v>0</v>
      </c>
      <c r="Q67" s="285">
        <v>0</v>
      </c>
      <c r="R67" s="285">
        <v>0</v>
      </c>
      <c r="S67" s="285">
        <v>0</v>
      </c>
      <c r="T67" s="287">
        <v>0</v>
      </c>
      <c r="U67" s="289">
        <v>0</v>
      </c>
      <c r="V67" s="289">
        <v>6</v>
      </c>
      <c r="W67" s="289">
        <v>0</v>
      </c>
      <c r="X67" s="289"/>
      <c r="Y67" s="289">
        <v>0</v>
      </c>
      <c r="Z67" s="289">
        <v>0</v>
      </c>
      <c r="AA67" s="289">
        <v>0</v>
      </c>
      <c r="AB67" s="289">
        <v>0</v>
      </c>
      <c r="AC67" s="289">
        <v>20</v>
      </c>
      <c r="AD67" s="289">
        <v>0</v>
      </c>
      <c r="AE67" s="289">
        <v>0</v>
      </c>
      <c r="AF67" s="289">
        <v>0</v>
      </c>
      <c r="AG67" s="285">
        <v>0</v>
      </c>
      <c r="AH67" s="285"/>
      <c r="AI67" s="285"/>
      <c r="AJ67" s="285"/>
      <c r="AK67" s="285"/>
      <c r="AL67" s="287"/>
      <c r="AM67" s="285"/>
      <c r="AN67" s="285"/>
      <c r="AO67" s="285"/>
      <c r="AP67" s="285"/>
      <c r="AQ67" s="289"/>
      <c r="AR67" s="285"/>
      <c r="AS67" s="166"/>
      <c r="AT67" s="167">
        <f t="shared" si="22"/>
        <v>26</v>
      </c>
      <c r="AU67" s="168"/>
    </row>
    <row r="68" spans="1:47" s="379" customFormat="1" ht="46.5" x14ac:dyDescent="0.35">
      <c r="A68" s="473">
        <v>17</v>
      </c>
      <c r="B68" s="862"/>
      <c r="C68" s="627" t="s">
        <v>505</v>
      </c>
      <c r="D68" s="872"/>
      <c r="E68" s="480">
        <v>3000</v>
      </c>
      <c r="F68" s="479">
        <v>800</v>
      </c>
      <c r="G68" s="479">
        <v>800</v>
      </c>
      <c r="H68" s="479">
        <f t="shared" si="19"/>
        <v>2200</v>
      </c>
      <c r="I68" s="625">
        <v>0</v>
      </c>
      <c r="J68" s="479">
        <f t="shared" si="20"/>
        <v>0</v>
      </c>
      <c r="K68" s="625">
        <f>G68-J68</f>
        <v>800</v>
      </c>
      <c r="L68" s="626">
        <f>J68/E68*100</f>
        <v>0</v>
      </c>
      <c r="M68" s="476"/>
      <c r="N68" s="595">
        <v>0</v>
      </c>
      <c r="O68" s="285">
        <v>0</v>
      </c>
      <c r="P68" s="285">
        <v>0</v>
      </c>
      <c r="Q68" s="285">
        <v>0</v>
      </c>
      <c r="R68" s="285">
        <v>0</v>
      </c>
      <c r="S68" s="285">
        <v>0</v>
      </c>
      <c r="T68" s="287">
        <v>0</v>
      </c>
      <c r="U68" s="289">
        <v>0</v>
      </c>
      <c r="V68" s="289">
        <v>0</v>
      </c>
      <c r="W68" s="289">
        <v>0</v>
      </c>
      <c r="X68" s="289"/>
      <c r="Y68" s="289">
        <v>0</v>
      </c>
      <c r="Z68" s="289">
        <v>0</v>
      </c>
      <c r="AA68" s="289">
        <v>0</v>
      </c>
      <c r="AB68" s="289">
        <v>0</v>
      </c>
      <c r="AC68" s="289">
        <v>0</v>
      </c>
      <c r="AD68" s="289">
        <v>0</v>
      </c>
      <c r="AE68" s="289">
        <v>0</v>
      </c>
      <c r="AF68" s="289">
        <v>0</v>
      </c>
      <c r="AG68" s="285">
        <v>0</v>
      </c>
      <c r="AH68" s="285"/>
      <c r="AI68" s="285"/>
      <c r="AJ68" s="285"/>
      <c r="AK68" s="285"/>
      <c r="AL68" s="287"/>
      <c r="AM68" s="285"/>
      <c r="AN68" s="285"/>
      <c r="AO68" s="285"/>
      <c r="AP68" s="285"/>
      <c r="AQ68" s="289"/>
      <c r="AR68" s="285"/>
      <c r="AS68" s="166"/>
      <c r="AT68" s="477">
        <f t="shared" si="22"/>
        <v>0</v>
      </c>
      <c r="AU68" s="478"/>
    </row>
    <row r="69" spans="1:47" s="378" customFormat="1" x14ac:dyDescent="0.35">
      <c r="A69" s="414">
        <v>18</v>
      </c>
      <c r="B69" s="862"/>
      <c r="C69" s="470" t="s">
        <v>506</v>
      </c>
      <c r="D69" s="287">
        <v>400</v>
      </c>
      <c r="E69" s="287">
        <v>280</v>
      </c>
      <c r="F69" s="471">
        <v>280</v>
      </c>
      <c r="G69" s="467">
        <v>280</v>
      </c>
      <c r="H69" s="467">
        <f t="shared" si="19"/>
        <v>0</v>
      </c>
      <c r="I69" s="286">
        <v>166.98000000000002</v>
      </c>
      <c r="J69" s="289">
        <f t="shared" si="20"/>
        <v>166.98000000000002</v>
      </c>
      <c r="K69" s="286">
        <f t="shared" si="21"/>
        <v>113.01999999999998</v>
      </c>
      <c r="L69" s="472">
        <f>J69/G69%</f>
        <v>59.635714285714293</v>
      </c>
      <c r="M69" s="469"/>
      <c r="N69" s="595">
        <v>14</v>
      </c>
      <c r="O69" s="285">
        <v>0</v>
      </c>
      <c r="P69" s="285">
        <v>0</v>
      </c>
      <c r="Q69" s="285">
        <v>0</v>
      </c>
      <c r="R69" s="285">
        <v>0</v>
      </c>
      <c r="S69" s="285">
        <v>0</v>
      </c>
      <c r="T69" s="287">
        <v>0</v>
      </c>
      <c r="U69" s="289">
        <v>0</v>
      </c>
      <c r="V69" s="289">
        <v>0</v>
      </c>
      <c r="W69" s="289">
        <v>0</v>
      </c>
      <c r="X69" s="289"/>
      <c r="Y69" s="289">
        <v>0</v>
      </c>
      <c r="Z69" s="289">
        <v>0</v>
      </c>
      <c r="AA69" s="289">
        <v>0</v>
      </c>
      <c r="AB69" s="289">
        <v>0</v>
      </c>
      <c r="AC69" s="289">
        <v>0</v>
      </c>
      <c r="AD69" s="289">
        <v>0</v>
      </c>
      <c r="AE69" s="289">
        <v>0</v>
      </c>
      <c r="AF69" s="289">
        <v>0</v>
      </c>
      <c r="AG69" s="285">
        <v>0</v>
      </c>
      <c r="AH69" s="285"/>
      <c r="AI69" s="285"/>
      <c r="AJ69" s="285"/>
      <c r="AK69" s="285"/>
      <c r="AL69" s="287"/>
      <c r="AM69" s="285"/>
      <c r="AN69" s="285"/>
      <c r="AO69" s="285"/>
      <c r="AP69" s="285"/>
      <c r="AQ69" s="289"/>
      <c r="AR69" s="285"/>
      <c r="AS69" s="166"/>
      <c r="AT69" s="167">
        <f t="shared" si="22"/>
        <v>0</v>
      </c>
      <c r="AU69" s="168"/>
    </row>
    <row r="70" spans="1:47" s="378" customFormat="1" ht="31" x14ac:dyDescent="0.35">
      <c r="A70" s="414">
        <v>19</v>
      </c>
      <c r="B70" s="862"/>
      <c r="C70" s="465" t="s">
        <v>507</v>
      </c>
      <c r="D70" s="419">
        <v>500</v>
      </c>
      <c r="E70" s="287">
        <v>265</v>
      </c>
      <c r="F70" s="286">
        <v>265</v>
      </c>
      <c r="G70" s="467">
        <f>41+123+50+51</f>
        <v>265</v>
      </c>
      <c r="H70" s="467">
        <f t="shared" si="19"/>
        <v>0</v>
      </c>
      <c r="I70" s="286">
        <v>269</v>
      </c>
      <c r="J70" s="289">
        <f t="shared" si="20"/>
        <v>269</v>
      </c>
      <c r="K70" s="286">
        <f t="shared" si="21"/>
        <v>-4</v>
      </c>
      <c r="L70" s="472">
        <v>0</v>
      </c>
      <c r="M70" s="469"/>
      <c r="N70" s="595">
        <v>0</v>
      </c>
      <c r="O70" s="285">
        <v>0</v>
      </c>
      <c r="P70" s="285">
        <v>0</v>
      </c>
      <c r="Q70" s="285">
        <v>0</v>
      </c>
      <c r="R70" s="285">
        <v>0</v>
      </c>
      <c r="S70" s="285">
        <v>0</v>
      </c>
      <c r="T70" s="287">
        <v>0</v>
      </c>
      <c r="U70" s="289">
        <v>0</v>
      </c>
      <c r="V70" s="289">
        <v>0</v>
      </c>
      <c r="W70" s="289">
        <v>0</v>
      </c>
      <c r="X70" s="289"/>
      <c r="Y70" s="289">
        <v>0</v>
      </c>
      <c r="Z70" s="289">
        <v>0</v>
      </c>
      <c r="AA70" s="289">
        <v>0</v>
      </c>
      <c r="AB70" s="289">
        <v>0</v>
      </c>
      <c r="AC70" s="289">
        <v>0</v>
      </c>
      <c r="AD70" s="289">
        <v>0</v>
      </c>
      <c r="AE70" s="289">
        <v>0</v>
      </c>
      <c r="AF70" s="289">
        <v>0</v>
      </c>
      <c r="AG70" s="285">
        <v>0</v>
      </c>
      <c r="AH70" s="285"/>
      <c r="AI70" s="285"/>
      <c r="AJ70" s="285"/>
      <c r="AK70" s="285"/>
      <c r="AL70" s="287"/>
      <c r="AM70" s="285"/>
      <c r="AN70" s="285"/>
      <c r="AO70" s="285"/>
      <c r="AP70" s="285"/>
      <c r="AQ70" s="289"/>
      <c r="AR70" s="285"/>
      <c r="AS70" s="166"/>
      <c r="AT70" s="167">
        <f t="shared" si="22"/>
        <v>0</v>
      </c>
      <c r="AU70" s="168"/>
    </row>
    <row r="71" spans="1:47" s="378" customFormat="1" x14ac:dyDescent="0.35">
      <c r="A71" s="414">
        <v>20</v>
      </c>
      <c r="B71" s="862"/>
      <c r="C71" s="470" t="s">
        <v>508</v>
      </c>
      <c r="D71" s="287">
        <v>100</v>
      </c>
      <c r="E71" s="287">
        <v>100</v>
      </c>
      <c r="F71" s="471">
        <v>100</v>
      </c>
      <c r="G71" s="467">
        <v>100</v>
      </c>
      <c r="H71" s="467">
        <f t="shared" si="19"/>
        <v>0</v>
      </c>
      <c r="I71" s="286">
        <v>0</v>
      </c>
      <c r="J71" s="289">
        <f t="shared" si="20"/>
        <v>0</v>
      </c>
      <c r="K71" s="286">
        <f t="shared" si="21"/>
        <v>100</v>
      </c>
      <c r="L71" s="472">
        <v>0</v>
      </c>
      <c r="M71" s="469"/>
      <c r="N71" s="595">
        <v>0</v>
      </c>
      <c r="O71" s="285">
        <v>0</v>
      </c>
      <c r="P71" s="285">
        <v>0</v>
      </c>
      <c r="Q71" s="285">
        <v>0</v>
      </c>
      <c r="R71" s="285">
        <v>0</v>
      </c>
      <c r="S71" s="285">
        <v>0</v>
      </c>
      <c r="T71" s="287">
        <v>0</v>
      </c>
      <c r="U71" s="289">
        <v>0</v>
      </c>
      <c r="V71" s="289">
        <v>0</v>
      </c>
      <c r="W71" s="289">
        <v>0</v>
      </c>
      <c r="X71" s="289"/>
      <c r="Y71" s="289">
        <v>0</v>
      </c>
      <c r="Z71" s="289">
        <v>0</v>
      </c>
      <c r="AA71" s="289">
        <v>0</v>
      </c>
      <c r="AB71" s="289">
        <v>0</v>
      </c>
      <c r="AC71" s="289">
        <v>0</v>
      </c>
      <c r="AD71" s="289">
        <v>0</v>
      </c>
      <c r="AE71" s="289">
        <v>0</v>
      </c>
      <c r="AF71" s="289">
        <v>0</v>
      </c>
      <c r="AG71" s="285">
        <v>0</v>
      </c>
      <c r="AH71" s="285"/>
      <c r="AI71" s="285"/>
      <c r="AJ71" s="285"/>
      <c r="AK71" s="285"/>
      <c r="AL71" s="287"/>
      <c r="AM71" s="285"/>
      <c r="AN71" s="285"/>
      <c r="AO71" s="285"/>
      <c r="AP71" s="285"/>
      <c r="AQ71" s="289"/>
      <c r="AR71" s="285"/>
      <c r="AS71" s="166"/>
      <c r="AT71" s="167">
        <f t="shared" si="22"/>
        <v>0</v>
      </c>
      <c r="AU71" s="168"/>
    </row>
    <row r="72" spans="1:47" s="378" customFormat="1" x14ac:dyDescent="0.35">
      <c r="A72" s="414">
        <v>21</v>
      </c>
      <c r="B72" s="862"/>
      <c r="C72" s="470" t="s">
        <v>509</v>
      </c>
      <c r="D72" s="287">
        <v>80</v>
      </c>
      <c r="E72" s="287">
        <v>38</v>
      </c>
      <c r="F72" s="471">
        <v>38</v>
      </c>
      <c r="G72" s="467">
        <v>38</v>
      </c>
      <c r="H72" s="467">
        <f t="shared" si="19"/>
        <v>0</v>
      </c>
      <c r="I72" s="286">
        <v>0</v>
      </c>
      <c r="J72" s="289">
        <f t="shared" si="20"/>
        <v>0</v>
      </c>
      <c r="K72" s="286">
        <f t="shared" si="21"/>
        <v>38</v>
      </c>
      <c r="L72" s="472">
        <v>0</v>
      </c>
      <c r="M72" s="469"/>
      <c r="N72" s="595">
        <v>0</v>
      </c>
      <c r="O72" s="285">
        <v>0</v>
      </c>
      <c r="P72" s="285">
        <v>0</v>
      </c>
      <c r="Q72" s="285">
        <v>0</v>
      </c>
      <c r="R72" s="285">
        <v>0</v>
      </c>
      <c r="S72" s="285">
        <v>0</v>
      </c>
      <c r="T72" s="287">
        <v>0</v>
      </c>
      <c r="U72" s="289">
        <v>0</v>
      </c>
      <c r="V72" s="289">
        <v>0</v>
      </c>
      <c r="W72" s="289">
        <v>0</v>
      </c>
      <c r="X72" s="289"/>
      <c r="Y72" s="289">
        <v>0</v>
      </c>
      <c r="Z72" s="289">
        <v>0</v>
      </c>
      <c r="AA72" s="289">
        <v>0</v>
      </c>
      <c r="AB72" s="289">
        <v>0</v>
      </c>
      <c r="AC72" s="289">
        <v>0</v>
      </c>
      <c r="AD72" s="289">
        <v>0</v>
      </c>
      <c r="AE72" s="289">
        <v>0</v>
      </c>
      <c r="AF72" s="289">
        <v>0</v>
      </c>
      <c r="AG72" s="285">
        <v>0</v>
      </c>
      <c r="AH72" s="285"/>
      <c r="AI72" s="285"/>
      <c r="AJ72" s="285"/>
      <c r="AK72" s="285"/>
      <c r="AL72" s="287"/>
      <c r="AM72" s="285"/>
      <c r="AN72" s="285"/>
      <c r="AO72" s="285"/>
      <c r="AP72" s="285"/>
      <c r="AQ72" s="289"/>
      <c r="AR72" s="285"/>
      <c r="AS72" s="166"/>
      <c r="AT72" s="167">
        <f t="shared" si="22"/>
        <v>0</v>
      </c>
      <c r="AU72" s="168"/>
    </row>
    <row r="73" spans="1:47" s="378" customFormat="1" x14ac:dyDescent="0.35">
      <c r="A73" s="414">
        <v>22</v>
      </c>
      <c r="B73" s="862"/>
      <c r="C73" s="470" t="s">
        <v>510</v>
      </c>
      <c r="D73" s="287">
        <v>300</v>
      </c>
      <c r="E73" s="286">
        <v>221.86</v>
      </c>
      <c r="F73" s="471">
        <f>61.86+160</f>
        <v>221.86</v>
      </c>
      <c r="G73" s="467">
        <v>222</v>
      </c>
      <c r="H73" s="467">
        <f t="shared" si="19"/>
        <v>-0.13999999999998636</v>
      </c>
      <c r="I73" s="286">
        <v>0</v>
      </c>
      <c r="J73" s="289">
        <f t="shared" si="20"/>
        <v>0</v>
      </c>
      <c r="K73" s="286">
        <f t="shared" si="21"/>
        <v>222</v>
      </c>
      <c r="L73" s="472">
        <v>0</v>
      </c>
      <c r="M73" s="469"/>
      <c r="N73" s="595">
        <v>0</v>
      </c>
      <c r="O73" s="285">
        <v>0</v>
      </c>
      <c r="P73" s="285">
        <v>0</v>
      </c>
      <c r="Q73" s="285">
        <v>0</v>
      </c>
      <c r="R73" s="285">
        <v>0</v>
      </c>
      <c r="S73" s="285">
        <v>0</v>
      </c>
      <c r="T73" s="287">
        <v>0</v>
      </c>
      <c r="U73" s="289">
        <v>0</v>
      </c>
      <c r="V73" s="289">
        <v>0</v>
      </c>
      <c r="W73" s="289">
        <v>0</v>
      </c>
      <c r="X73" s="289"/>
      <c r="Y73" s="289">
        <v>0</v>
      </c>
      <c r="Z73" s="289">
        <v>0</v>
      </c>
      <c r="AA73" s="289">
        <v>0</v>
      </c>
      <c r="AB73" s="289">
        <v>0</v>
      </c>
      <c r="AC73" s="289">
        <v>0</v>
      </c>
      <c r="AD73" s="289">
        <v>0</v>
      </c>
      <c r="AE73" s="289">
        <v>0</v>
      </c>
      <c r="AF73" s="289">
        <v>0</v>
      </c>
      <c r="AG73" s="285">
        <v>0</v>
      </c>
      <c r="AH73" s="285"/>
      <c r="AI73" s="285"/>
      <c r="AJ73" s="285"/>
      <c r="AK73" s="285"/>
      <c r="AL73" s="287"/>
      <c r="AM73" s="285"/>
      <c r="AN73" s="285"/>
      <c r="AO73" s="285"/>
      <c r="AP73" s="285"/>
      <c r="AQ73" s="289"/>
      <c r="AR73" s="285"/>
      <c r="AS73" s="166"/>
      <c r="AT73" s="167">
        <f t="shared" si="22"/>
        <v>0</v>
      </c>
      <c r="AU73" s="168"/>
    </row>
    <row r="74" spans="1:47" s="378" customFormat="1" x14ac:dyDescent="0.35">
      <c r="A74" s="414">
        <v>23</v>
      </c>
      <c r="B74" s="862"/>
      <c r="C74" s="470" t="s">
        <v>511</v>
      </c>
      <c r="D74" s="287">
        <v>150</v>
      </c>
      <c r="E74" s="287">
        <v>195</v>
      </c>
      <c r="F74" s="471">
        <v>195</v>
      </c>
      <c r="G74" s="467">
        <v>195</v>
      </c>
      <c r="H74" s="467">
        <f t="shared" si="19"/>
        <v>0</v>
      </c>
      <c r="I74" s="286">
        <v>0</v>
      </c>
      <c r="J74" s="289">
        <f t="shared" si="20"/>
        <v>0</v>
      </c>
      <c r="K74" s="286">
        <f t="shared" si="21"/>
        <v>195</v>
      </c>
      <c r="L74" s="472">
        <v>0</v>
      </c>
      <c r="M74" s="469"/>
      <c r="N74" s="595">
        <v>0</v>
      </c>
      <c r="O74" s="285">
        <v>0</v>
      </c>
      <c r="P74" s="285">
        <v>0</v>
      </c>
      <c r="Q74" s="285">
        <v>0</v>
      </c>
      <c r="R74" s="285">
        <v>0</v>
      </c>
      <c r="S74" s="285">
        <v>0</v>
      </c>
      <c r="T74" s="287">
        <v>0</v>
      </c>
      <c r="U74" s="289">
        <v>0</v>
      </c>
      <c r="V74" s="289">
        <v>0</v>
      </c>
      <c r="W74" s="289">
        <v>0</v>
      </c>
      <c r="X74" s="289"/>
      <c r="Y74" s="289">
        <v>0</v>
      </c>
      <c r="Z74" s="289">
        <v>0</v>
      </c>
      <c r="AA74" s="289">
        <v>0</v>
      </c>
      <c r="AB74" s="289">
        <v>0</v>
      </c>
      <c r="AC74" s="289">
        <v>0</v>
      </c>
      <c r="AD74" s="289">
        <v>0</v>
      </c>
      <c r="AE74" s="289">
        <v>0</v>
      </c>
      <c r="AF74" s="289">
        <v>0</v>
      </c>
      <c r="AG74" s="285">
        <v>0</v>
      </c>
      <c r="AH74" s="285"/>
      <c r="AI74" s="285"/>
      <c r="AJ74" s="285"/>
      <c r="AK74" s="285"/>
      <c r="AL74" s="287"/>
      <c r="AM74" s="285"/>
      <c r="AN74" s="285"/>
      <c r="AO74" s="285"/>
      <c r="AP74" s="285"/>
      <c r="AQ74" s="289"/>
      <c r="AR74" s="285"/>
      <c r="AS74" s="166"/>
      <c r="AT74" s="167">
        <f t="shared" si="22"/>
        <v>0</v>
      </c>
      <c r="AU74" s="168"/>
    </row>
    <row r="75" spans="1:47" s="378" customFormat="1" ht="31" x14ac:dyDescent="0.35">
      <c r="A75" s="414">
        <v>24</v>
      </c>
      <c r="B75" s="862"/>
      <c r="C75" s="465" t="s">
        <v>512</v>
      </c>
      <c r="D75" s="419">
        <v>400</v>
      </c>
      <c r="E75" s="287">
        <v>291</v>
      </c>
      <c r="F75" s="286">
        <v>290.74</v>
      </c>
      <c r="G75" s="289">
        <v>290.74</v>
      </c>
      <c r="H75" s="289">
        <f t="shared" si="19"/>
        <v>0.25999999999999091</v>
      </c>
      <c r="I75" s="286">
        <v>38</v>
      </c>
      <c r="J75" s="289">
        <f t="shared" si="20"/>
        <v>48.4</v>
      </c>
      <c r="K75" s="286">
        <f>G75-J75</f>
        <v>242.34</v>
      </c>
      <c r="L75" s="472">
        <f>J75/G75%</f>
        <v>16.647176171149479</v>
      </c>
      <c r="M75" s="469"/>
      <c r="N75" s="595">
        <v>63</v>
      </c>
      <c r="O75" s="285">
        <v>0</v>
      </c>
      <c r="P75" s="285">
        <v>0</v>
      </c>
      <c r="Q75" s="285">
        <v>0</v>
      </c>
      <c r="R75" s="285">
        <v>0</v>
      </c>
      <c r="S75" s="285">
        <v>0</v>
      </c>
      <c r="T75" s="287">
        <v>3</v>
      </c>
      <c r="U75" s="289">
        <v>1.4</v>
      </c>
      <c r="V75" s="289">
        <v>0</v>
      </c>
      <c r="W75" s="289">
        <v>0</v>
      </c>
      <c r="X75" s="289">
        <v>3</v>
      </c>
      <c r="Y75" s="289">
        <v>0</v>
      </c>
      <c r="Z75" s="289">
        <v>0</v>
      </c>
      <c r="AA75" s="289">
        <v>0</v>
      </c>
      <c r="AB75" s="289">
        <v>0</v>
      </c>
      <c r="AC75" s="289">
        <v>0</v>
      </c>
      <c r="AD75" s="289">
        <v>0</v>
      </c>
      <c r="AE75" s="289">
        <v>0</v>
      </c>
      <c r="AF75" s="289">
        <v>0</v>
      </c>
      <c r="AG75" s="285">
        <v>3</v>
      </c>
      <c r="AH75" s="285"/>
      <c r="AI75" s="285"/>
      <c r="AJ75" s="285"/>
      <c r="AK75" s="285"/>
      <c r="AL75" s="287"/>
      <c r="AM75" s="285"/>
      <c r="AN75" s="285"/>
      <c r="AO75" s="285"/>
      <c r="AP75" s="285"/>
      <c r="AQ75" s="285"/>
      <c r="AR75" s="285"/>
      <c r="AS75" s="166"/>
      <c r="AT75" s="167">
        <f>SUM(O75:AS75)</f>
        <v>10.4</v>
      </c>
      <c r="AU75" s="168"/>
    </row>
    <row r="76" spans="1:47" s="378" customFormat="1" x14ac:dyDescent="0.35">
      <c r="A76" s="414">
        <v>26</v>
      </c>
      <c r="B76" s="862"/>
      <c r="C76" s="465" t="s">
        <v>475</v>
      </c>
      <c r="D76" s="419">
        <v>800</v>
      </c>
      <c r="E76" s="621">
        <f>807.5+55+65.18+48+727.2</f>
        <v>1702.88</v>
      </c>
      <c r="F76" s="621">
        <f>807.5+55+65.18+48+727.2</f>
        <v>1702.88</v>
      </c>
      <c r="G76" s="621">
        <f>807.5+55+65.18+48+727.2</f>
        <v>1702.88</v>
      </c>
      <c r="H76" s="467">
        <f t="shared" si="19"/>
        <v>0</v>
      </c>
      <c r="I76" s="286">
        <v>0</v>
      </c>
      <c r="J76" s="289">
        <f t="shared" si="20"/>
        <v>0</v>
      </c>
      <c r="K76" s="286">
        <f t="shared" si="21"/>
        <v>1702.88</v>
      </c>
      <c r="L76" s="472">
        <f>J76/G76%</f>
        <v>0</v>
      </c>
      <c r="M76" s="469"/>
      <c r="N76" s="595">
        <v>0</v>
      </c>
      <c r="O76" s="285">
        <v>0</v>
      </c>
      <c r="P76" s="285">
        <v>0</v>
      </c>
      <c r="Q76" s="285">
        <v>0</v>
      </c>
      <c r="R76" s="285">
        <v>0</v>
      </c>
      <c r="S76" s="285">
        <v>0</v>
      </c>
      <c r="T76" s="287">
        <v>0</v>
      </c>
      <c r="U76" s="289">
        <v>0</v>
      </c>
      <c r="V76" s="289">
        <v>0</v>
      </c>
      <c r="W76" s="289">
        <v>0</v>
      </c>
      <c r="X76" s="289"/>
      <c r="Y76" s="289">
        <v>0</v>
      </c>
      <c r="Z76" s="289">
        <v>0</v>
      </c>
      <c r="AA76" s="289">
        <v>0</v>
      </c>
      <c r="AB76" s="289">
        <v>0</v>
      </c>
      <c r="AC76" s="289">
        <v>0</v>
      </c>
      <c r="AD76" s="289">
        <v>0</v>
      </c>
      <c r="AE76" s="289">
        <v>0</v>
      </c>
      <c r="AF76" s="289">
        <v>0</v>
      </c>
      <c r="AG76" s="285">
        <v>0</v>
      </c>
      <c r="AH76" s="285"/>
      <c r="AI76" s="285"/>
      <c r="AJ76" s="285"/>
      <c r="AK76" s="285"/>
      <c r="AL76" s="287"/>
      <c r="AM76" s="285"/>
      <c r="AN76" s="285"/>
      <c r="AO76" s="285"/>
      <c r="AP76" s="285"/>
      <c r="AQ76" s="285"/>
      <c r="AR76" s="285"/>
      <c r="AS76" s="166"/>
      <c r="AT76" s="167">
        <f>SUM(O76:AS76)</f>
        <v>0</v>
      </c>
      <c r="AU76" s="168"/>
    </row>
    <row r="77" spans="1:47" s="378" customFormat="1" ht="16" thickBot="1" x14ac:dyDescent="0.4">
      <c r="A77" s="414">
        <v>27</v>
      </c>
      <c r="B77" s="862"/>
      <c r="C77" s="465" t="s">
        <v>476</v>
      </c>
      <c r="D77" s="418">
        <v>0</v>
      </c>
      <c r="E77" s="689">
        <v>675</v>
      </c>
      <c r="F77" s="481">
        <v>0</v>
      </c>
      <c r="G77" s="467">
        <v>0</v>
      </c>
      <c r="H77" s="482">
        <f t="shared" si="19"/>
        <v>675</v>
      </c>
      <c r="I77" s="288">
        <v>0</v>
      </c>
      <c r="J77" s="289">
        <f t="shared" si="20"/>
        <v>0</v>
      </c>
      <c r="K77" s="288">
        <f>G77-J77</f>
        <v>0</v>
      </c>
      <c r="L77" s="483">
        <f>J77/E77%%</f>
        <v>0</v>
      </c>
      <c r="M77" s="484"/>
      <c r="N77" s="595">
        <v>0</v>
      </c>
      <c r="O77" s="285">
        <v>0</v>
      </c>
      <c r="P77" s="285">
        <v>0</v>
      </c>
      <c r="Q77" s="285">
        <v>0</v>
      </c>
      <c r="R77" s="285">
        <v>0</v>
      </c>
      <c r="S77" s="285">
        <v>0</v>
      </c>
      <c r="T77" s="287">
        <v>0</v>
      </c>
      <c r="U77" s="289">
        <v>0</v>
      </c>
      <c r="V77" s="289">
        <v>0</v>
      </c>
      <c r="W77" s="289">
        <v>0</v>
      </c>
      <c r="X77" s="289"/>
      <c r="Y77" s="289">
        <v>0</v>
      </c>
      <c r="Z77" s="289">
        <v>0</v>
      </c>
      <c r="AA77" s="289">
        <v>0</v>
      </c>
      <c r="AB77" s="289">
        <v>0</v>
      </c>
      <c r="AC77" s="289">
        <v>0</v>
      </c>
      <c r="AD77" s="289">
        <v>0</v>
      </c>
      <c r="AE77" s="289">
        <v>0</v>
      </c>
      <c r="AF77" s="289">
        <v>0</v>
      </c>
      <c r="AG77" s="285">
        <v>0</v>
      </c>
      <c r="AH77" s="285"/>
      <c r="AI77" s="285"/>
      <c r="AJ77" s="285"/>
      <c r="AK77" s="285"/>
      <c r="AL77" s="287"/>
      <c r="AM77" s="285"/>
      <c r="AN77" s="285"/>
      <c r="AO77" s="285"/>
      <c r="AP77" s="285"/>
      <c r="AQ77" s="285"/>
      <c r="AR77" s="285"/>
      <c r="AS77" s="166"/>
      <c r="AT77" s="232">
        <f>SUM(O77:AS77)</f>
        <v>0</v>
      </c>
      <c r="AU77" s="168"/>
    </row>
    <row r="78" spans="1:47" s="168" customFormat="1" ht="16" thickBot="1" x14ac:dyDescent="0.4">
      <c r="A78" s="199"/>
      <c r="B78" s="879"/>
      <c r="C78" s="294" t="s">
        <v>513</v>
      </c>
      <c r="D78" s="551">
        <f>SUM(D52:D77)</f>
        <v>15140</v>
      </c>
      <c r="E78" s="257">
        <f>SUM(E52:E77)</f>
        <v>20123.210000000003</v>
      </c>
      <c r="F78" s="295">
        <f>SUM(F52:F77)</f>
        <v>17247.48</v>
      </c>
      <c r="G78" s="211">
        <f>SUM(G52:G77)</f>
        <v>17247.59</v>
      </c>
      <c r="H78" s="295">
        <f t="shared" ref="H78" si="23">E78-G78</f>
        <v>2875.6200000000026</v>
      </c>
      <c r="I78" s="211">
        <f>SUM(I52:I77)</f>
        <v>10408.01</v>
      </c>
      <c r="J78" s="211">
        <f>I78+AT78</f>
        <v>10552.51</v>
      </c>
      <c r="K78" s="211">
        <f>E78-J78</f>
        <v>9570.7000000000025</v>
      </c>
      <c r="L78" s="296">
        <f>J78/E78%</f>
        <v>52.439496481923108</v>
      </c>
      <c r="M78" s="354"/>
      <c r="N78" s="97">
        <f t="shared" ref="N78:AT78" si="24">SUM(N52:N77)</f>
        <v>326</v>
      </c>
      <c r="O78" s="97">
        <f t="shared" si="24"/>
        <v>1</v>
      </c>
      <c r="P78" s="97">
        <f t="shared" si="24"/>
        <v>3</v>
      </c>
      <c r="Q78" s="97">
        <f t="shared" si="24"/>
        <v>0</v>
      </c>
      <c r="R78" s="97">
        <f t="shared" si="24"/>
        <v>4</v>
      </c>
      <c r="S78" s="97">
        <f t="shared" si="24"/>
        <v>2</v>
      </c>
      <c r="T78" s="97">
        <f t="shared" si="24"/>
        <v>3</v>
      </c>
      <c r="U78" s="257">
        <f t="shared" si="24"/>
        <v>9.5</v>
      </c>
      <c r="V78" s="97">
        <f t="shared" si="24"/>
        <v>15</v>
      </c>
      <c r="W78" s="97">
        <f t="shared" si="24"/>
        <v>7</v>
      </c>
      <c r="X78" s="97">
        <f t="shared" si="24"/>
        <v>23</v>
      </c>
      <c r="Y78" s="97">
        <f t="shared" si="24"/>
        <v>0</v>
      </c>
      <c r="Z78" s="97">
        <f t="shared" si="24"/>
        <v>12</v>
      </c>
      <c r="AA78" s="97">
        <f t="shared" si="24"/>
        <v>8</v>
      </c>
      <c r="AB78" s="97">
        <f t="shared" si="24"/>
        <v>10</v>
      </c>
      <c r="AC78" s="97">
        <f t="shared" si="24"/>
        <v>20</v>
      </c>
      <c r="AD78" s="97">
        <f t="shared" si="24"/>
        <v>10</v>
      </c>
      <c r="AE78" s="97">
        <f t="shared" si="24"/>
        <v>0</v>
      </c>
      <c r="AF78" s="97">
        <f t="shared" si="24"/>
        <v>0</v>
      </c>
      <c r="AG78" s="97">
        <f t="shared" si="24"/>
        <v>17</v>
      </c>
      <c r="AH78" s="97">
        <f t="shared" si="24"/>
        <v>0</v>
      </c>
      <c r="AI78" s="97">
        <f t="shared" si="24"/>
        <v>0</v>
      </c>
      <c r="AJ78" s="97">
        <f t="shared" si="24"/>
        <v>0</v>
      </c>
      <c r="AK78" s="97">
        <f t="shared" si="24"/>
        <v>0</v>
      </c>
      <c r="AL78" s="97">
        <f t="shared" si="24"/>
        <v>0</v>
      </c>
      <c r="AM78" s="97">
        <f t="shared" si="24"/>
        <v>0</v>
      </c>
      <c r="AN78" s="97">
        <f t="shared" si="24"/>
        <v>0</v>
      </c>
      <c r="AO78" s="97">
        <f t="shared" si="24"/>
        <v>0</v>
      </c>
      <c r="AP78" s="257">
        <f t="shared" si="24"/>
        <v>0</v>
      </c>
      <c r="AQ78" s="257">
        <f t="shared" si="24"/>
        <v>0</v>
      </c>
      <c r="AR78" s="97">
        <f t="shared" si="24"/>
        <v>0</v>
      </c>
      <c r="AS78" s="257">
        <f t="shared" si="24"/>
        <v>0</v>
      </c>
      <c r="AT78" s="257">
        <f t="shared" si="24"/>
        <v>144.5</v>
      </c>
    </row>
    <row r="79" spans="1:47" s="197" customFormat="1" ht="8.15" customHeight="1" x14ac:dyDescent="0.35">
      <c r="A79" s="188"/>
      <c r="B79" s="229"/>
      <c r="C79" s="189"/>
      <c r="D79" s="203"/>
      <c r="E79" s="191"/>
      <c r="F79" s="191"/>
      <c r="G79" s="191"/>
      <c r="H79" s="191"/>
      <c r="I79" s="191"/>
      <c r="J79" s="191"/>
      <c r="K79" s="191"/>
      <c r="L79" s="204"/>
      <c r="M79" s="205"/>
      <c r="N79" s="202"/>
      <c r="O79" s="191"/>
      <c r="P79" s="191"/>
      <c r="Q79" s="191"/>
      <c r="R79" s="191"/>
      <c r="S79" s="191"/>
      <c r="T79" s="191"/>
      <c r="U79" s="206"/>
      <c r="V79" s="206"/>
      <c r="W79" s="191"/>
      <c r="X79" s="206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206"/>
      <c r="AK79" s="191"/>
      <c r="AL79" s="191"/>
      <c r="AM79" s="191"/>
      <c r="AN79" s="191"/>
      <c r="AO79" s="191"/>
      <c r="AP79" s="191"/>
      <c r="AQ79" s="206"/>
      <c r="AR79" s="191"/>
      <c r="AS79" s="207"/>
      <c r="AT79" s="208"/>
    </row>
    <row r="80" spans="1:47" s="176" customFormat="1" ht="16" thickBot="1" x14ac:dyDescent="0.4">
      <c r="A80" s="509">
        <v>29</v>
      </c>
      <c r="B80" s="860" t="s">
        <v>125</v>
      </c>
      <c r="C80" s="510" t="s">
        <v>514</v>
      </c>
      <c r="D80" s="215">
        <v>1000</v>
      </c>
      <c r="E80" s="511">
        <v>1000</v>
      </c>
      <c r="F80" s="511">
        <v>1000</v>
      </c>
      <c r="G80" s="511">
        <v>811</v>
      </c>
      <c r="H80" s="105">
        <f>E80-G80</f>
        <v>189</v>
      </c>
      <c r="I80" s="154">
        <v>339</v>
      </c>
      <c r="J80" s="105">
        <f>I80+AT80</f>
        <v>367</v>
      </c>
      <c r="K80" s="105">
        <f>G80-J80</f>
        <v>444</v>
      </c>
      <c r="L80" s="512">
        <f>J80/G80%</f>
        <v>45.252774352651052</v>
      </c>
      <c r="M80" s="513"/>
      <c r="N80" s="509">
        <v>260</v>
      </c>
      <c r="O80" s="105">
        <v>3</v>
      </c>
      <c r="P80" s="416">
        <v>2</v>
      </c>
      <c r="Q80" s="105">
        <v>3</v>
      </c>
      <c r="R80" s="105">
        <v>0</v>
      </c>
      <c r="S80" s="416">
        <v>4</v>
      </c>
      <c r="T80" s="105">
        <v>2</v>
      </c>
      <c r="U80" s="154">
        <v>0</v>
      </c>
      <c r="V80" s="154">
        <v>0</v>
      </c>
      <c r="W80" s="105">
        <v>0</v>
      </c>
      <c r="X80" s="154">
        <v>0</v>
      </c>
      <c r="Y80" s="105">
        <v>0</v>
      </c>
      <c r="Z80" s="105">
        <v>0</v>
      </c>
      <c r="AA80" s="416">
        <v>0</v>
      </c>
      <c r="AB80" s="416">
        <v>0</v>
      </c>
      <c r="AC80" s="416">
        <v>0</v>
      </c>
      <c r="AD80" s="105">
        <v>4</v>
      </c>
      <c r="AE80" s="450">
        <v>0</v>
      </c>
      <c r="AF80" s="105">
        <v>0</v>
      </c>
      <c r="AG80" s="105">
        <v>10</v>
      </c>
      <c r="AH80" s="105"/>
      <c r="AI80" s="105"/>
      <c r="AJ80" s="154"/>
      <c r="AK80" s="154"/>
      <c r="AL80" s="154"/>
      <c r="AM80" s="105"/>
      <c r="AN80" s="105"/>
      <c r="AO80" s="105"/>
      <c r="AP80" s="105"/>
      <c r="AQ80" s="154"/>
      <c r="AR80" s="105"/>
      <c r="AS80" s="514"/>
      <c r="AT80" s="515">
        <f>SUM(O80:AS80)</f>
        <v>28</v>
      </c>
    </row>
    <row r="81" spans="1:46" s="176" customFormat="1" ht="16" thickBot="1" x14ac:dyDescent="0.4">
      <c r="A81" s="509"/>
      <c r="B81" s="880"/>
      <c r="C81" s="454" t="s">
        <v>515</v>
      </c>
      <c r="D81" s="552">
        <f>SUM(D80)</f>
        <v>1000</v>
      </c>
      <c r="E81" s="516">
        <f>SUM(E80)</f>
        <v>1000</v>
      </c>
      <c r="F81" s="516">
        <f>SUM(F80)</f>
        <v>1000</v>
      </c>
      <c r="G81" s="517">
        <f>SUM(G80)</f>
        <v>811</v>
      </c>
      <c r="H81" s="517">
        <f>E81-G81</f>
        <v>189</v>
      </c>
      <c r="I81" s="516">
        <f>I80</f>
        <v>339</v>
      </c>
      <c r="J81" s="517">
        <f>J80</f>
        <v>367</v>
      </c>
      <c r="K81" s="517">
        <f>E81-J81</f>
        <v>633</v>
      </c>
      <c r="L81" s="518">
        <f>J81/E81%</f>
        <v>36.700000000000003</v>
      </c>
      <c r="M81" s="513"/>
      <c r="N81" s="519">
        <f>N80</f>
        <v>260</v>
      </c>
      <c r="O81" s="519">
        <f t="shared" ref="O81:AS81" si="25">O80</f>
        <v>3</v>
      </c>
      <c r="P81" s="519">
        <f t="shared" si="25"/>
        <v>2</v>
      </c>
      <c r="Q81" s="519">
        <f t="shared" si="25"/>
        <v>3</v>
      </c>
      <c r="R81" s="519">
        <f t="shared" si="25"/>
        <v>0</v>
      </c>
      <c r="S81" s="519">
        <f t="shared" si="25"/>
        <v>4</v>
      </c>
      <c r="T81" s="519">
        <f t="shared" si="25"/>
        <v>2</v>
      </c>
      <c r="U81" s="519">
        <f t="shared" si="25"/>
        <v>0</v>
      </c>
      <c r="V81" s="519">
        <f t="shared" si="25"/>
        <v>0</v>
      </c>
      <c r="W81" s="519">
        <f>W80</f>
        <v>0</v>
      </c>
      <c r="X81" s="519">
        <f t="shared" si="25"/>
        <v>0</v>
      </c>
      <c r="Y81" s="519">
        <f t="shared" si="25"/>
        <v>0</v>
      </c>
      <c r="Z81" s="519">
        <f t="shared" si="25"/>
        <v>0</v>
      </c>
      <c r="AA81" s="519">
        <f t="shared" si="25"/>
        <v>0</v>
      </c>
      <c r="AB81" s="519">
        <f t="shared" si="25"/>
        <v>0</v>
      </c>
      <c r="AC81" s="519">
        <f t="shared" si="25"/>
        <v>0</v>
      </c>
      <c r="AD81" s="519">
        <f t="shared" si="25"/>
        <v>4</v>
      </c>
      <c r="AE81" s="519">
        <f t="shared" si="25"/>
        <v>0</v>
      </c>
      <c r="AF81" s="519">
        <f t="shared" si="25"/>
        <v>0</v>
      </c>
      <c r="AG81" s="519">
        <f t="shared" si="25"/>
        <v>10</v>
      </c>
      <c r="AH81" s="519">
        <f t="shared" si="25"/>
        <v>0</v>
      </c>
      <c r="AI81" s="519">
        <f t="shared" si="25"/>
        <v>0</v>
      </c>
      <c r="AJ81" s="519">
        <f t="shared" si="25"/>
        <v>0</v>
      </c>
      <c r="AK81" s="519">
        <f t="shared" si="25"/>
        <v>0</v>
      </c>
      <c r="AL81" s="519">
        <f t="shared" si="25"/>
        <v>0</v>
      </c>
      <c r="AM81" s="519">
        <f t="shared" si="25"/>
        <v>0</v>
      </c>
      <c r="AN81" s="519">
        <f t="shared" si="25"/>
        <v>0</v>
      </c>
      <c r="AO81" s="519">
        <f t="shared" si="25"/>
        <v>0</v>
      </c>
      <c r="AP81" s="519">
        <f t="shared" si="25"/>
        <v>0</v>
      </c>
      <c r="AQ81" s="519">
        <f t="shared" si="25"/>
        <v>0</v>
      </c>
      <c r="AR81" s="519">
        <f t="shared" si="25"/>
        <v>0</v>
      </c>
      <c r="AS81" s="519">
        <f t="shared" si="25"/>
        <v>0</v>
      </c>
      <c r="AT81" s="519">
        <f>AT80</f>
        <v>28</v>
      </c>
    </row>
    <row r="82" spans="1:46" s="197" customFormat="1" ht="8.15" customHeight="1" x14ac:dyDescent="0.35">
      <c r="A82" s="188"/>
      <c r="B82" s="229"/>
      <c r="C82" s="189"/>
      <c r="D82" s="203"/>
      <c r="E82" s="190"/>
      <c r="F82" s="190"/>
      <c r="G82" s="191"/>
      <c r="H82" s="191"/>
      <c r="I82" s="190"/>
      <c r="J82" s="190"/>
      <c r="K82" s="190"/>
      <c r="L82" s="192"/>
      <c r="M82" s="193"/>
      <c r="N82" s="188"/>
      <c r="O82" s="190"/>
      <c r="P82" s="190"/>
      <c r="Q82" s="190"/>
      <c r="R82" s="190"/>
      <c r="S82" s="190"/>
      <c r="T82" s="190"/>
      <c r="U82" s="194"/>
      <c r="V82" s="194"/>
      <c r="W82" s="190"/>
      <c r="X82" s="194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4"/>
      <c r="AK82" s="190"/>
      <c r="AL82" s="190"/>
      <c r="AM82" s="190"/>
      <c r="AN82" s="190"/>
      <c r="AO82" s="190"/>
      <c r="AP82" s="190"/>
      <c r="AQ82" s="194"/>
      <c r="AR82" s="190"/>
      <c r="AS82" s="195"/>
      <c r="AT82" s="196"/>
    </row>
    <row r="83" spans="1:46" s="378" customFormat="1" x14ac:dyDescent="0.35">
      <c r="A83" s="425">
        <v>22</v>
      </c>
      <c r="B83" s="876" t="s">
        <v>127</v>
      </c>
      <c r="C83" s="520" t="s">
        <v>516</v>
      </c>
      <c r="D83" s="427">
        <v>550</v>
      </c>
      <c r="E83" s="427">
        <v>600</v>
      </c>
      <c r="F83" s="521">
        <v>0</v>
      </c>
      <c r="G83" s="521">
        <v>0</v>
      </c>
      <c r="H83" s="427">
        <f>E83-G83</f>
        <v>600</v>
      </c>
      <c r="I83" s="427">
        <v>0</v>
      </c>
      <c r="J83" s="427">
        <f>I83+AT83</f>
        <v>0</v>
      </c>
      <c r="K83" s="427">
        <f t="shared" si="21"/>
        <v>0</v>
      </c>
      <c r="L83" s="522">
        <v>0</v>
      </c>
      <c r="M83" s="523"/>
      <c r="N83" s="425">
        <v>0</v>
      </c>
      <c r="O83" s="427">
        <v>0</v>
      </c>
      <c r="P83" s="524">
        <v>0</v>
      </c>
      <c r="Q83" s="427">
        <v>0</v>
      </c>
      <c r="R83" s="427">
        <v>0</v>
      </c>
      <c r="S83" s="524">
        <v>0</v>
      </c>
      <c r="T83" s="427">
        <v>0</v>
      </c>
      <c r="U83" s="427">
        <v>0</v>
      </c>
      <c r="V83" s="427">
        <v>0</v>
      </c>
      <c r="W83" s="427">
        <v>0</v>
      </c>
      <c r="X83" s="427">
        <v>0</v>
      </c>
      <c r="Y83" s="427">
        <v>0</v>
      </c>
      <c r="Z83" s="427">
        <v>0</v>
      </c>
      <c r="AA83" s="524">
        <v>0</v>
      </c>
      <c r="AB83" s="524">
        <v>0</v>
      </c>
      <c r="AC83" s="524">
        <v>0</v>
      </c>
      <c r="AD83" s="427">
        <v>0</v>
      </c>
      <c r="AE83" s="427">
        <v>0</v>
      </c>
      <c r="AF83" s="427">
        <v>0</v>
      </c>
      <c r="AG83" s="427">
        <v>0</v>
      </c>
      <c r="AH83" s="427">
        <v>0</v>
      </c>
      <c r="AI83" s="427">
        <v>0</v>
      </c>
      <c r="AJ83" s="428">
        <v>0</v>
      </c>
      <c r="AK83" s="427">
        <v>0</v>
      </c>
      <c r="AL83" s="427">
        <v>0</v>
      </c>
      <c r="AM83" s="427">
        <v>0</v>
      </c>
      <c r="AN83" s="427">
        <v>0</v>
      </c>
      <c r="AO83" s="427">
        <v>0</v>
      </c>
      <c r="AP83" s="427">
        <v>0</v>
      </c>
      <c r="AQ83" s="428">
        <v>0</v>
      </c>
      <c r="AR83" s="427">
        <v>0</v>
      </c>
      <c r="AS83" s="431">
        <v>0</v>
      </c>
      <c r="AT83" s="525">
        <f t="shared" si="22"/>
        <v>0</v>
      </c>
    </row>
    <row r="84" spans="1:46" s="378" customFormat="1" ht="16" thickBot="1" x14ac:dyDescent="0.4">
      <c r="A84" s="425">
        <v>26</v>
      </c>
      <c r="B84" s="877"/>
      <c r="C84" s="520" t="s">
        <v>517</v>
      </c>
      <c r="D84" s="427">
        <v>200</v>
      </c>
      <c r="E84" s="427">
        <v>200</v>
      </c>
      <c r="F84" s="521">
        <v>0</v>
      </c>
      <c r="G84" s="521">
        <v>0</v>
      </c>
      <c r="H84" s="427">
        <f>E84-G84</f>
        <v>200</v>
      </c>
      <c r="I84" s="427">
        <v>0</v>
      </c>
      <c r="J84" s="427">
        <f>I84+AT84</f>
        <v>0</v>
      </c>
      <c r="K84" s="427">
        <f t="shared" si="21"/>
        <v>0</v>
      </c>
      <c r="L84" s="522">
        <v>0</v>
      </c>
      <c r="M84" s="523"/>
      <c r="N84" s="425">
        <v>0</v>
      </c>
      <c r="O84" s="427">
        <v>0</v>
      </c>
      <c r="P84" s="524">
        <v>0</v>
      </c>
      <c r="Q84" s="427">
        <v>0</v>
      </c>
      <c r="R84" s="427">
        <v>0</v>
      </c>
      <c r="S84" s="524">
        <v>0</v>
      </c>
      <c r="T84" s="524">
        <v>0</v>
      </c>
      <c r="U84" s="524">
        <v>0</v>
      </c>
      <c r="V84" s="524">
        <v>0</v>
      </c>
      <c r="W84" s="524">
        <v>0</v>
      </c>
      <c r="X84" s="524">
        <v>0</v>
      </c>
      <c r="Y84" s="427">
        <v>0</v>
      </c>
      <c r="Z84" s="427">
        <v>0</v>
      </c>
      <c r="AA84" s="524">
        <v>0</v>
      </c>
      <c r="AB84" s="524">
        <v>0</v>
      </c>
      <c r="AC84" s="524">
        <v>0</v>
      </c>
      <c r="AD84" s="427">
        <v>0</v>
      </c>
      <c r="AE84" s="427">
        <v>0</v>
      </c>
      <c r="AF84" s="427">
        <v>0</v>
      </c>
      <c r="AG84" s="427">
        <v>0</v>
      </c>
      <c r="AH84" s="427">
        <v>0</v>
      </c>
      <c r="AI84" s="427">
        <v>0</v>
      </c>
      <c r="AJ84" s="428">
        <v>0</v>
      </c>
      <c r="AK84" s="427">
        <v>0</v>
      </c>
      <c r="AL84" s="427">
        <v>0</v>
      </c>
      <c r="AM84" s="427">
        <v>0</v>
      </c>
      <c r="AN84" s="427">
        <v>0</v>
      </c>
      <c r="AO84" s="427">
        <v>0</v>
      </c>
      <c r="AP84" s="427">
        <v>0</v>
      </c>
      <c r="AQ84" s="428">
        <v>0</v>
      </c>
      <c r="AR84" s="427">
        <v>0</v>
      </c>
      <c r="AS84" s="431">
        <v>0</v>
      </c>
      <c r="AT84" s="525">
        <f t="shared" si="22"/>
        <v>0</v>
      </c>
    </row>
    <row r="85" spans="1:46" s="177" customFormat="1" ht="16" thickBot="1" x14ac:dyDescent="0.4">
      <c r="A85" s="435"/>
      <c r="B85" s="527"/>
      <c r="C85" s="438" t="s">
        <v>518</v>
      </c>
      <c r="D85" s="439">
        <f>SUM(D83:D84)</f>
        <v>750</v>
      </c>
      <c r="E85" s="528">
        <f>SUM(E83:E84)</f>
        <v>800</v>
      </c>
      <c r="F85" s="529">
        <f>SUM(F83:F84)</f>
        <v>0</v>
      </c>
      <c r="G85" s="590">
        <f>SUM(G83:G84)</f>
        <v>0</v>
      </c>
      <c r="H85" s="427">
        <f>E85-G85</f>
        <v>800</v>
      </c>
      <c r="I85" s="528">
        <f>SUM(I83:I84)</f>
        <v>0</v>
      </c>
      <c r="J85" s="528">
        <f>I85+AT85</f>
        <v>0</v>
      </c>
      <c r="K85" s="528">
        <f>E85-J85</f>
        <v>800</v>
      </c>
      <c r="L85" s="530">
        <f>J85/E85%</f>
        <v>0</v>
      </c>
      <c r="M85" s="526"/>
      <c r="N85" s="531">
        <f t="shared" ref="N85:AT85" si="26">SUM(N83:N84)</f>
        <v>0</v>
      </c>
      <c r="O85" s="531">
        <f t="shared" si="26"/>
        <v>0</v>
      </c>
      <c r="P85" s="531">
        <f t="shared" si="26"/>
        <v>0</v>
      </c>
      <c r="Q85" s="531">
        <f t="shared" si="26"/>
        <v>0</v>
      </c>
      <c r="R85" s="531">
        <f t="shared" si="26"/>
        <v>0</v>
      </c>
      <c r="S85" s="531">
        <f t="shared" si="26"/>
        <v>0</v>
      </c>
      <c r="T85" s="531">
        <f t="shared" si="26"/>
        <v>0</v>
      </c>
      <c r="U85" s="531">
        <f t="shared" si="26"/>
        <v>0</v>
      </c>
      <c r="V85" s="531">
        <f t="shared" si="26"/>
        <v>0</v>
      </c>
      <c r="W85" s="531">
        <f t="shared" si="26"/>
        <v>0</v>
      </c>
      <c r="X85" s="531">
        <f t="shared" si="26"/>
        <v>0</v>
      </c>
      <c r="Y85" s="531">
        <f t="shared" si="26"/>
        <v>0</v>
      </c>
      <c r="Z85" s="531">
        <f t="shared" si="26"/>
        <v>0</v>
      </c>
      <c r="AA85" s="531">
        <f t="shared" si="26"/>
        <v>0</v>
      </c>
      <c r="AB85" s="531">
        <f t="shared" si="26"/>
        <v>0</v>
      </c>
      <c r="AC85" s="531">
        <f t="shared" si="26"/>
        <v>0</v>
      </c>
      <c r="AD85" s="531">
        <f t="shared" si="26"/>
        <v>0</v>
      </c>
      <c r="AE85" s="531">
        <f t="shared" si="26"/>
        <v>0</v>
      </c>
      <c r="AF85" s="531">
        <f t="shared" si="26"/>
        <v>0</v>
      </c>
      <c r="AG85" s="531">
        <f t="shared" si="26"/>
        <v>0</v>
      </c>
      <c r="AH85" s="531">
        <f t="shared" si="26"/>
        <v>0</v>
      </c>
      <c r="AI85" s="531">
        <f t="shared" si="26"/>
        <v>0</v>
      </c>
      <c r="AJ85" s="531">
        <f t="shared" si="26"/>
        <v>0</v>
      </c>
      <c r="AK85" s="531">
        <f t="shared" si="26"/>
        <v>0</v>
      </c>
      <c r="AL85" s="531">
        <f t="shared" si="26"/>
        <v>0</v>
      </c>
      <c r="AM85" s="531">
        <f t="shared" si="26"/>
        <v>0</v>
      </c>
      <c r="AN85" s="531">
        <f t="shared" si="26"/>
        <v>0</v>
      </c>
      <c r="AO85" s="531">
        <f t="shared" si="26"/>
        <v>0</v>
      </c>
      <c r="AP85" s="531">
        <f t="shared" si="26"/>
        <v>0</v>
      </c>
      <c r="AQ85" s="531">
        <f t="shared" si="26"/>
        <v>0</v>
      </c>
      <c r="AR85" s="531">
        <f t="shared" si="26"/>
        <v>0</v>
      </c>
      <c r="AS85" s="531">
        <f t="shared" si="26"/>
        <v>0</v>
      </c>
      <c r="AT85" s="531">
        <f t="shared" si="26"/>
        <v>0</v>
      </c>
    </row>
    <row r="86" spans="1:46" s="197" customFormat="1" ht="8.15" customHeight="1" x14ac:dyDescent="0.35">
      <c r="A86" s="188"/>
      <c r="B86" s="229"/>
      <c r="C86" s="189"/>
      <c r="D86" s="203"/>
      <c r="E86" s="190"/>
      <c r="F86" s="190"/>
      <c r="G86" s="191"/>
      <c r="H86" s="191"/>
      <c r="I86" s="190"/>
      <c r="J86" s="190"/>
      <c r="K86" s="190"/>
      <c r="L86" s="192"/>
      <c r="M86" s="193"/>
      <c r="N86" s="188"/>
      <c r="O86" s="190"/>
      <c r="P86" s="190"/>
      <c r="Q86" s="190"/>
      <c r="R86" s="190"/>
      <c r="S86" s="190"/>
      <c r="T86" s="190"/>
      <c r="U86" s="194"/>
      <c r="V86" s="194"/>
      <c r="W86" s="190"/>
      <c r="X86" s="194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4"/>
      <c r="AK86" s="190"/>
      <c r="AL86" s="190"/>
      <c r="AM86" s="190"/>
      <c r="AN86" s="190"/>
      <c r="AO86" s="190"/>
      <c r="AP86" s="190"/>
      <c r="AQ86" s="194"/>
      <c r="AR86" s="190"/>
      <c r="AS86" s="195"/>
      <c r="AT86" s="196"/>
    </row>
    <row r="87" spans="1:46" s="378" customFormat="1" ht="15.65" customHeight="1" x14ac:dyDescent="0.35">
      <c r="A87" s="485">
        <v>27</v>
      </c>
      <c r="B87" s="632" t="s">
        <v>485</v>
      </c>
      <c r="C87" s="532" t="s">
        <v>519</v>
      </c>
      <c r="D87" s="487">
        <v>0</v>
      </c>
      <c r="E87" s="158">
        <f>276.3+196.618</f>
        <v>472.91800000000001</v>
      </c>
      <c r="F87" s="158">
        <f>276.3+196.618</f>
        <v>472.91800000000001</v>
      </c>
      <c r="G87" s="158">
        <f>276.3+196.618</f>
        <v>472.91800000000001</v>
      </c>
      <c r="H87" s="157">
        <f>E87-G87</f>
        <v>0</v>
      </c>
      <c r="I87" s="487">
        <v>116</v>
      </c>
      <c r="J87" s="487">
        <f>I87+AT87</f>
        <v>151</v>
      </c>
      <c r="K87" s="157">
        <f t="shared" si="21"/>
        <v>321.91800000000001</v>
      </c>
      <c r="L87" s="534">
        <v>0</v>
      </c>
      <c r="M87" s="535"/>
      <c r="N87" s="485">
        <v>50</v>
      </c>
      <c r="O87" s="487">
        <v>0</v>
      </c>
      <c r="P87" s="536">
        <v>0</v>
      </c>
      <c r="Q87" s="487">
        <v>0</v>
      </c>
      <c r="R87" s="487">
        <v>0</v>
      </c>
      <c r="S87" s="536">
        <v>5</v>
      </c>
      <c r="T87" s="487">
        <v>0</v>
      </c>
      <c r="U87" s="157">
        <v>0</v>
      </c>
      <c r="V87" s="157">
        <v>0</v>
      </c>
      <c r="W87" s="157">
        <v>0</v>
      </c>
      <c r="X87" s="157">
        <v>0</v>
      </c>
      <c r="Y87" s="157">
        <v>0</v>
      </c>
      <c r="Z87" s="157">
        <v>0</v>
      </c>
      <c r="AA87" s="157">
        <v>0</v>
      </c>
      <c r="AB87" s="157">
        <v>0</v>
      </c>
      <c r="AC87" s="157">
        <v>0</v>
      </c>
      <c r="AD87" s="487">
        <v>0</v>
      </c>
      <c r="AE87" s="537">
        <v>0</v>
      </c>
      <c r="AF87" s="487">
        <v>0</v>
      </c>
      <c r="AG87" s="487">
        <v>30</v>
      </c>
      <c r="AH87" s="487"/>
      <c r="AI87" s="487"/>
      <c r="AJ87" s="157"/>
      <c r="AK87" s="487"/>
      <c r="AL87" s="487"/>
      <c r="AM87" s="487"/>
      <c r="AN87" s="487"/>
      <c r="AO87" s="487"/>
      <c r="AP87" s="487"/>
      <c r="AQ87" s="157"/>
      <c r="AR87" s="487"/>
      <c r="AS87" s="490">
        <v>0</v>
      </c>
      <c r="AT87" s="538">
        <f t="shared" si="22"/>
        <v>35</v>
      </c>
    </row>
    <row r="88" spans="1:46" s="378" customFormat="1" ht="16" thickBot="1" x14ac:dyDescent="0.4">
      <c r="A88" s="485">
        <v>28</v>
      </c>
      <c r="B88" s="632" t="s">
        <v>128</v>
      </c>
      <c r="C88" s="532" t="s">
        <v>520</v>
      </c>
      <c r="D88" s="494">
        <v>0</v>
      </c>
      <c r="E88" s="487">
        <v>650</v>
      </c>
      <c r="F88" s="533">
        <v>0</v>
      </c>
      <c r="G88" s="487">
        <v>0</v>
      </c>
      <c r="H88" s="487">
        <f>E88-G88</f>
        <v>650</v>
      </c>
      <c r="I88" s="487">
        <v>0</v>
      </c>
      <c r="J88" s="487">
        <f>I88+AT88</f>
        <v>0</v>
      </c>
      <c r="K88" s="487">
        <f t="shared" si="21"/>
        <v>0</v>
      </c>
      <c r="L88" s="534">
        <v>0</v>
      </c>
      <c r="M88" s="535"/>
      <c r="N88" s="485">
        <v>0</v>
      </c>
      <c r="O88" s="487">
        <v>0</v>
      </c>
      <c r="P88" s="536">
        <v>0</v>
      </c>
      <c r="Q88" s="487">
        <v>0</v>
      </c>
      <c r="R88" s="487">
        <v>0</v>
      </c>
      <c r="S88" s="536">
        <v>0</v>
      </c>
      <c r="T88" s="487">
        <v>0</v>
      </c>
      <c r="U88" s="157">
        <v>0</v>
      </c>
      <c r="V88" s="157">
        <v>0</v>
      </c>
      <c r="W88" s="157">
        <v>0</v>
      </c>
      <c r="X88" s="157">
        <v>0</v>
      </c>
      <c r="Y88" s="157">
        <v>0</v>
      </c>
      <c r="Z88" s="157">
        <v>0</v>
      </c>
      <c r="AA88" s="157">
        <v>0</v>
      </c>
      <c r="AB88" s="157">
        <v>0</v>
      </c>
      <c r="AC88" s="157">
        <v>0</v>
      </c>
      <c r="AD88" s="487">
        <v>0</v>
      </c>
      <c r="AE88" s="537">
        <v>0</v>
      </c>
      <c r="AF88" s="487">
        <v>0</v>
      </c>
      <c r="AG88" s="487">
        <v>0</v>
      </c>
      <c r="AH88" s="487"/>
      <c r="AI88" s="487"/>
      <c r="AJ88" s="157"/>
      <c r="AK88" s="487"/>
      <c r="AL88" s="487"/>
      <c r="AM88" s="487"/>
      <c r="AN88" s="487"/>
      <c r="AO88" s="487"/>
      <c r="AP88" s="487"/>
      <c r="AQ88" s="157"/>
      <c r="AR88" s="487"/>
      <c r="AS88" s="490">
        <v>0</v>
      </c>
      <c r="AT88" s="538">
        <f t="shared" si="22"/>
        <v>0</v>
      </c>
    </row>
    <row r="89" spans="1:46" s="178" customFormat="1" ht="16" thickBot="1" x14ac:dyDescent="0.4">
      <c r="A89" s="539"/>
      <c r="B89" s="540"/>
      <c r="C89" s="541" t="s">
        <v>521</v>
      </c>
      <c r="D89" s="502">
        <f>SUM(D87:D88)</f>
        <v>0</v>
      </c>
      <c r="E89" s="628">
        <f>SUM(E87:E88)</f>
        <v>1122.9180000000001</v>
      </c>
      <c r="F89" s="629">
        <f>SUM(F87:F88)</f>
        <v>472.91800000000001</v>
      </c>
      <c r="G89" s="620">
        <f>SUM(G87:G88)</f>
        <v>472.91800000000001</v>
      </c>
      <c r="H89" s="157">
        <f>E89-G89</f>
        <v>650.00000000000011</v>
      </c>
      <c r="I89" s="620">
        <f>SUM(I87:I88)</f>
        <v>116</v>
      </c>
      <c r="J89" s="620">
        <f>I89+AT89</f>
        <v>151</v>
      </c>
      <c r="K89" s="620">
        <f>E89-J89</f>
        <v>971.91800000000012</v>
      </c>
      <c r="L89" s="630">
        <f>J89/E89%</f>
        <v>13.447108337385275</v>
      </c>
      <c r="M89" s="542"/>
      <c r="N89" s="485">
        <f>SUM(N87:N88)</f>
        <v>50</v>
      </c>
      <c r="O89" s="485">
        <f t="shared" ref="O89:AS89" si="27">SUM(O87:O88)</f>
        <v>0</v>
      </c>
      <c r="P89" s="485">
        <f t="shared" si="27"/>
        <v>0</v>
      </c>
      <c r="Q89" s="485">
        <f t="shared" si="27"/>
        <v>0</v>
      </c>
      <c r="R89" s="485">
        <f t="shared" si="27"/>
        <v>0</v>
      </c>
      <c r="S89" s="485">
        <f t="shared" si="27"/>
        <v>5</v>
      </c>
      <c r="T89" s="485">
        <f t="shared" si="27"/>
        <v>0</v>
      </c>
      <c r="U89" s="485">
        <f t="shared" si="27"/>
        <v>0</v>
      </c>
      <c r="V89" s="485">
        <f t="shared" si="27"/>
        <v>0</v>
      </c>
      <c r="W89" s="485">
        <f t="shared" si="27"/>
        <v>0</v>
      </c>
      <c r="X89" s="485">
        <f t="shared" si="27"/>
        <v>0</v>
      </c>
      <c r="Y89" s="485">
        <f t="shared" si="27"/>
        <v>0</v>
      </c>
      <c r="Z89" s="485">
        <f t="shared" si="27"/>
        <v>0</v>
      </c>
      <c r="AA89" s="485">
        <f t="shared" si="27"/>
        <v>0</v>
      </c>
      <c r="AB89" s="485">
        <f t="shared" si="27"/>
        <v>0</v>
      </c>
      <c r="AC89" s="485">
        <f t="shared" si="27"/>
        <v>0</v>
      </c>
      <c r="AD89" s="485">
        <f t="shared" si="27"/>
        <v>0</v>
      </c>
      <c r="AE89" s="485">
        <f t="shared" si="27"/>
        <v>0</v>
      </c>
      <c r="AF89" s="485">
        <f t="shared" si="27"/>
        <v>0</v>
      </c>
      <c r="AG89" s="485">
        <f t="shared" si="27"/>
        <v>30</v>
      </c>
      <c r="AH89" s="485">
        <f t="shared" ref="AH89" si="28">SUM(AH87:AH88)</f>
        <v>0</v>
      </c>
      <c r="AI89" s="485">
        <f t="shared" si="27"/>
        <v>0</v>
      </c>
      <c r="AJ89" s="485">
        <f t="shared" ref="AJ89:AL89" si="29">SUM(AJ87:AJ88)</f>
        <v>0</v>
      </c>
      <c r="AK89" s="485">
        <f t="shared" si="29"/>
        <v>0</v>
      </c>
      <c r="AL89" s="485">
        <f t="shared" si="29"/>
        <v>0</v>
      </c>
      <c r="AM89" s="485">
        <f t="shared" si="27"/>
        <v>0</v>
      </c>
      <c r="AN89" s="485">
        <f t="shared" si="27"/>
        <v>0</v>
      </c>
      <c r="AO89" s="485">
        <f t="shared" si="27"/>
        <v>0</v>
      </c>
      <c r="AP89" s="485">
        <f t="shared" si="27"/>
        <v>0</v>
      </c>
      <c r="AQ89" s="485">
        <f t="shared" si="27"/>
        <v>0</v>
      </c>
      <c r="AR89" s="485">
        <f t="shared" si="27"/>
        <v>0</v>
      </c>
      <c r="AS89" s="485">
        <f t="shared" si="27"/>
        <v>0</v>
      </c>
      <c r="AT89" s="485">
        <f>SUM(AT87:AT88)</f>
        <v>35</v>
      </c>
    </row>
    <row r="90" spans="1:46" ht="33" customHeight="1" thickBot="1" x14ac:dyDescent="0.4">
      <c r="A90" s="86"/>
      <c r="B90" s="228"/>
      <c r="C90" s="198" t="s">
        <v>522</v>
      </c>
      <c r="D90" s="234">
        <f>SUM(D78+D81+D85+D89)</f>
        <v>16890</v>
      </c>
      <c r="E90" s="234">
        <f>E78+E81+E85+E89</f>
        <v>23046.128000000004</v>
      </c>
      <c r="F90" s="234">
        <f>F78+F81+F85+F89</f>
        <v>18720.398000000001</v>
      </c>
      <c r="G90" s="234">
        <f>G78+G81+G85+G89</f>
        <v>18531.508000000002</v>
      </c>
      <c r="H90" s="234">
        <f>E90-G90</f>
        <v>4514.6200000000026</v>
      </c>
      <c r="I90" s="234">
        <f>I78+I81+I85+I89</f>
        <v>10863.01</v>
      </c>
      <c r="J90" s="234">
        <f>J78+J81+J85+J89</f>
        <v>11070.51</v>
      </c>
      <c r="K90" s="234">
        <f>K78+K81+K85+K89</f>
        <v>11975.618000000002</v>
      </c>
      <c r="L90" s="234">
        <f>J90/E90%</f>
        <v>48.036312216958954</v>
      </c>
      <c r="M90" s="237"/>
      <c r="N90" s="234">
        <f t="shared" ref="N90:AS90" si="30">N78+N81+N85+N89</f>
        <v>636</v>
      </c>
      <c r="O90" s="234">
        <f t="shared" si="30"/>
        <v>4</v>
      </c>
      <c r="P90" s="234">
        <f t="shared" si="30"/>
        <v>5</v>
      </c>
      <c r="Q90" s="234">
        <f t="shared" si="30"/>
        <v>3</v>
      </c>
      <c r="R90" s="234">
        <f t="shared" si="30"/>
        <v>4</v>
      </c>
      <c r="S90" s="234">
        <f t="shared" si="30"/>
        <v>11</v>
      </c>
      <c r="T90" s="234">
        <f t="shared" si="30"/>
        <v>5</v>
      </c>
      <c r="U90" s="234">
        <f t="shared" si="30"/>
        <v>9.5</v>
      </c>
      <c r="V90" s="234">
        <f t="shared" si="30"/>
        <v>15</v>
      </c>
      <c r="W90" s="234">
        <f t="shared" si="30"/>
        <v>7</v>
      </c>
      <c r="X90" s="234">
        <f t="shared" si="30"/>
        <v>23</v>
      </c>
      <c r="Y90" s="234">
        <f t="shared" si="30"/>
        <v>0</v>
      </c>
      <c r="Z90" s="234">
        <f t="shared" si="30"/>
        <v>12</v>
      </c>
      <c r="AA90" s="234">
        <f t="shared" si="30"/>
        <v>8</v>
      </c>
      <c r="AB90" s="234">
        <f t="shared" si="30"/>
        <v>10</v>
      </c>
      <c r="AC90" s="234">
        <f t="shared" si="30"/>
        <v>20</v>
      </c>
      <c r="AD90" s="234">
        <f t="shared" si="30"/>
        <v>14</v>
      </c>
      <c r="AE90" s="234">
        <f t="shared" si="30"/>
        <v>0</v>
      </c>
      <c r="AF90" s="234">
        <f t="shared" si="30"/>
        <v>0</v>
      </c>
      <c r="AG90" s="234">
        <f t="shared" si="30"/>
        <v>57</v>
      </c>
      <c r="AH90" s="234">
        <f t="shared" si="30"/>
        <v>0</v>
      </c>
      <c r="AI90" s="234">
        <f t="shared" si="30"/>
        <v>0</v>
      </c>
      <c r="AJ90" s="234">
        <f t="shared" si="30"/>
        <v>0</v>
      </c>
      <c r="AK90" s="234">
        <f t="shared" si="30"/>
        <v>0</v>
      </c>
      <c r="AL90" s="234">
        <f t="shared" si="30"/>
        <v>0</v>
      </c>
      <c r="AM90" s="234">
        <f t="shared" si="30"/>
        <v>0</v>
      </c>
      <c r="AN90" s="234">
        <f t="shared" si="30"/>
        <v>0</v>
      </c>
      <c r="AO90" s="234">
        <f t="shared" si="30"/>
        <v>0</v>
      </c>
      <c r="AP90" s="234">
        <f t="shared" si="30"/>
        <v>0</v>
      </c>
      <c r="AQ90" s="234">
        <f t="shared" si="30"/>
        <v>0</v>
      </c>
      <c r="AR90" s="234">
        <f t="shared" si="30"/>
        <v>0</v>
      </c>
      <c r="AS90" s="234">
        <f t="shared" si="30"/>
        <v>0</v>
      </c>
      <c r="AT90" s="234">
        <f>SUM(AT78+AT81+AT85+AT89)</f>
        <v>207.5</v>
      </c>
    </row>
    <row r="91" spans="1:46" s="238" customFormat="1" ht="67.5" customHeight="1" thickBot="1" x14ac:dyDescent="0.55000000000000004">
      <c r="A91" s="239"/>
      <c r="B91" s="240"/>
      <c r="C91" s="241" t="s">
        <v>523</v>
      </c>
      <c r="D91" s="242">
        <f>SUM(D49+D90)</f>
        <v>49720</v>
      </c>
      <c r="E91" s="242">
        <f>E49+E90</f>
        <v>66112.839000000007</v>
      </c>
      <c r="F91" s="242">
        <f>F49+F90</f>
        <v>57277.109000000004</v>
      </c>
      <c r="G91" s="356">
        <f>G49+G90</f>
        <v>56245.718999999997</v>
      </c>
      <c r="H91" s="234">
        <f>E91-G91</f>
        <v>9867.1200000000099</v>
      </c>
      <c r="I91" s="242">
        <f>I49+I90</f>
        <v>29044.078000000001</v>
      </c>
      <c r="J91" s="242">
        <f>J49+J90</f>
        <v>30563.957999999999</v>
      </c>
      <c r="K91" s="242">
        <f>K49+K90</f>
        <v>35548.881000000001</v>
      </c>
      <c r="L91" s="242">
        <f>J91/E91%</f>
        <v>46.229988701589406</v>
      </c>
      <c r="M91" s="25"/>
      <c r="N91" s="234">
        <f t="shared" ref="N91:AS91" si="31">N90+N49</f>
        <v>3602</v>
      </c>
      <c r="O91" s="234">
        <f t="shared" si="31"/>
        <v>39</v>
      </c>
      <c r="P91" s="234">
        <f t="shared" si="31"/>
        <v>55.23</v>
      </c>
      <c r="Q91" s="234">
        <f t="shared" si="31"/>
        <v>3</v>
      </c>
      <c r="R91" s="234">
        <f t="shared" si="31"/>
        <v>200.5</v>
      </c>
      <c r="S91" s="234">
        <f t="shared" si="31"/>
        <v>25</v>
      </c>
      <c r="T91" s="234">
        <f t="shared" si="31"/>
        <v>24.85</v>
      </c>
      <c r="U91" s="234">
        <f t="shared" si="31"/>
        <v>75.09</v>
      </c>
      <c r="V91" s="234">
        <f t="shared" si="31"/>
        <v>39.4</v>
      </c>
      <c r="W91" s="234">
        <f t="shared" si="31"/>
        <v>227.39</v>
      </c>
      <c r="X91" s="234">
        <f t="shared" si="31"/>
        <v>121.47</v>
      </c>
      <c r="Y91" s="234">
        <f t="shared" si="31"/>
        <v>0</v>
      </c>
      <c r="Z91" s="234">
        <f t="shared" si="31"/>
        <v>98.89</v>
      </c>
      <c r="AA91" s="234">
        <f t="shared" si="31"/>
        <v>132.38999999999999</v>
      </c>
      <c r="AB91" s="234">
        <f t="shared" si="31"/>
        <v>18</v>
      </c>
      <c r="AC91" s="234">
        <f t="shared" si="31"/>
        <v>248.6</v>
      </c>
      <c r="AD91" s="234">
        <f t="shared" si="31"/>
        <v>48.870000000000005</v>
      </c>
      <c r="AE91" s="234">
        <f t="shared" si="31"/>
        <v>0</v>
      </c>
      <c r="AF91" s="234">
        <f t="shared" si="31"/>
        <v>40</v>
      </c>
      <c r="AG91" s="234">
        <f t="shared" si="31"/>
        <v>122.19999999999999</v>
      </c>
      <c r="AH91" s="234">
        <f t="shared" si="31"/>
        <v>0</v>
      </c>
      <c r="AI91" s="234">
        <f t="shared" si="31"/>
        <v>0</v>
      </c>
      <c r="AJ91" s="234">
        <f t="shared" si="31"/>
        <v>0</v>
      </c>
      <c r="AK91" s="234">
        <f t="shared" si="31"/>
        <v>0</v>
      </c>
      <c r="AL91" s="234">
        <f t="shared" si="31"/>
        <v>0</v>
      </c>
      <c r="AM91" s="234">
        <f t="shared" si="31"/>
        <v>0</v>
      </c>
      <c r="AN91" s="234">
        <f t="shared" si="31"/>
        <v>0</v>
      </c>
      <c r="AO91" s="234">
        <f t="shared" si="31"/>
        <v>0</v>
      </c>
      <c r="AP91" s="234">
        <f t="shared" si="31"/>
        <v>0</v>
      </c>
      <c r="AQ91" s="234">
        <f t="shared" si="31"/>
        <v>0</v>
      </c>
      <c r="AR91" s="234">
        <f t="shared" si="31"/>
        <v>0</v>
      </c>
      <c r="AS91" s="234">
        <f t="shared" si="31"/>
        <v>0</v>
      </c>
      <c r="AT91" s="243">
        <f>AT49+AT90</f>
        <v>1519.88</v>
      </c>
    </row>
    <row r="99" spans="9:9" x14ac:dyDescent="0.35">
      <c r="I99" s="281"/>
    </row>
  </sheetData>
  <mergeCells count="21">
    <mergeCell ref="B83:B84"/>
    <mergeCell ref="A15:A21"/>
    <mergeCell ref="B52:B78"/>
    <mergeCell ref="B80:B81"/>
    <mergeCell ref="A50:L50"/>
    <mergeCell ref="A55:A56"/>
    <mergeCell ref="D15:D21"/>
    <mergeCell ref="D66:D68"/>
    <mergeCell ref="D59:D61"/>
    <mergeCell ref="N50:AT50"/>
    <mergeCell ref="A1:L1"/>
    <mergeCell ref="N1:AT1"/>
    <mergeCell ref="B33:B34"/>
    <mergeCell ref="B3:B31"/>
    <mergeCell ref="B36:B43"/>
    <mergeCell ref="A10:A11"/>
    <mergeCell ref="A3:A7"/>
    <mergeCell ref="A12:A13"/>
    <mergeCell ref="N4:N6"/>
    <mergeCell ref="D4:D8"/>
    <mergeCell ref="D12:D14"/>
  </mergeCells>
  <printOptions horizontalCentered="1"/>
  <pageMargins left="0.23" right="0.2" top="0.26" bottom="0.34" header="0.2" footer="0.2"/>
  <pageSetup paperSize="8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Sheet1</vt:lpstr>
      <vt:lpstr>Mapping</vt:lpstr>
      <vt:lpstr>Overall Progress</vt:lpstr>
      <vt:lpstr>Sheet6</vt:lpstr>
      <vt:lpstr>Sheet4</vt:lpstr>
      <vt:lpstr>Sheet5</vt:lpstr>
      <vt:lpstr>April Plan'22</vt:lpstr>
      <vt:lpstr>Civil Day Wise Progress</vt:lpstr>
      <vt:lpstr>Strl Fab Day Wise  Progress </vt:lpstr>
      <vt:lpstr>Strl Erec Day Wise</vt:lpstr>
      <vt:lpstr>EQUIPMENT</vt:lpstr>
      <vt:lpstr>PIPING</vt:lpstr>
      <vt:lpstr>Sheet7</vt:lpstr>
      <vt:lpstr>Sheet8</vt:lpstr>
      <vt:lpstr>Refractory</vt:lpstr>
      <vt:lpstr>Graphs</vt:lpstr>
      <vt:lpstr>Sheet9</vt:lpstr>
      <vt:lpstr>Sheet10</vt:lpstr>
      <vt:lpstr>Strl Erec Day Wise  Progress </vt:lpstr>
      <vt:lpstr>Sheet3</vt:lpstr>
      <vt:lpstr>Sheet2</vt:lpstr>
      <vt:lpstr>'April Plan''22'!Print_Area</vt:lpstr>
      <vt:lpstr>'Civil Day Wise Progress'!Print_Area</vt:lpstr>
      <vt:lpstr>EQUIPMENT!Print_Area</vt:lpstr>
      <vt:lpstr>'Overall Progress'!Print_Area</vt:lpstr>
      <vt:lpstr>PIPING!Print_Area</vt:lpstr>
      <vt:lpstr>Sheet1!Print_Area</vt:lpstr>
      <vt:lpstr>Sheet2!Print_Area</vt:lpstr>
      <vt:lpstr>'Strl Erec Day Wise'!Print_Area</vt:lpstr>
      <vt:lpstr>'Strl Erec Day Wise  Progress '!Print_Area</vt:lpstr>
      <vt:lpstr>'Strl Fab Day Wise  Progress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2023-01-16T10:08:13Z</dcterms:modified>
  <cp:category/>
  <cp:contentStatus/>
</cp:coreProperties>
</file>